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ary1\Desktop\NAAC 6.12.20\4.3.3 40 E resource Full text\Pro Quest E Books\"/>
    </mc:Choice>
  </mc:AlternateContent>
  <bookViews>
    <workbookView xWindow="240" yWindow="120" windowWidth="20115" windowHeight="7500"/>
  </bookViews>
  <sheets>
    <sheet name="export_665292" sheetId="1" r:id="rId1"/>
  </sheets>
  <calcPr calcId="15251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8865" i="1"/>
  <c r="B8866" i="1"/>
  <c r="B8867" i="1"/>
  <c r="B8868" i="1"/>
  <c r="B8869" i="1"/>
  <c r="B8870" i="1"/>
  <c r="B8871" i="1"/>
  <c r="B8872" i="1"/>
  <c r="B8873" i="1"/>
  <c r="B8874" i="1"/>
  <c r="B8875" i="1"/>
  <c r="B8876" i="1"/>
  <c r="B8877" i="1"/>
  <c r="B8878" i="1"/>
  <c r="B8879" i="1"/>
  <c r="B8880" i="1"/>
  <c r="B8881" i="1"/>
  <c r="B8882" i="1"/>
  <c r="B8883" i="1"/>
  <c r="B8884" i="1"/>
  <c r="B8885" i="1"/>
  <c r="B8886" i="1"/>
  <c r="B8887" i="1"/>
  <c r="B8888" i="1"/>
  <c r="B8889" i="1"/>
  <c r="B8890" i="1"/>
  <c r="B8891" i="1"/>
  <c r="B8892" i="1"/>
  <c r="B8893" i="1"/>
  <c r="B8894" i="1"/>
  <c r="B8895" i="1"/>
  <c r="B8896" i="1"/>
  <c r="B8897" i="1"/>
  <c r="B8898" i="1"/>
  <c r="B8899" i="1"/>
  <c r="B8900" i="1"/>
  <c r="B8901" i="1"/>
  <c r="B8902" i="1"/>
  <c r="B8903" i="1"/>
  <c r="B8904" i="1"/>
  <c r="B8905" i="1"/>
  <c r="B8906" i="1"/>
  <c r="B8907" i="1"/>
  <c r="B8908" i="1"/>
  <c r="B8909" i="1"/>
  <c r="B8910" i="1"/>
  <c r="B8911" i="1"/>
  <c r="B8912" i="1"/>
  <c r="B8913" i="1"/>
  <c r="B8914" i="1"/>
  <c r="B8915" i="1"/>
  <c r="B8916" i="1"/>
  <c r="B8917" i="1"/>
  <c r="B8918" i="1"/>
  <c r="B8919" i="1"/>
  <c r="B8920" i="1"/>
  <c r="B8921" i="1"/>
  <c r="B8922" i="1"/>
  <c r="B8923" i="1"/>
  <c r="B8924" i="1"/>
  <c r="B8925" i="1"/>
  <c r="B8926" i="1"/>
  <c r="B8927" i="1"/>
  <c r="B8928" i="1"/>
  <c r="B8929" i="1"/>
  <c r="B8930" i="1"/>
  <c r="B8931" i="1"/>
  <c r="B8932" i="1"/>
  <c r="B8933" i="1"/>
  <c r="B8934" i="1"/>
  <c r="B8935" i="1"/>
  <c r="B8936" i="1"/>
  <c r="B8937" i="1"/>
  <c r="B8938" i="1"/>
  <c r="B8939" i="1"/>
  <c r="B8940" i="1"/>
  <c r="B8941" i="1"/>
  <c r="B8942" i="1"/>
  <c r="B8943" i="1"/>
  <c r="B8944" i="1"/>
  <c r="B8945" i="1"/>
  <c r="B8946" i="1"/>
  <c r="B8947" i="1"/>
  <c r="B8948" i="1"/>
  <c r="B8949" i="1"/>
  <c r="B8950" i="1"/>
  <c r="B8951" i="1"/>
  <c r="B8952" i="1"/>
  <c r="B8953" i="1"/>
  <c r="B8954" i="1"/>
  <c r="B8955" i="1"/>
  <c r="B8956" i="1"/>
  <c r="B8957" i="1"/>
  <c r="B8958" i="1"/>
  <c r="B8959" i="1"/>
  <c r="B8960" i="1"/>
  <c r="B8961" i="1"/>
  <c r="B8962" i="1"/>
  <c r="B8963" i="1"/>
  <c r="B8964" i="1"/>
  <c r="B8965" i="1"/>
  <c r="B8966" i="1"/>
  <c r="B8967" i="1"/>
  <c r="B8968" i="1"/>
  <c r="B8969" i="1"/>
  <c r="B8970" i="1"/>
  <c r="B8971" i="1"/>
  <c r="B8972" i="1"/>
  <c r="B8973" i="1"/>
  <c r="B8974" i="1"/>
  <c r="B8975" i="1"/>
  <c r="B8976" i="1"/>
  <c r="B8977" i="1"/>
  <c r="B8978" i="1"/>
  <c r="B8979" i="1"/>
  <c r="B8980" i="1"/>
  <c r="B8981" i="1"/>
  <c r="B8982" i="1"/>
  <c r="B8983" i="1"/>
  <c r="B8984" i="1"/>
  <c r="B8985" i="1"/>
  <c r="B8986" i="1"/>
  <c r="B8987" i="1"/>
  <c r="B8988" i="1"/>
  <c r="B8989" i="1"/>
  <c r="B8990" i="1"/>
  <c r="B8991" i="1"/>
  <c r="B8992" i="1"/>
  <c r="B8993" i="1"/>
  <c r="B8994" i="1"/>
  <c r="B8995" i="1"/>
  <c r="B8996" i="1"/>
  <c r="B8997" i="1"/>
  <c r="B8998" i="1"/>
  <c r="B8999" i="1"/>
  <c r="B9000" i="1"/>
  <c r="B9001" i="1"/>
  <c r="B9002" i="1"/>
  <c r="B9003" i="1"/>
  <c r="B9004" i="1"/>
  <c r="B9005" i="1"/>
  <c r="B9006" i="1"/>
  <c r="B9007" i="1"/>
  <c r="B9008" i="1"/>
  <c r="B9009" i="1"/>
  <c r="B9010" i="1"/>
  <c r="B9011" i="1"/>
  <c r="B9012" i="1"/>
  <c r="B9013" i="1"/>
  <c r="B9014" i="1"/>
  <c r="B9015" i="1"/>
  <c r="B9016" i="1"/>
  <c r="B9017" i="1"/>
  <c r="B9018" i="1"/>
  <c r="B9019" i="1"/>
  <c r="B9020" i="1"/>
  <c r="B9021" i="1"/>
  <c r="B9022" i="1"/>
  <c r="B9023" i="1"/>
  <c r="B9024" i="1"/>
  <c r="B9025" i="1"/>
  <c r="B9026" i="1"/>
  <c r="B9027" i="1"/>
  <c r="B9028" i="1"/>
  <c r="B9029" i="1"/>
  <c r="B9030" i="1"/>
  <c r="B9031" i="1"/>
  <c r="B9032" i="1"/>
  <c r="B9033" i="1"/>
  <c r="B9034" i="1"/>
  <c r="B9035" i="1"/>
  <c r="B9036" i="1"/>
  <c r="B9037" i="1"/>
  <c r="B9038" i="1"/>
  <c r="B9039" i="1"/>
  <c r="B9040" i="1"/>
  <c r="B9041" i="1"/>
  <c r="B9042" i="1"/>
  <c r="B9043" i="1"/>
  <c r="B9044" i="1"/>
  <c r="B9045" i="1"/>
  <c r="B9046" i="1"/>
  <c r="B9047" i="1"/>
  <c r="B9048" i="1"/>
  <c r="B9049" i="1"/>
  <c r="B9050" i="1"/>
  <c r="B9051" i="1"/>
  <c r="B9052" i="1"/>
  <c r="B9053" i="1"/>
  <c r="B9054" i="1"/>
  <c r="B9055" i="1"/>
  <c r="B9056" i="1"/>
  <c r="B9057" i="1"/>
  <c r="B9058" i="1"/>
  <c r="B9059" i="1"/>
  <c r="B9060" i="1"/>
  <c r="B9061" i="1"/>
  <c r="B9062" i="1"/>
  <c r="B9063" i="1"/>
  <c r="B9064" i="1"/>
  <c r="B9065" i="1"/>
  <c r="B9066" i="1"/>
  <c r="B9067" i="1"/>
  <c r="B9068" i="1"/>
  <c r="B9069" i="1"/>
  <c r="B9070" i="1"/>
  <c r="B9071" i="1"/>
  <c r="B9072" i="1"/>
  <c r="B9073" i="1"/>
  <c r="B9074" i="1"/>
  <c r="B9075" i="1"/>
  <c r="B9076" i="1"/>
  <c r="B9077" i="1"/>
  <c r="B9078" i="1"/>
  <c r="B9079" i="1"/>
  <c r="B9080" i="1"/>
  <c r="B9081" i="1"/>
  <c r="B9082" i="1"/>
  <c r="B9083" i="1"/>
  <c r="B9084" i="1"/>
  <c r="B9085" i="1"/>
  <c r="B9086" i="1"/>
  <c r="B9087" i="1"/>
  <c r="B9088" i="1"/>
  <c r="B9089" i="1"/>
  <c r="B9090" i="1"/>
  <c r="B9091" i="1"/>
  <c r="B9092" i="1"/>
  <c r="B9093" i="1"/>
  <c r="B9094" i="1"/>
  <c r="B9095" i="1"/>
  <c r="B9096" i="1"/>
  <c r="B9097" i="1"/>
  <c r="B9098" i="1"/>
  <c r="B9099" i="1"/>
  <c r="B9100" i="1"/>
  <c r="B9101" i="1"/>
  <c r="B9102" i="1"/>
  <c r="B9103" i="1"/>
  <c r="B9104" i="1"/>
  <c r="B9105" i="1"/>
  <c r="B9106" i="1"/>
  <c r="B9107" i="1"/>
  <c r="B9108" i="1"/>
  <c r="B9109" i="1"/>
  <c r="B9110" i="1"/>
  <c r="B9111" i="1"/>
  <c r="B9112" i="1"/>
  <c r="B9113" i="1"/>
  <c r="B9114" i="1"/>
  <c r="B9115" i="1"/>
  <c r="B9116" i="1"/>
  <c r="B9117" i="1"/>
  <c r="B9118" i="1"/>
  <c r="B9119" i="1"/>
  <c r="B9120" i="1"/>
  <c r="B9121" i="1"/>
  <c r="B9122" i="1"/>
  <c r="B9123" i="1"/>
  <c r="B9124" i="1"/>
  <c r="B9125" i="1"/>
  <c r="B9126" i="1"/>
  <c r="B9127" i="1"/>
  <c r="B9128" i="1"/>
  <c r="B9129" i="1"/>
  <c r="B9130" i="1"/>
  <c r="B9131" i="1"/>
  <c r="B9132" i="1"/>
  <c r="B9133" i="1"/>
  <c r="B9134" i="1"/>
  <c r="B9135" i="1"/>
  <c r="B9136" i="1"/>
  <c r="B9137" i="1"/>
  <c r="B9138" i="1"/>
  <c r="B9139" i="1"/>
  <c r="B9140" i="1"/>
  <c r="B9141" i="1"/>
  <c r="B9142" i="1"/>
  <c r="B9143" i="1"/>
  <c r="B9144" i="1"/>
  <c r="B9145" i="1"/>
  <c r="B9146" i="1"/>
  <c r="B9147" i="1"/>
  <c r="B9148" i="1"/>
  <c r="B9149" i="1"/>
  <c r="B9150" i="1"/>
  <c r="B9151" i="1"/>
  <c r="B9152" i="1"/>
  <c r="B9153" i="1"/>
  <c r="B9154" i="1"/>
  <c r="B9155" i="1"/>
  <c r="B9156" i="1"/>
  <c r="B9157" i="1"/>
  <c r="B9158" i="1"/>
  <c r="B9159" i="1"/>
  <c r="B9160" i="1"/>
  <c r="B9161" i="1"/>
  <c r="B9162" i="1"/>
  <c r="B9163" i="1"/>
  <c r="B9164" i="1"/>
  <c r="B9165" i="1"/>
  <c r="B9166" i="1"/>
  <c r="B9167" i="1"/>
  <c r="B9168" i="1"/>
  <c r="B9169" i="1"/>
  <c r="B9170" i="1"/>
  <c r="B9171" i="1"/>
  <c r="B9172" i="1"/>
  <c r="B9173" i="1"/>
  <c r="B9174" i="1"/>
  <c r="B9175" i="1"/>
  <c r="B9176" i="1"/>
  <c r="B9177" i="1"/>
  <c r="B9178" i="1"/>
  <c r="B9179" i="1"/>
  <c r="B9180" i="1"/>
  <c r="B9181" i="1"/>
  <c r="B9182" i="1"/>
  <c r="B9183" i="1"/>
  <c r="B9184" i="1"/>
  <c r="B9185" i="1"/>
  <c r="B9186" i="1"/>
  <c r="B9187" i="1"/>
  <c r="B9188" i="1"/>
  <c r="B9189" i="1"/>
  <c r="B9190" i="1"/>
  <c r="B9191" i="1"/>
  <c r="B9192" i="1"/>
  <c r="B9193" i="1"/>
  <c r="B9194" i="1"/>
  <c r="B9195" i="1"/>
  <c r="B9196" i="1"/>
  <c r="B9197" i="1"/>
  <c r="B9198" i="1"/>
  <c r="B9199" i="1"/>
  <c r="B9200" i="1"/>
  <c r="B9201" i="1"/>
  <c r="B9202" i="1"/>
  <c r="B9203" i="1"/>
  <c r="B9204" i="1"/>
  <c r="B9205" i="1"/>
  <c r="B9206" i="1"/>
  <c r="B9207" i="1"/>
  <c r="B9208" i="1"/>
  <c r="B9209" i="1"/>
  <c r="B9210" i="1"/>
  <c r="B9211" i="1"/>
  <c r="B9212" i="1"/>
  <c r="B9213" i="1"/>
  <c r="B9214" i="1"/>
  <c r="B9215" i="1"/>
  <c r="B9216" i="1"/>
  <c r="B9217" i="1"/>
  <c r="B9218" i="1"/>
  <c r="B9219" i="1"/>
  <c r="B9220" i="1"/>
  <c r="B9221" i="1"/>
  <c r="B9222" i="1"/>
  <c r="B9223" i="1"/>
  <c r="B9224" i="1"/>
  <c r="B9225" i="1"/>
  <c r="B9226" i="1"/>
  <c r="B9227" i="1"/>
  <c r="B9228" i="1"/>
  <c r="B9229" i="1"/>
  <c r="B9230" i="1"/>
  <c r="B9231" i="1"/>
  <c r="B9232" i="1"/>
  <c r="B9233" i="1"/>
  <c r="B9234" i="1"/>
  <c r="B9235" i="1"/>
  <c r="B9236" i="1"/>
  <c r="B9237" i="1"/>
  <c r="B9238" i="1"/>
  <c r="B9239" i="1"/>
  <c r="B9240" i="1"/>
  <c r="B9241" i="1"/>
  <c r="B9242" i="1"/>
  <c r="B9243" i="1"/>
  <c r="B9244" i="1"/>
  <c r="B9245" i="1"/>
  <c r="B9246" i="1"/>
  <c r="B9247" i="1"/>
  <c r="B9248" i="1"/>
  <c r="B9249" i="1"/>
  <c r="B9250" i="1"/>
  <c r="B9251" i="1"/>
  <c r="B9252" i="1"/>
  <c r="B9253" i="1"/>
  <c r="B9254" i="1"/>
  <c r="B9255" i="1"/>
  <c r="B9256" i="1"/>
  <c r="B9257" i="1"/>
  <c r="B9258" i="1"/>
  <c r="B9259" i="1"/>
  <c r="B9260" i="1"/>
  <c r="B9261" i="1"/>
  <c r="B9262" i="1"/>
  <c r="B9263" i="1"/>
  <c r="B9264" i="1"/>
  <c r="B9265" i="1"/>
  <c r="B9266" i="1"/>
  <c r="B9267" i="1"/>
  <c r="B9268" i="1"/>
  <c r="B9269" i="1"/>
  <c r="B9270" i="1"/>
  <c r="B9271" i="1"/>
  <c r="B9272" i="1"/>
  <c r="B9273" i="1"/>
  <c r="B9274" i="1"/>
  <c r="B9275" i="1"/>
  <c r="B9276" i="1"/>
  <c r="B9277" i="1"/>
  <c r="B9278" i="1"/>
  <c r="B9279" i="1"/>
  <c r="B9280" i="1"/>
  <c r="B9281" i="1"/>
  <c r="B9282" i="1"/>
  <c r="B9283" i="1"/>
  <c r="B9284" i="1"/>
  <c r="B9285" i="1"/>
  <c r="B9286" i="1"/>
  <c r="B9287" i="1"/>
  <c r="B9288" i="1"/>
  <c r="B9289" i="1"/>
  <c r="B9290" i="1"/>
  <c r="B9291" i="1"/>
  <c r="B9292" i="1"/>
  <c r="B9293" i="1"/>
  <c r="B9294" i="1"/>
  <c r="B9295" i="1"/>
  <c r="B9296" i="1"/>
  <c r="B9297" i="1"/>
  <c r="B9298" i="1"/>
  <c r="B9299" i="1"/>
  <c r="B9300" i="1"/>
  <c r="B9301" i="1"/>
  <c r="B9302" i="1"/>
  <c r="B9303" i="1"/>
  <c r="B9304" i="1"/>
  <c r="B9305" i="1"/>
  <c r="B9306" i="1"/>
  <c r="B9307" i="1"/>
  <c r="B9308" i="1"/>
  <c r="B9309" i="1"/>
  <c r="B9310" i="1"/>
  <c r="B9311" i="1"/>
  <c r="B9312" i="1"/>
  <c r="B9313" i="1"/>
  <c r="B9314" i="1"/>
  <c r="B9315" i="1"/>
  <c r="B9316" i="1"/>
  <c r="B9317" i="1"/>
  <c r="B9318" i="1"/>
  <c r="B9319" i="1"/>
  <c r="B9320" i="1"/>
  <c r="B9321" i="1"/>
  <c r="B9322" i="1"/>
  <c r="B9323" i="1"/>
  <c r="B9324" i="1"/>
  <c r="B9325" i="1"/>
  <c r="B9326" i="1"/>
  <c r="B9327" i="1"/>
  <c r="B9328" i="1"/>
  <c r="B9329" i="1"/>
  <c r="B9330" i="1"/>
  <c r="B9331" i="1"/>
  <c r="B9332" i="1"/>
  <c r="B9333" i="1"/>
  <c r="B9334" i="1"/>
  <c r="B9335" i="1"/>
  <c r="B9336" i="1"/>
  <c r="B9337" i="1"/>
  <c r="B9338" i="1"/>
  <c r="B9339" i="1"/>
  <c r="B9340" i="1"/>
  <c r="B9341" i="1"/>
  <c r="B9342" i="1"/>
  <c r="B9343" i="1"/>
  <c r="B9344" i="1"/>
  <c r="B9345" i="1"/>
  <c r="B9346" i="1"/>
  <c r="B9347" i="1"/>
  <c r="B9348" i="1"/>
  <c r="B9349" i="1"/>
  <c r="B9350" i="1"/>
  <c r="B9351" i="1"/>
  <c r="B9352" i="1"/>
  <c r="B9353" i="1"/>
  <c r="B9354" i="1"/>
  <c r="B9355" i="1"/>
  <c r="B9356" i="1"/>
  <c r="B9357" i="1"/>
  <c r="B9358" i="1"/>
  <c r="B9359" i="1"/>
  <c r="B9360" i="1"/>
  <c r="B9361" i="1"/>
  <c r="B9362" i="1"/>
  <c r="B9363" i="1"/>
  <c r="B9364" i="1"/>
  <c r="B9365" i="1"/>
  <c r="B9366" i="1"/>
  <c r="B9367" i="1"/>
  <c r="B9368" i="1"/>
  <c r="B9369" i="1"/>
  <c r="B9370" i="1"/>
  <c r="B9371" i="1"/>
  <c r="B9372" i="1"/>
  <c r="B9373" i="1"/>
  <c r="B9374" i="1"/>
  <c r="B9375" i="1"/>
  <c r="B9376" i="1"/>
  <c r="B9377" i="1"/>
  <c r="B9378" i="1"/>
  <c r="B9379" i="1"/>
  <c r="B9380" i="1"/>
  <c r="B9381" i="1"/>
  <c r="B9382" i="1"/>
  <c r="B9383" i="1"/>
  <c r="B9384" i="1"/>
  <c r="B9385" i="1"/>
  <c r="B9386" i="1"/>
  <c r="B9387" i="1"/>
  <c r="B9388" i="1"/>
  <c r="B9389" i="1"/>
  <c r="B9390" i="1"/>
  <c r="B9391" i="1"/>
  <c r="B9392" i="1"/>
  <c r="B9393" i="1"/>
  <c r="B9394" i="1"/>
  <c r="B9395" i="1"/>
  <c r="B9396" i="1"/>
  <c r="B9397" i="1"/>
  <c r="B9398" i="1"/>
  <c r="B9399" i="1"/>
  <c r="B9400" i="1"/>
  <c r="B9401" i="1"/>
  <c r="B9402" i="1"/>
  <c r="B9403" i="1"/>
  <c r="B9404" i="1"/>
  <c r="B9405" i="1"/>
  <c r="B9406" i="1"/>
  <c r="B9407" i="1"/>
  <c r="B9408" i="1"/>
  <c r="B9409" i="1"/>
  <c r="B9410" i="1"/>
  <c r="B9411" i="1"/>
  <c r="B9412" i="1"/>
  <c r="B9413" i="1"/>
  <c r="B9414" i="1"/>
  <c r="B9415" i="1"/>
  <c r="B9416" i="1"/>
  <c r="B9417" i="1"/>
  <c r="B9418" i="1"/>
  <c r="B9419" i="1"/>
  <c r="B9420" i="1"/>
  <c r="B9421" i="1"/>
  <c r="B9422" i="1"/>
  <c r="B9423" i="1"/>
  <c r="B9424" i="1"/>
  <c r="B9425" i="1"/>
  <c r="B9426" i="1"/>
  <c r="B9427" i="1"/>
  <c r="B9428" i="1"/>
  <c r="B9429" i="1"/>
  <c r="B9430" i="1"/>
  <c r="B9431" i="1"/>
  <c r="B9432" i="1"/>
  <c r="B9433" i="1"/>
  <c r="B9434" i="1"/>
  <c r="B9435" i="1"/>
  <c r="B9436" i="1"/>
  <c r="B9437" i="1"/>
  <c r="B9438" i="1"/>
  <c r="B9439" i="1"/>
  <c r="B9440" i="1"/>
  <c r="B9441" i="1"/>
  <c r="B9442" i="1"/>
  <c r="B9443" i="1"/>
  <c r="B9444" i="1"/>
  <c r="B9445" i="1"/>
  <c r="B9446" i="1"/>
  <c r="B9447" i="1"/>
  <c r="B9448" i="1"/>
  <c r="B9449" i="1"/>
  <c r="B9450" i="1"/>
  <c r="B9451" i="1"/>
  <c r="B9452" i="1"/>
  <c r="B9453" i="1"/>
  <c r="B9454" i="1"/>
  <c r="B9455" i="1"/>
  <c r="B9456" i="1"/>
  <c r="B9457" i="1"/>
  <c r="B9458" i="1"/>
  <c r="B9459" i="1"/>
  <c r="B9460" i="1"/>
  <c r="B9461" i="1"/>
  <c r="B9462" i="1"/>
  <c r="B9463" i="1"/>
  <c r="B9464" i="1"/>
  <c r="B9465" i="1"/>
  <c r="B9466" i="1"/>
  <c r="B9467" i="1"/>
  <c r="B9468" i="1"/>
  <c r="B9469" i="1"/>
  <c r="B9470" i="1"/>
  <c r="B9471" i="1"/>
  <c r="B9472" i="1"/>
  <c r="B9473" i="1"/>
  <c r="B9474" i="1"/>
  <c r="B9475" i="1"/>
  <c r="B9476" i="1"/>
  <c r="B9477" i="1"/>
  <c r="B9478" i="1"/>
  <c r="B9479" i="1"/>
  <c r="B9480" i="1"/>
  <c r="B9481" i="1"/>
  <c r="B9482" i="1"/>
  <c r="B9483" i="1"/>
  <c r="B9484" i="1"/>
  <c r="B9485" i="1"/>
  <c r="B9486" i="1"/>
  <c r="B9487" i="1"/>
  <c r="B9488" i="1"/>
  <c r="B9489" i="1"/>
  <c r="B9490" i="1"/>
  <c r="B9491" i="1"/>
  <c r="B9492" i="1"/>
  <c r="B9493" i="1"/>
  <c r="B9494" i="1"/>
  <c r="B9495" i="1"/>
  <c r="B9496" i="1"/>
  <c r="B9497" i="1"/>
  <c r="B9498" i="1"/>
  <c r="B9499" i="1"/>
  <c r="B9500" i="1"/>
  <c r="B9501" i="1"/>
  <c r="B9502" i="1"/>
  <c r="B9503" i="1"/>
  <c r="B9504" i="1"/>
  <c r="B9505" i="1"/>
  <c r="B9506" i="1"/>
  <c r="B9507" i="1"/>
  <c r="B9508" i="1"/>
  <c r="B9509" i="1"/>
  <c r="B9510" i="1"/>
  <c r="B9511" i="1"/>
  <c r="B9512" i="1"/>
  <c r="B9513" i="1"/>
  <c r="B9514" i="1"/>
  <c r="B9515" i="1"/>
  <c r="B9516" i="1"/>
  <c r="B9517" i="1"/>
  <c r="B9518" i="1"/>
  <c r="B9519" i="1"/>
  <c r="B9520" i="1"/>
  <c r="B9521" i="1"/>
  <c r="B9522" i="1"/>
  <c r="B9523" i="1"/>
  <c r="B9524" i="1"/>
  <c r="B9525" i="1"/>
  <c r="B9526" i="1"/>
  <c r="B9527" i="1"/>
  <c r="B9528" i="1"/>
  <c r="B9529" i="1"/>
  <c r="B9530" i="1"/>
  <c r="B9531" i="1"/>
  <c r="B9532" i="1"/>
  <c r="B9533" i="1"/>
  <c r="B9534" i="1"/>
  <c r="B9535" i="1"/>
  <c r="B9536" i="1"/>
  <c r="B9537" i="1"/>
  <c r="B9538" i="1"/>
  <c r="B9539" i="1"/>
  <c r="B9540" i="1"/>
  <c r="B9541" i="1"/>
  <c r="B9542" i="1"/>
  <c r="B9543" i="1"/>
  <c r="B9544" i="1"/>
  <c r="B9545" i="1"/>
  <c r="B9546" i="1"/>
  <c r="B9547" i="1"/>
  <c r="B9548" i="1"/>
  <c r="B9549" i="1"/>
  <c r="B9550" i="1"/>
  <c r="B9551" i="1"/>
  <c r="B9552" i="1"/>
  <c r="B9553" i="1"/>
  <c r="B9554" i="1"/>
  <c r="B9555" i="1"/>
  <c r="B9556" i="1"/>
  <c r="B9557" i="1"/>
  <c r="B9558" i="1"/>
  <c r="B9559" i="1"/>
  <c r="B9560" i="1"/>
  <c r="B9561" i="1"/>
  <c r="B9562" i="1"/>
  <c r="B9563" i="1"/>
  <c r="B9564" i="1"/>
  <c r="B9565" i="1"/>
  <c r="B9566" i="1"/>
  <c r="B9567" i="1"/>
  <c r="B9568" i="1"/>
  <c r="B9569" i="1"/>
  <c r="B9570" i="1"/>
  <c r="B9571" i="1"/>
  <c r="B9572" i="1"/>
  <c r="B9573" i="1"/>
  <c r="B9574" i="1"/>
  <c r="B9575" i="1"/>
  <c r="B9576" i="1"/>
  <c r="B9577" i="1"/>
  <c r="B9578" i="1"/>
  <c r="B9579" i="1"/>
  <c r="B9580" i="1"/>
  <c r="B9581" i="1"/>
  <c r="B9582" i="1"/>
  <c r="B9583" i="1"/>
  <c r="B9584" i="1"/>
  <c r="B9585" i="1"/>
  <c r="B9586" i="1"/>
  <c r="B9587" i="1"/>
  <c r="B9588" i="1"/>
  <c r="B9589" i="1"/>
  <c r="B9590" i="1"/>
  <c r="B9591" i="1"/>
  <c r="B9592" i="1"/>
  <c r="B9593" i="1"/>
  <c r="B9594" i="1"/>
  <c r="B9595" i="1"/>
  <c r="B9596" i="1"/>
  <c r="B9597" i="1"/>
  <c r="B9598" i="1"/>
  <c r="B9599" i="1"/>
  <c r="B9600" i="1"/>
  <c r="B9601" i="1"/>
  <c r="B9602" i="1"/>
  <c r="B9603" i="1"/>
  <c r="B9604" i="1"/>
  <c r="B9605" i="1"/>
  <c r="B9606" i="1"/>
  <c r="B9607" i="1"/>
  <c r="B9608" i="1"/>
  <c r="B9609" i="1"/>
  <c r="B9610" i="1"/>
  <c r="B9611" i="1"/>
  <c r="B9612" i="1"/>
  <c r="B9613" i="1"/>
  <c r="B9614" i="1"/>
  <c r="B9615" i="1"/>
  <c r="B9616" i="1"/>
  <c r="B9617" i="1"/>
  <c r="B9618" i="1"/>
  <c r="B9619" i="1"/>
  <c r="B9620" i="1"/>
  <c r="B9621" i="1"/>
  <c r="B9622" i="1"/>
  <c r="B9623" i="1"/>
  <c r="B9624" i="1"/>
  <c r="B9625" i="1"/>
  <c r="B9626" i="1"/>
  <c r="B9627" i="1"/>
  <c r="B9628" i="1"/>
  <c r="B9629" i="1"/>
  <c r="B9630" i="1"/>
  <c r="B9631" i="1"/>
  <c r="B9632" i="1"/>
  <c r="B9633" i="1"/>
  <c r="B9634" i="1"/>
  <c r="B9635" i="1"/>
  <c r="B9636" i="1"/>
  <c r="B9637" i="1"/>
  <c r="B9638" i="1"/>
  <c r="B9639" i="1"/>
  <c r="B9640" i="1"/>
  <c r="B9641" i="1"/>
  <c r="B9642" i="1"/>
  <c r="B9643" i="1"/>
  <c r="B9644" i="1"/>
  <c r="B9645" i="1"/>
  <c r="B9646" i="1"/>
  <c r="B9647" i="1"/>
  <c r="B9648" i="1"/>
  <c r="B9649" i="1"/>
  <c r="B9650" i="1"/>
  <c r="B9651" i="1"/>
  <c r="B9652" i="1"/>
  <c r="B9653" i="1"/>
  <c r="B9654" i="1"/>
  <c r="B9655" i="1"/>
  <c r="B9656" i="1"/>
  <c r="B9657" i="1"/>
  <c r="B9658" i="1"/>
  <c r="B9659" i="1"/>
  <c r="B9660" i="1"/>
  <c r="B9661" i="1"/>
  <c r="B9662" i="1"/>
  <c r="B9663" i="1"/>
  <c r="B9664" i="1"/>
  <c r="B9665" i="1"/>
  <c r="B9666" i="1"/>
  <c r="B9667" i="1"/>
  <c r="B9668" i="1"/>
  <c r="B9669" i="1"/>
  <c r="B9670" i="1"/>
  <c r="B9671" i="1"/>
  <c r="B9672" i="1"/>
  <c r="B9673" i="1"/>
  <c r="B9674" i="1"/>
  <c r="B9675" i="1"/>
  <c r="B9676" i="1"/>
  <c r="B9677" i="1"/>
  <c r="B9678" i="1"/>
  <c r="B9679" i="1"/>
  <c r="B9680" i="1"/>
  <c r="B9681" i="1"/>
  <c r="B9682" i="1"/>
  <c r="B9683" i="1"/>
  <c r="B9684" i="1"/>
  <c r="B9685" i="1"/>
  <c r="B9686" i="1"/>
  <c r="B9687" i="1"/>
  <c r="B9688" i="1"/>
  <c r="B9689" i="1"/>
  <c r="B9690" i="1"/>
  <c r="B9691" i="1"/>
  <c r="B9692" i="1"/>
  <c r="B9693" i="1"/>
  <c r="B9694" i="1"/>
  <c r="B9695" i="1"/>
  <c r="B9696" i="1"/>
  <c r="B9697" i="1"/>
  <c r="B9698" i="1"/>
  <c r="B9699" i="1"/>
  <c r="B9700" i="1"/>
  <c r="B9701" i="1"/>
  <c r="B9702" i="1"/>
  <c r="B9703" i="1"/>
  <c r="B9704" i="1"/>
  <c r="B9705" i="1"/>
  <c r="B9706" i="1"/>
  <c r="B9707" i="1"/>
  <c r="B9708" i="1"/>
  <c r="B9709" i="1"/>
  <c r="B9710" i="1"/>
  <c r="B9711" i="1"/>
  <c r="B9712" i="1"/>
  <c r="B9713" i="1"/>
  <c r="B9714" i="1"/>
  <c r="B9715" i="1"/>
  <c r="B9716" i="1"/>
  <c r="B9717" i="1"/>
  <c r="B9718" i="1"/>
  <c r="B9719" i="1"/>
  <c r="B9720" i="1"/>
  <c r="B9721" i="1"/>
  <c r="B9722" i="1"/>
  <c r="B9723" i="1"/>
  <c r="B9724" i="1"/>
  <c r="B9725" i="1"/>
  <c r="B9726" i="1"/>
  <c r="B9727" i="1"/>
  <c r="B9728" i="1"/>
  <c r="B9729" i="1"/>
  <c r="B9730" i="1"/>
  <c r="B9731" i="1"/>
  <c r="B9732" i="1"/>
  <c r="B9733" i="1"/>
  <c r="B9734" i="1"/>
  <c r="B9735" i="1"/>
  <c r="B9736" i="1"/>
  <c r="B9737" i="1"/>
  <c r="B9738" i="1"/>
  <c r="B9739" i="1"/>
  <c r="B9740" i="1"/>
  <c r="B9741" i="1"/>
  <c r="B9742" i="1"/>
  <c r="B9743" i="1"/>
  <c r="B9744" i="1"/>
  <c r="B9745" i="1"/>
  <c r="B9746" i="1"/>
  <c r="B9747" i="1"/>
  <c r="B9748" i="1"/>
  <c r="B9749" i="1"/>
  <c r="B9750" i="1"/>
  <c r="B9751" i="1"/>
  <c r="B9752" i="1"/>
  <c r="B9753" i="1"/>
  <c r="B9754" i="1"/>
  <c r="B9755" i="1"/>
  <c r="B9756" i="1"/>
  <c r="B9757" i="1"/>
  <c r="B9758" i="1"/>
  <c r="B9759" i="1"/>
  <c r="B9760" i="1"/>
  <c r="B9761" i="1"/>
  <c r="B9762" i="1"/>
  <c r="B9763" i="1"/>
  <c r="B9764" i="1"/>
  <c r="B9765" i="1"/>
  <c r="B9766" i="1"/>
  <c r="B9767" i="1"/>
  <c r="B9768" i="1"/>
  <c r="B9769" i="1"/>
  <c r="B9770" i="1"/>
  <c r="B9771" i="1"/>
  <c r="B9772" i="1"/>
  <c r="B9773" i="1"/>
  <c r="B9774" i="1"/>
  <c r="B9775" i="1"/>
  <c r="B9776" i="1"/>
  <c r="B9777" i="1"/>
  <c r="B9778" i="1"/>
  <c r="B9779" i="1"/>
  <c r="B9780" i="1"/>
  <c r="B9781" i="1"/>
  <c r="B9782" i="1"/>
  <c r="B9783" i="1"/>
  <c r="B9784" i="1"/>
  <c r="B9785" i="1"/>
  <c r="B9786" i="1"/>
  <c r="B9787" i="1"/>
  <c r="B9788" i="1"/>
  <c r="B9789" i="1"/>
  <c r="B9790" i="1"/>
  <c r="B9791" i="1"/>
  <c r="B9792" i="1"/>
  <c r="B9793" i="1"/>
  <c r="B9794" i="1"/>
  <c r="B9795" i="1"/>
  <c r="B9796" i="1"/>
  <c r="B9797" i="1"/>
  <c r="B9798" i="1"/>
  <c r="B9799" i="1"/>
  <c r="B9800" i="1"/>
  <c r="B9801" i="1"/>
  <c r="B9802" i="1"/>
  <c r="B9803" i="1"/>
  <c r="B9804" i="1"/>
  <c r="B9805" i="1"/>
  <c r="B9806" i="1"/>
  <c r="B9807" i="1"/>
  <c r="B9808" i="1"/>
  <c r="B9809" i="1"/>
  <c r="B9810" i="1"/>
  <c r="B9811" i="1"/>
  <c r="B9812" i="1"/>
  <c r="B9813" i="1"/>
  <c r="B9814" i="1"/>
  <c r="B9815" i="1"/>
  <c r="B9816" i="1"/>
  <c r="B9817" i="1"/>
  <c r="B9818" i="1"/>
  <c r="B9819" i="1"/>
  <c r="B9820" i="1"/>
  <c r="B9821" i="1"/>
  <c r="B9822" i="1"/>
  <c r="B9823" i="1"/>
  <c r="B9824" i="1"/>
  <c r="B9825" i="1"/>
  <c r="B9826" i="1"/>
  <c r="B9827" i="1"/>
  <c r="B9828" i="1"/>
  <c r="B9829" i="1"/>
  <c r="B9830" i="1"/>
  <c r="B9831" i="1"/>
  <c r="B9832" i="1"/>
  <c r="B9833" i="1"/>
  <c r="B9834" i="1"/>
  <c r="B9835" i="1"/>
  <c r="B9836" i="1"/>
  <c r="B9837" i="1"/>
  <c r="B9838" i="1"/>
  <c r="B9839" i="1"/>
  <c r="B9840" i="1"/>
  <c r="B9841" i="1"/>
  <c r="B9842" i="1"/>
  <c r="B9843" i="1"/>
  <c r="B9844" i="1"/>
  <c r="B9845" i="1"/>
  <c r="B9846" i="1"/>
  <c r="B9847" i="1"/>
  <c r="B9848" i="1"/>
  <c r="B9849" i="1"/>
  <c r="B9850" i="1"/>
  <c r="B9851" i="1"/>
  <c r="B9852" i="1"/>
  <c r="B9853" i="1"/>
  <c r="B9854" i="1"/>
  <c r="B9855" i="1"/>
  <c r="B9856" i="1"/>
  <c r="B9857" i="1"/>
  <c r="B9858" i="1"/>
  <c r="B9859" i="1"/>
  <c r="B9860" i="1"/>
  <c r="B9861" i="1"/>
  <c r="B9862" i="1"/>
  <c r="B9863" i="1"/>
  <c r="B9864" i="1"/>
  <c r="B9865" i="1"/>
  <c r="B9866" i="1"/>
  <c r="B9867" i="1"/>
  <c r="B9868" i="1"/>
  <c r="B9869" i="1"/>
  <c r="B9870" i="1"/>
  <c r="B9871" i="1"/>
  <c r="B9872" i="1"/>
  <c r="B9873" i="1"/>
  <c r="B9874" i="1"/>
  <c r="B9875" i="1"/>
  <c r="B9876" i="1"/>
  <c r="B9877" i="1"/>
  <c r="B9878" i="1"/>
  <c r="B9879" i="1"/>
  <c r="B9880" i="1"/>
  <c r="B9881" i="1"/>
  <c r="B9882" i="1"/>
  <c r="B9883" i="1"/>
  <c r="B9884" i="1"/>
  <c r="B9885" i="1"/>
  <c r="B9886" i="1"/>
  <c r="B9887" i="1"/>
  <c r="B9888" i="1"/>
  <c r="B9889" i="1"/>
  <c r="B9890" i="1"/>
  <c r="B9891" i="1"/>
  <c r="B9892" i="1"/>
  <c r="B9893" i="1"/>
  <c r="B9894" i="1"/>
  <c r="B9895" i="1"/>
  <c r="B9896" i="1"/>
  <c r="B9897" i="1"/>
  <c r="B9898" i="1"/>
  <c r="B9899" i="1"/>
  <c r="B9900" i="1"/>
  <c r="B9901" i="1"/>
  <c r="B9902" i="1"/>
  <c r="B9903" i="1"/>
  <c r="B9904" i="1"/>
  <c r="B9905" i="1"/>
  <c r="B9906" i="1"/>
  <c r="B9907" i="1"/>
  <c r="B9908" i="1"/>
  <c r="B9909" i="1"/>
  <c r="B9910" i="1"/>
  <c r="B9911" i="1"/>
  <c r="B9912" i="1"/>
  <c r="B9913" i="1"/>
  <c r="B9914" i="1"/>
  <c r="B9915" i="1"/>
  <c r="B9916" i="1"/>
  <c r="B9917" i="1"/>
  <c r="B9918" i="1"/>
  <c r="B9919" i="1"/>
  <c r="B9920" i="1"/>
  <c r="B9921" i="1"/>
  <c r="B9922" i="1"/>
  <c r="B9923" i="1"/>
  <c r="B9924" i="1"/>
  <c r="B9925" i="1"/>
  <c r="B9926" i="1"/>
  <c r="B9927" i="1"/>
  <c r="B9928" i="1"/>
  <c r="B9929" i="1"/>
  <c r="B9930" i="1"/>
  <c r="B9931" i="1"/>
  <c r="B9932" i="1"/>
  <c r="B9933" i="1"/>
  <c r="B9934" i="1"/>
  <c r="B9935" i="1"/>
  <c r="B9936" i="1"/>
  <c r="B9937" i="1"/>
  <c r="B9938" i="1"/>
  <c r="B9939" i="1"/>
  <c r="B9940" i="1"/>
  <c r="B9941" i="1"/>
  <c r="B9942" i="1"/>
  <c r="B9943" i="1"/>
  <c r="B9944" i="1"/>
  <c r="B9945" i="1"/>
  <c r="B9946" i="1"/>
  <c r="B9947" i="1"/>
  <c r="B9948" i="1"/>
  <c r="B9949" i="1"/>
  <c r="B9950" i="1"/>
  <c r="B9951" i="1"/>
  <c r="B9952" i="1"/>
  <c r="B9953" i="1"/>
  <c r="B9954" i="1"/>
  <c r="B9955" i="1"/>
  <c r="B9956" i="1"/>
  <c r="B9957" i="1"/>
  <c r="B9958" i="1"/>
  <c r="B9959" i="1"/>
  <c r="B9960" i="1"/>
  <c r="B9961" i="1"/>
  <c r="B9962" i="1"/>
  <c r="B9963" i="1"/>
  <c r="B9964" i="1"/>
  <c r="B9965" i="1"/>
  <c r="B9966" i="1"/>
  <c r="B9967" i="1"/>
  <c r="B9968" i="1"/>
  <c r="B9969" i="1"/>
  <c r="B9970" i="1"/>
  <c r="B9971" i="1"/>
  <c r="B9972" i="1"/>
  <c r="B9973" i="1"/>
  <c r="B9974" i="1"/>
  <c r="B9975" i="1"/>
  <c r="B9976" i="1"/>
  <c r="B9977" i="1"/>
  <c r="B9978" i="1"/>
  <c r="B9979" i="1"/>
  <c r="B9980" i="1"/>
  <c r="B9981" i="1"/>
  <c r="B9982" i="1"/>
  <c r="B9983" i="1"/>
  <c r="B9984" i="1"/>
  <c r="B9985" i="1"/>
  <c r="B9986" i="1"/>
  <c r="B9987" i="1"/>
  <c r="B9988" i="1"/>
  <c r="B9989" i="1"/>
  <c r="B9990" i="1"/>
  <c r="B9991" i="1"/>
  <c r="B9992" i="1"/>
  <c r="B9993" i="1"/>
  <c r="B9994" i="1"/>
  <c r="B9995" i="1"/>
  <c r="B9996" i="1"/>
  <c r="B9997" i="1"/>
  <c r="B9998" i="1"/>
  <c r="B9999" i="1"/>
  <c r="B10000" i="1"/>
  <c r="B10001" i="1"/>
  <c r="B10002" i="1"/>
  <c r="B10003" i="1"/>
  <c r="B10004" i="1"/>
  <c r="B10005" i="1"/>
  <c r="B10006" i="1"/>
  <c r="B10007" i="1"/>
  <c r="B10008" i="1"/>
  <c r="B10009" i="1"/>
  <c r="B10010" i="1"/>
  <c r="B10011" i="1"/>
  <c r="B10012" i="1"/>
  <c r="B10013" i="1"/>
  <c r="B10014" i="1"/>
  <c r="B10015" i="1"/>
  <c r="B10016" i="1"/>
  <c r="B10017" i="1"/>
  <c r="B10018" i="1"/>
  <c r="B10019" i="1"/>
  <c r="B10020" i="1"/>
  <c r="B10021" i="1"/>
  <c r="B10022" i="1"/>
  <c r="B10023" i="1"/>
  <c r="B10024" i="1"/>
  <c r="B10025" i="1"/>
  <c r="B10026" i="1"/>
  <c r="B10027" i="1"/>
  <c r="B10028" i="1"/>
  <c r="B10029" i="1"/>
  <c r="B10030" i="1"/>
  <c r="B10031" i="1"/>
  <c r="B10032" i="1"/>
  <c r="B10033" i="1"/>
  <c r="B10034" i="1"/>
  <c r="B10035" i="1"/>
  <c r="B10036" i="1"/>
  <c r="B10037" i="1"/>
  <c r="B10038" i="1"/>
  <c r="B10039" i="1"/>
  <c r="B10040" i="1"/>
  <c r="B10041" i="1"/>
  <c r="B10042" i="1"/>
  <c r="B10043" i="1"/>
  <c r="B10044" i="1"/>
  <c r="B10045" i="1"/>
  <c r="B10046" i="1"/>
  <c r="B10047" i="1"/>
  <c r="B10048" i="1"/>
  <c r="B10049" i="1"/>
  <c r="B10050" i="1"/>
  <c r="B10051" i="1"/>
  <c r="B10052" i="1"/>
  <c r="B10053" i="1"/>
  <c r="B10054" i="1"/>
  <c r="B10055" i="1"/>
  <c r="B10056" i="1"/>
  <c r="B10057" i="1"/>
  <c r="B10058" i="1"/>
  <c r="B10059" i="1"/>
  <c r="B10060" i="1"/>
  <c r="B10061" i="1"/>
  <c r="B10062" i="1"/>
  <c r="B10063" i="1"/>
  <c r="B10064" i="1"/>
  <c r="B10065" i="1"/>
  <c r="B10066" i="1"/>
  <c r="B10067" i="1"/>
  <c r="B10068" i="1"/>
  <c r="B10069" i="1"/>
  <c r="B10070" i="1"/>
  <c r="B10071" i="1"/>
  <c r="B10072" i="1"/>
  <c r="B10073" i="1"/>
  <c r="B10074" i="1"/>
  <c r="B10075" i="1"/>
  <c r="B10076" i="1"/>
  <c r="B10077" i="1"/>
  <c r="B10078" i="1"/>
  <c r="B10079" i="1"/>
  <c r="B10080" i="1"/>
  <c r="B10081" i="1"/>
  <c r="B10082" i="1"/>
  <c r="B10083" i="1"/>
  <c r="B10084" i="1"/>
  <c r="B10085" i="1"/>
  <c r="B10086" i="1"/>
  <c r="B10087" i="1"/>
  <c r="B10088" i="1"/>
  <c r="B10089" i="1"/>
  <c r="B10090" i="1"/>
  <c r="B10091" i="1"/>
  <c r="B10092" i="1"/>
  <c r="B10093" i="1"/>
  <c r="B10094" i="1"/>
  <c r="B10095" i="1"/>
  <c r="B10096" i="1"/>
  <c r="B10097" i="1"/>
  <c r="B10098" i="1"/>
  <c r="B10099" i="1"/>
  <c r="B10100" i="1"/>
  <c r="B10101" i="1"/>
  <c r="B10102" i="1"/>
  <c r="B10103" i="1"/>
  <c r="B10104" i="1"/>
  <c r="B10105" i="1"/>
  <c r="B10106" i="1"/>
  <c r="B10107" i="1"/>
  <c r="B10108" i="1"/>
  <c r="B10109" i="1"/>
  <c r="B10110" i="1"/>
  <c r="B10111" i="1"/>
  <c r="B10112" i="1"/>
  <c r="B10113" i="1"/>
  <c r="B10114" i="1"/>
  <c r="B10115" i="1"/>
  <c r="B10116" i="1"/>
  <c r="B10117" i="1"/>
  <c r="B10118" i="1"/>
  <c r="B10119" i="1"/>
  <c r="B10120" i="1"/>
  <c r="B10121" i="1"/>
  <c r="B10122" i="1"/>
  <c r="B10123" i="1"/>
  <c r="B10124" i="1"/>
  <c r="B10125" i="1"/>
  <c r="B10126" i="1"/>
  <c r="B10127" i="1"/>
  <c r="B10128" i="1"/>
  <c r="B10129" i="1"/>
  <c r="B10130" i="1"/>
  <c r="B10131" i="1"/>
  <c r="B10132" i="1"/>
  <c r="B10133" i="1"/>
  <c r="B10134" i="1"/>
  <c r="B10135" i="1"/>
  <c r="B10136" i="1"/>
  <c r="B10137" i="1"/>
  <c r="B10138" i="1"/>
  <c r="B10139" i="1"/>
  <c r="B10140" i="1"/>
  <c r="B10141" i="1"/>
  <c r="B10142" i="1"/>
  <c r="B10143" i="1"/>
  <c r="B10144" i="1"/>
  <c r="B10145" i="1"/>
  <c r="B10146" i="1"/>
  <c r="B10147" i="1"/>
  <c r="B10148" i="1"/>
  <c r="B10149" i="1"/>
  <c r="B10150" i="1"/>
  <c r="B10151" i="1"/>
  <c r="B10152" i="1"/>
  <c r="B10153" i="1"/>
  <c r="B10154" i="1"/>
  <c r="B10155" i="1"/>
  <c r="B10156" i="1"/>
  <c r="B10157" i="1"/>
  <c r="B10158" i="1"/>
  <c r="B10159" i="1"/>
  <c r="B10160" i="1"/>
  <c r="B10161" i="1"/>
  <c r="B10162" i="1"/>
  <c r="B10163" i="1"/>
  <c r="B10164" i="1"/>
  <c r="B10165" i="1"/>
  <c r="B10166" i="1"/>
  <c r="B10167" i="1"/>
  <c r="B10168" i="1"/>
  <c r="B10169" i="1"/>
  <c r="B10170" i="1"/>
  <c r="B10171" i="1"/>
  <c r="B10172" i="1"/>
  <c r="B10173" i="1"/>
  <c r="B10174" i="1"/>
  <c r="B10175" i="1"/>
  <c r="B10176" i="1"/>
  <c r="B10177" i="1"/>
  <c r="B10178" i="1"/>
  <c r="B10179" i="1"/>
  <c r="B10180" i="1"/>
  <c r="B10181" i="1"/>
  <c r="B10182" i="1"/>
  <c r="B10183" i="1"/>
  <c r="B10184" i="1"/>
  <c r="B10185" i="1"/>
  <c r="B10186" i="1"/>
  <c r="B10187" i="1"/>
  <c r="B10188" i="1"/>
  <c r="B10189" i="1"/>
  <c r="B10190" i="1"/>
  <c r="B10191" i="1"/>
  <c r="B10192" i="1"/>
  <c r="B10193" i="1"/>
  <c r="B10194" i="1"/>
  <c r="B10195" i="1"/>
  <c r="B10196" i="1"/>
  <c r="B10197" i="1"/>
  <c r="B10198" i="1"/>
  <c r="B10199" i="1"/>
  <c r="B10200" i="1"/>
  <c r="B10201" i="1"/>
  <c r="B10202" i="1"/>
  <c r="B10203" i="1"/>
  <c r="B10204" i="1"/>
  <c r="B10205" i="1"/>
  <c r="B10206" i="1"/>
  <c r="B10207" i="1"/>
  <c r="B10208" i="1"/>
  <c r="B10209" i="1"/>
  <c r="B10210" i="1"/>
  <c r="B10211" i="1"/>
  <c r="B10212" i="1"/>
  <c r="B10213" i="1"/>
  <c r="B10214" i="1"/>
  <c r="B10215" i="1"/>
  <c r="B10216" i="1"/>
  <c r="B10217" i="1"/>
  <c r="B10218" i="1"/>
  <c r="B10219" i="1"/>
  <c r="B10220" i="1"/>
  <c r="B10221" i="1"/>
  <c r="B10222" i="1"/>
  <c r="B10223" i="1"/>
  <c r="B10224" i="1"/>
  <c r="B10225" i="1"/>
  <c r="B10226" i="1"/>
  <c r="B10227" i="1"/>
  <c r="B10228" i="1"/>
  <c r="B10229" i="1"/>
  <c r="B10230" i="1"/>
  <c r="B10231" i="1"/>
  <c r="B10232" i="1"/>
  <c r="B10233" i="1"/>
  <c r="B10234" i="1"/>
  <c r="B10235" i="1"/>
  <c r="B10236" i="1"/>
  <c r="B10237" i="1"/>
  <c r="B10238" i="1"/>
  <c r="B10239" i="1"/>
  <c r="B10240" i="1"/>
  <c r="B10241" i="1"/>
  <c r="B10242" i="1"/>
  <c r="B10243" i="1"/>
  <c r="B10244" i="1"/>
  <c r="B10245" i="1"/>
  <c r="B10246" i="1"/>
  <c r="B10247" i="1"/>
  <c r="B10248" i="1"/>
  <c r="B10249" i="1"/>
  <c r="B10250" i="1"/>
  <c r="B10251" i="1"/>
  <c r="B10252" i="1"/>
  <c r="B10253" i="1"/>
  <c r="B10254" i="1"/>
  <c r="B10255" i="1"/>
  <c r="B10256" i="1"/>
  <c r="B10257" i="1"/>
  <c r="B10258" i="1"/>
  <c r="B10259" i="1"/>
  <c r="B10260" i="1"/>
  <c r="B10261" i="1"/>
  <c r="B10262" i="1"/>
  <c r="B10263" i="1"/>
  <c r="B10264" i="1"/>
  <c r="B10265" i="1"/>
  <c r="B10266" i="1"/>
  <c r="B10267" i="1"/>
  <c r="B10268" i="1"/>
  <c r="B10269" i="1"/>
  <c r="B10270" i="1"/>
  <c r="B10271" i="1"/>
  <c r="B10272" i="1"/>
  <c r="B10273" i="1"/>
  <c r="B10274" i="1"/>
  <c r="B10275" i="1"/>
  <c r="B10276" i="1"/>
  <c r="B10277" i="1"/>
  <c r="B10278" i="1"/>
  <c r="B10279" i="1"/>
  <c r="B10280" i="1"/>
  <c r="B10281" i="1"/>
  <c r="B10282" i="1"/>
  <c r="B10283" i="1"/>
  <c r="B10284" i="1"/>
  <c r="B10285" i="1"/>
  <c r="B10286" i="1"/>
  <c r="B10287" i="1"/>
  <c r="B10288" i="1"/>
  <c r="B10289" i="1"/>
  <c r="B10290" i="1"/>
  <c r="B10291" i="1"/>
  <c r="B10292" i="1"/>
  <c r="B10293" i="1"/>
  <c r="B10294" i="1"/>
  <c r="B10295" i="1"/>
  <c r="B10296" i="1"/>
  <c r="B10297" i="1"/>
  <c r="B10298" i="1"/>
  <c r="B10299" i="1"/>
  <c r="B10300" i="1"/>
  <c r="B10301" i="1"/>
  <c r="B10302" i="1"/>
  <c r="B10303" i="1"/>
  <c r="B10304" i="1"/>
  <c r="B10305" i="1"/>
  <c r="B10306" i="1"/>
  <c r="B10307" i="1"/>
  <c r="B10308" i="1"/>
  <c r="B10309" i="1"/>
  <c r="B10310" i="1"/>
  <c r="B10311" i="1"/>
  <c r="B10312" i="1"/>
  <c r="B10313" i="1"/>
  <c r="B10314" i="1"/>
  <c r="B10315" i="1"/>
  <c r="B10316" i="1"/>
  <c r="B10317" i="1"/>
  <c r="B10318" i="1"/>
  <c r="B10319" i="1"/>
  <c r="B10320" i="1"/>
  <c r="B10321" i="1"/>
  <c r="B10322" i="1"/>
  <c r="B10323" i="1"/>
  <c r="B10324" i="1"/>
  <c r="B10325" i="1"/>
  <c r="B10326" i="1"/>
  <c r="B10327" i="1"/>
  <c r="B10328" i="1"/>
  <c r="B10329" i="1"/>
  <c r="B10330" i="1"/>
  <c r="B10331" i="1"/>
  <c r="B10332" i="1"/>
  <c r="B10333" i="1"/>
  <c r="B10334" i="1"/>
  <c r="B10335" i="1"/>
  <c r="B10336" i="1"/>
  <c r="B10337" i="1"/>
  <c r="B10338" i="1"/>
  <c r="B10339" i="1"/>
  <c r="B10340" i="1"/>
  <c r="B10341" i="1"/>
  <c r="B10342" i="1"/>
  <c r="B10343" i="1"/>
  <c r="B10344" i="1"/>
  <c r="B10345" i="1"/>
  <c r="B10346" i="1"/>
  <c r="B10347" i="1"/>
  <c r="B10348" i="1"/>
  <c r="B10349" i="1"/>
  <c r="B10350" i="1"/>
  <c r="B10351" i="1"/>
  <c r="B10352" i="1"/>
  <c r="B10353" i="1"/>
  <c r="B10354" i="1"/>
  <c r="B10355" i="1"/>
  <c r="B10356" i="1"/>
  <c r="B10357" i="1"/>
  <c r="B10358" i="1"/>
  <c r="B10359" i="1"/>
  <c r="B10360" i="1"/>
  <c r="B10361" i="1"/>
  <c r="B10362" i="1"/>
  <c r="B10363" i="1"/>
  <c r="B10364" i="1"/>
  <c r="B10365" i="1"/>
  <c r="B10366" i="1"/>
  <c r="B10367" i="1"/>
  <c r="B10368" i="1"/>
  <c r="B10369" i="1"/>
  <c r="B10370" i="1"/>
  <c r="B10371" i="1"/>
  <c r="B10372" i="1"/>
  <c r="B10373" i="1"/>
  <c r="B10374" i="1"/>
  <c r="B10375" i="1"/>
  <c r="B10376" i="1"/>
  <c r="B10377" i="1"/>
  <c r="B10378" i="1"/>
  <c r="B10379" i="1"/>
  <c r="B10380" i="1"/>
  <c r="B10381" i="1"/>
  <c r="B10382" i="1"/>
  <c r="B10383" i="1"/>
  <c r="B10384" i="1"/>
  <c r="B10385" i="1"/>
  <c r="B10386" i="1"/>
  <c r="B10387" i="1"/>
  <c r="B10388" i="1"/>
  <c r="B10389" i="1"/>
  <c r="B10390" i="1"/>
  <c r="B10391" i="1"/>
  <c r="B10392" i="1"/>
  <c r="B10393" i="1"/>
  <c r="B10394" i="1"/>
  <c r="B10395" i="1"/>
  <c r="B10396" i="1"/>
  <c r="B10397" i="1"/>
  <c r="B10398" i="1"/>
  <c r="B10399" i="1"/>
  <c r="B10400" i="1"/>
  <c r="B10401" i="1"/>
  <c r="B10402" i="1"/>
  <c r="B10403" i="1"/>
  <c r="B10404" i="1"/>
  <c r="B10405" i="1"/>
  <c r="B10406" i="1"/>
  <c r="B10407" i="1"/>
  <c r="B10408" i="1"/>
  <c r="B10409" i="1"/>
  <c r="B10410" i="1"/>
  <c r="B10411" i="1"/>
  <c r="B10412" i="1"/>
  <c r="B10413" i="1"/>
  <c r="B10414" i="1"/>
  <c r="B10415" i="1"/>
  <c r="B10416" i="1"/>
  <c r="B10417" i="1"/>
  <c r="B10418" i="1"/>
  <c r="B10419" i="1"/>
  <c r="B10420" i="1"/>
  <c r="B10421" i="1"/>
  <c r="B10422" i="1"/>
  <c r="B10423" i="1"/>
  <c r="B10424" i="1"/>
  <c r="B10425" i="1"/>
  <c r="B10426" i="1"/>
  <c r="B10427" i="1"/>
  <c r="B10428" i="1"/>
  <c r="B10429" i="1"/>
  <c r="B10430" i="1"/>
  <c r="B10431" i="1"/>
  <c r="B10432" i="1"/>
  <c r="B10433" i="1"/>
  <c r="B10434" i="1"/>
  <c r="B10435" i="1"/>
  <c r="B10436" i="1"/>
  <c r="B10437" i="1"/>
  <c r="B10438" i="1"/>
  <c r="B10439" i="1"/>
  <c r="B10440" i="1"/>
  <c r="B10441" i="1"/>
  <c r="B10442" i="1"/>
  <c r="B10443" i="1"/>
  <c r="B10444" i="1"/>
  <c r="B10445" i="1"/>
  <c r="B10446" i="1"/>
  <c r="B10447" i="1"/>
  <c r="B10448" i="1"/>
  <c r="B10449" i="1"/>
  <c r="B10450" i="1"/>
  <c r="B10451" i="1"/>
  <c r="B10452" i="1"/>
  <c r="B10453" i="1"/>
  <c r="B10454" i="1"/>
  <c r="B10455" i="1"/>
  <c r="B10456" i="1"/>
  <c r="B10457" i="1"/>
  <c r="B10458" i="1"/>
  <c r="B10459" i="1"/>
  <c r="B10460" i="1"/>
  <c r="B10461" i="1"/>
  <c r="B10462" i="1"/>
  <c r="B10463" i="1"/>
  <c r="B10464" i="1"/>
  <c r="B10465" i="1"/>
  <c r="B10466" i="1"/>
  <c r="B10467" i="1"/>
  <c r="B10468" i="1"/>
  <c r="B10469" i="1"/>
  <c r="B10470" i="1"/>
  <c r="B10471" i="1"/>
  <c r="B10472" i="1"/>
  <c r="B10473" i="1"/>
  <c r="B10474" i="1"/>
  <c r="B10475" i="1"/>
  <c r="B10476" i="1"/>
  <c r="B10477" i="1"/>
  <c r="B10478" i="1"/>
  <c r="B10479" i="1"/>
  <c r="B10480" i="1"/>
  <c r="B10481" i="1"/>
  <c r="B10482" i="1"/>
  <c r="B10483" i="1"/>
  <c r="B10484" i="1"/>
  <c r="B10485" i="1"/>
  <c r="B10486" i="1"/>
  <c r="B10487" i="1"/>
  <c r="B10488" i="1"/>
  <c r="B10489" i="1"/>
  <c r="B10490" i="1"/>
  <c r="B10491" i="1"/>
  <c r="B10492" i="1"/>
  <c r="B10493" i="1"/>
  <c r="B10494" i="1"/>
  <c r="B10495" i="1"/>
  <c r="B10496" i="1"/>
  <c r="B10497" i="1"/>
  <c r="B10498" i="1"/>
  <c r="B10499" i="1"/>
  <c r="B10500" i="1"/>
  <c r="B10501" i="1"/>
  <c r="B10502" i="1"/>
  <c r="B10503" i="1"/>
  <c r="B10504" i="1"/>
  <c r="B10505" i="1"/>
  <c r="B10506" i="1"/>
  <c r="B10507" i="1"/>
  <c r="B10508" i="1"/>
  <c r="B10509" i="1"/>
  <c r="B10510" i="1"/>
  <c r="B10511" i="1"/>
  <c r="B10512" i="1"/>
  <c r="B10513" i="1"/>
  <c r="B10514" i="1"/>
  <c r="B10515" i="1"/>
  <c r="B10516" i="1"/>
  <c r="B10517" i="1"/>
  <c r="B10518" i="1"/>
  <c r="B10519" i="1"/>
  <c r="B10520" i="1"/>
  <c r="B10521" i="1"/>
  <c r="B10522" i="1"/>
  <c r="B10523" i="1"/>
  <c r="B10524" i="1"/>
  <c r="B10525" i="1"/>
  <c r="B10526" i="1"/>
  <c r="B10527" i="1"/>
  <c r="B10528" i="1"/>
  <c r="B10529" i="1"/>
  <c r="B10530" i="1"/>
  <c r="B10531" i="1"/>
  <c r="B10532" i="1"/>
  <c r="B10533" i="1"/>
  <c r="B10534" i="1"/>
  <c r="B10535" i="1"/>
  <c r="B10536" i="1"/>
  <c r="B10537" i="1"/>
  <c r="B10538" i="1"/>
  <c r="B10539" i="1"/>
  <c r="B10540" i="1"/>
  <c r="B10541" i="1"/>
  <c r="B10542" i="1"/>
  <c r="B10543" i="1"/>
  <c r="B10544" i="1"/>
  <c r="B10545" i="1"/>
  <c r="B10546" i="1"/>
  <c r="B10547" i="1"/>
  <c r="B10548" i="1"/>
  <c r="B10549" i="1"/>
  <c r="B10550" i="1"/>
  <c r="B10551" i="1"/>
  <c r="B10552" i="1"/>
  <c r="B10553" i="1"/>
  <c r="B10554" i="1"/>
  <c r="B10555" i="1"/>
  <c r="B10556" i="1"/>
  <c r="B10557" i="1"/>
  <c r="B10558" i="1"/>
  <c r="B10559" i="1"/>
  <c r="B10560" i="1"/>
  <c r="B10561" i="1"/>
  <c r="B10562" i="1"/>
  <c r="B10563" i="1"/>
  <c r="B10564" i="1"/>
  <c r="B10565" i="1"/>
  <c r="B10566" i="1"/>
  <c r="B10567" i="1"/>
  <c r="B10568" i="1"/>
  <c r="B10569" i="1"/>
  <c r="B10570" i="1"/>
  <c r="B10571" i="1"/>
  <c r="B10572" i="1"/>
  <c r="B10573" i="1"/>
  <c r="B10574" i="1"/>
  <c r="B10575" i="1"/>
  <c r="B10576" i="1"/>
  <c r="B10577" i="1"/>
  <c r="B10578" i="1"/>
  <c r="B10579" i="1"/>
  <c r="B10580" i="1"/>
  <c r="B10581" i="1"/>
  <c r="B10582" i="1"/>
  <c r="B10583" i="1"/>
  <c r="B10584" i="1"/>
  <c r="B10585" i="1"/>
  <c r="B10586" i="1"/>
  <c r="B10587" i="1"/>
  <c r="B10588" i="1"/>
  <c r="B10589" i="1"/>
  <c r="B10590" i="1"/>
  <c r="B10591" i="1"/>
  <c r="B10592" i="1"/>
  <c r="B10593" i="1"/>
  <c r="B10594" i="1"/>
  <c r="B10595" i="1"/>
  <c r="B10596" i="1"/>
  <c r="B10597" i="1"/>
  <c r="B10598" i="1"/>
  <c r="B10599" i="1"/>
  <c r="B10600" i="1"/>
  <c r="B10601" i="1"/>
  <c r="B10602" i="1"/>
  <c r="B10603" i="1"/>
  <c r="B10604" i="1"/>
  <c r="B10605" i="1"/>
  <c r="B10606" i="1"/>
  <c r="B10607" i="1"/>
  <c r="B10608" i="1"/>
  <c r="B10609" i="1"/>
  <c r="B10610" i="1"/>
  <c r="B10611" i="1"/>
  <c r="B10612" i="1"/>
  <c r="B10613" i="1"/>
  <c r="B10614" i="1"/>
  <c r="B10615" i="1"/>
  <c r="B10616" i="1"/>
  <c r="B10617" i="1"/>
  <c r="B10618" i="1"/>
  <c r="B10619" i="1"/>
  <c r="B10620" i="1"/>
  <c r="B10621" i="1"/>
  <c r="B10622" i="1"/>
  <c r="B10623" i="1"/>
  <c r="B10624" i="1"/>
  <c r="B10625" i="1"/>
  <c r="B10626" i="1"/>
  <c r="B10627" i="1"/>
  <c r="B10628" i="1"/>
  <c r="B10629" i="1"/>
  <c r="B10630" i="1"/>
  <c r="B10631" i="1"/>
  <c r="B10632" i="1"/>
  <c r="B10633" i="1"/>
  <c r="B10634" i="1"/>
  <c r="B10635" i="1"/>
  <c r="B10636" i="1"/>
  <c r="B10637" i="1"/>
  <c r="B10638" i="1"/>
  <c r="B10639" i="1"/>
  <c r="B10640" i="1"/>
  <c r="B10641" i="1"/>
  <c r="B10642" i="1"/>
  <c r="B10643" i="1"/>
  <c r="B10644" i="1"/>
  <c r="B10645" i="1"/>
  <c r="B10646" i="1"/>
  <c r="B10647" i="1"/>
  <c r="B10648" i="1"/>
  <c r="B10649" i="1"/>
  <c r="B10650" i="1"/>
  <c r="B10651" i="1"/>
  <c r="B10652" i="1"/>
  <c r="B10653" i="1"/>
  <c r="B10654" i="1"/>
  <c r="B10655" i="1"/>
  <c r="B10656" i="1"/>
  <c r="B10657" i="1"/>
  <c r="B10658" i="1"/>
  <c r="B10659" i="1"/>
  <c r="B10660" i="1"/>
  <c r="B10661" i="1"/>
  <c r="B10662" i="1"/>
  <c r="B10663" i="1"/>
  <c r="B10664" i="1"/>
  <c r="B10665" i="1"/>
  <c r="B10666" i="1"/>
  <c r="B10667" i="1"/>
  <c r="B10668" i="1"/>
  <c r="B10669" i="1"/>
  <c r="B10670" i="1"/>
  <c r="B10671" i="1"/>
  <c r="B10672" i="1"/>
  <c r="B10673" i="1"/>
  <c r="B10674" i="1"/>
  <c r="B10675" i="1"/>
  <c r="B10676" i="1"/>
  <c r="B10677" i="1"/>
  <c r="B10678" i="1"/>
  <c r="B10679" i="1"/>
  <c r="B10680" i="1"/>
  <c r="B10681" i="1"/>
  <c r="B10682" i="1"/>
  <c r="B10683" i="1"/>
  <c r="B10684" i="1"/>
  <c r="B10685" i="1"/>
  <c r="B10686" i="1"/>
  <c r="B10687" i="1"/>
  <c r="B10688" i="1"/>
  <c r="B10689" i="1"/>
  <c r="B10690" i="1"/>
  <c r="B10691" i="1"/>
  <c r="B10692" i="1"/>
  <c r="B10693" i="1"/>
  <c r="B10694" i="1"/>
  <c r="B10695" i="1"/>
  <c r="B10696" i="1"/>
  <c r="B10697" i="1"/>
  <c r="B10698" i="1"/>
  <c r="B10699" i="1"/>
  <c r="B10700" i="1"/>
  <c r="B10701" i="1"/>
  <c r="B10702" i="1"/>
  <c r="B10703" i="1"/>
  <c r="B10704" i="1"/>
  <c r="B10705" i="1"/>
  <c r="B10706" i="1"/>
  <c r="B10707" i="1"/>
  <c r="B10708" i="1"/>
  <c r="B10709" i="1"/>
  <c r="B10710" i="1"/>
  <c r="B10711" i="1"/>
  <c r="B10712" i="1"/>
  <c r="B10713" i="1"/>
  <c r="B10714" i="1"/>
  <c r="B10715" i="1"/>
  <c r="B10716" i="1"/>
  <c r="B10717" i="1"/>
  <c r="B10718" i="1"/>
  <c r="B10719" i="1"/>
  <c r="B10720" i="1"/>
  <c r="B10721" i="1"/>
  <c r="B10722" i="1"/>
  <c r="B10723" i="1"/>
  <c r="B10724" i="1"/>
  <c r="B10725" i="1"/>
  <c r="B10726" i="1"/>
  <c r="B10727" i="1"/>
  <c r="B10728" i="1"/>
  <c r="B10729" i="1"/>
  <c r="B10730" i="1"/>
  <c r="B10731" i="1"/>
  <c r="B10732" i="1"/>
  <c r="B10733" i="1"/>
  <c r="B10734" i="1"/>
  <c r="B10735" i="1"/>
  <c r="B10736" i="1"/>
  <c r="B10737" i="1"/>
  <c r="B10738" i="1"/>
  <c r="B10739" i="1"/>
  <c r="B10740" i="1"/>
  <c r="B10741" i="1"/>
  <c r="B10742" i="1"/>
  <c r="B10743" i="1"/>
  <c r="B10744" i="1"/>
  <c r="B10745" i="1"/>
  <c r="B10746" i="1"/>
  <c r="B10747" i="1"/>
  <c r="B10748" i="1"/>
  <c r="B10749" i="1"/>
  <c r="B10750" i="1"/>
  <c r="B10751" i="1"/>
  <c r="B10752" i="1"/>
  <c r="B10753" i="1"/>
  <c r="B10754" i="1"/>
  <c r="B10755" i="1"/>
  <c r="B10756" i="1"/>
  <c r="B10757" i="1"/>
  <c r="B10758" i="1"/>
  <c r="B10759" i="1"/>
  <c r="B10760" i="1"/>
  <c r="B10761" i="1"/>
  <c r="B10762" i="1"/>
  <c r="B10763" i="1"/>
  <c r="B10764" i="1"/>
  <c r="B10765" i="1"/>
  <c r="B10766" i="1"/>
  <c r="B10767" i="1"/>
  <c r="B10768" i="1"/>
  <c r="B10769" i="1"/>
  <c r="B10770" i="1"/>
  <c r="B10771" i="1"/>
  <c r="B10772" i="1"/>
  <c r="B10773" i="1"/>
  <c r="B10774" i="1"/>
  <c r="B10775" i="1"/>
  <c r="B10776" i="1"/>
  <c r="B10777" i="1"/>
  <c r="B10778" i="1"/>
  <c r="B10779" i="1"/>
  <c r="B10780" i="1"/>
  <c r="B10781" i="1"/>
  <c r="B10782" i="1"/>
  <c r="B10783" i="1"/>
  <c r="B10784" i="1"/>
  <c r="B10785" i="1"/>
  <c r="B10786" i="1"/>
  <c r="B10787" i="1"/>
  <c r="B10788" i="1"/>
  <c r="B10789" i="1"/>
  <c r="B10790" i="1"/>
  <c r="B10791" i="1"/>
  <c r="B10792" i="1"/>
  <c r="B10793" i="1"/>
  <c r="B10794" i="1"/>
  <c r="B10795" i="1"/>
  <c r="B10796" i="1"/>
  <c r="B10797" i="1"/>
  <c r="B10798" i="1"/>
  <c r="B10799" i="1"/>
  <c r="B10800" i="1"/>
  <c r="B10801" i="1"/>
  <c r="B10802" i="1"/>
  <c r="B10803" i="1"/>
  <c r="B10804" i="1"/>
  <c r="B10805" i="1"/>
  <c r="B10806" i="1"/>
  <c r="B10807" i="1"/>
  <c r="B10808" i="1"/>
  <c r="B10809" i="1"/>
  <c r="B10810" i="1"/>
  <c r="B10811" i="1"/>
  <c r="B10812" i="1"/>
  <c r="B10813" i="1"/>
  <c r="B10814" i="1"/>
  <c r="B10815" i="1"/>
  <c r="B10816" i="1"/>
  <c r="B10817" i="1"/>
  <c r="B10818" i="1"/>
  <c r="B10819" i="1"/>
  <c r="B10820" i="1"/>
  <c r="B10821" i="1"/>
  <c r="B10822" i="1"/>
  <c r="B10823" i="1"/>
  <c r="B10824" i="1"/>
  <c r="B10825" i="1"/>
  <c r="B10826" i="1"/>
  <c r="B10827" i="1"/>
  <c r="B10828" i="1"/>
  <c r="B10829" i="1"/>
  <c r="B10830" i="1"/>
  <c r="B10831" i="1"/>
  <c r="B10832" i="1"/>
  <c r="B10833" i="1"/>
  <c r="B10834" i="1"/>
  <c r="B10835" i="1"/>
  <c r="B10836" i="1"/>
  <c r="B10837" i="1"/>
  <c r="B10838" i="1"/>
  <c r="B10839" i="1"/>
  <c r="B10840" i="1"/>
  <c r="B10841" i="1"/>
  <c r="B10842" i="1"/>
  <c r="B10843" i="1"/>
  <c r="B10844" i="1"/>
  <c r="B10845" i="1"/>
  <c r="B10846" i="1"/>
  <c r="B10847" i="1"/>
  <c r="B10848" i="1"/>
  <c r="B10849" i="1"/>
  <c r="B10850" i="1"/>
  <c r="B10851" i="1"/>
  <c r="B10852" i="1"/>
  <c r="B10853" i="1"/>
  <c r="B10854" i="1"/>
  <c r="B10855" i="1"/>
  <c r="B10856" i="1"/>
  <c r="B10857" i="1"/>
  <c r="B10858" i="1"/>
  <c r="B10859" i="1"/>
  <c r="B10860" i="1"/>
  <c r="B10861" i="1"/>
  <c r="B10862" i="1"/>
  <c r="B10863" i="1"/>
  <c r="B10864" i="1"/>
  <c r="B10865" i="1"/>
  <c r="B10866" i="1"/>
  <c r="B10867" i="1"/>
  <c r="B10868" i="1"/>
  <c r="B10869" i="1"/>
  <c r="B10870" i="1"/>
  <c r="B10871" i="1"/>
  <c r="B10872" i="1"/>
  <c r="B10873" i="1"/>
  <c r="B10874" i="1"/>
  <c r="B10875" i="1"/>
  <c r="B10876" i="1"/>
  <c r="B10877" i="1"/>
  <c r="B10878" i="1"/>
  <c r="B10879" i="1"/>
  <c r="B10880" i="1"/>
  <c r="B10881" i="1"/>
  <c r="B10882" i="1"/>
  <c r="B10883" i="1"/>
  <c r="B10884" i="1"/>
  <c r="B10885" i="1"/>
  <c r="B10886" i="1"/>
  <c r="B10887" i="1"/>
  <c r="B10888" i="1"/>
  <c r="B10889" i="1"/>
  <c r="B10890" i="1"/>
  <c r="B10891" i="1"/>
  <c r="B10892" i="1"/>
  <c r="B10893" i="1"/>
  <c r="B10894" i="1"/>
  <c r="B10895" i="1"/>
  <c r="B10896" i="1"/>
  <c r="B10897" i="1"/>
  <c r="B10898" i="1"/>
  <c r="B10899" i="1"/>
  <c r="B10900" i="1"/>
  <c r="B10901" i="1"/>
  <c r="B10902" i="1"/>
  <c r="B10903" i="1"/>
  <c r="B10904" i="1"/>
  <c r="B10905" i="1"/>
  <c r="B10906" i="1"/>
  <c r="B10907" i="1"/>
  <c r="B10908" i="1"/>
  <c r="B10909" i="1"/>
  <c r="B10910" i="1"/>
  <c r="B10911" i="1"/>
  <c r="B10912" i="1"/>
  <c r="B10913" i="1"/>
  <c r="B10914" i="1"/>
  <c r="B10915" i="1"/>
  <c r="B10916" i="1"/>
  <c r="B10917" i="1"/>
  <c r="B10918" i="1"/>
  <c r="B10919" i="1"/>
  <c r="B10920" i="1"/>
  <c r="B10921" i="1"/>
  <c r="B10922" i="1"/>
  <c r="B10923" i="1"/>
  <c r="B10924" i="1"/>
  <c r="B10925" i="1"/>
  <c r="B10926" i="1"/>
  <c r="B10927" i="1"/>
  <c r="B10928" i="1"/>
  <c r="B10929" i="1"/>
  <c r="B10930" i="1"/>
  <c r="B10931" i="1"/>
  <c r="B10932" i="1"/>
  <c r="B10933" i="1"/>
  <c r="B10934" i="1"/>
  <c r="B10935" i="1"/>
  <c r="B10936" i="1"/>
  <c r="B10937" i="1"/>
  <c r="B10938" i="1"/>
  <c r="B10939" i="1"/>
  <c r="B10940" i="1"/>
  <c r="B10941" i="1"/>
  <c r="B10942" i="1"/>
  <c r="B10943" i="1"/>
  <c r="B10944" i="1"/>
  <c r="B10945" i="1"/>
  <c r="B10946" i="1"/>
  <c r="B10947" i="1"/>
  <c r="B10948" i="1"/>
  <c r="B10949" i="1"/>
  <c r="B10950" i="1"/>
  <c r="B10951" i="1"/>
  <c r="B10952" i="1"/>
  <c r="B10953" i="1"/>
  <c r="B10954" i="1"/>
  <c r="B10955" i="1"/>
  <c r="B10956" i="1"/>
  <c r="B10957" i="1"/>
  <c r="B10958" i="1"/>
  <c r="B10959" i="1"/>
  <c r="B10960" i="1"/>
  <c r="B10961" i="1"/>
  <c r="B10962" i="1"/>
  <c r="B10963" i="1"/>
  <c r="B10964" i="1"/>
  <c r="B10965" i="1"/>
  <c r="B10966" i="1"/>
  <c r="B10967" i="1"/>
  <c r="B10968" i="1"/>
  <c r="B10969" i="1"/>
  <c r="B10970" i="1"/>
  <c r="B10971" i="1"/>
  <c r="B10972" i="1"/>
  <c r="B10973" i="1"/>
  <c r="B10974" i="1"/>
  <c r="B10975" i="1"/>
  <c r="B10976" i="1"/>
  <c r="B10977" i="1"/>
  <c r="B10978" i="1"/>
  <c r="B10979" i="1"/>
  <c r="B10980" i="1"/>
  <c r="B10981" i="1"/>
  <c r="B10982" i="1"/>
  <c r="B10983" i="1"/>
  <c r="B10984" i="1"/>
  <c r="B10985" i="1"/>
  <c r="B10986" i="1"/>
  <c r="B10987" i="1"/>
  <c r="B10988" i="1"/>
  <c r="B10989" i="1"/>
  <c r="B10990" i="1"/>
  <c r="B10991" i="1"/>
  <c r="B10992" i="1"/>
  <c r="B10993" i="1"/>
  <c r="B10994" i="1"/>
  <c r="B10995" i="1"/>
  <c r="B10996" i="1"/>
  <c r="B10997" i="1"/>
  <c r="B10998" i="1"/>
  <c r="B10999" i="1"/>
  <c r="B11000" i="1"/>
  <c r="B11001" i="1"/>
  <c r="B11002" i="1"/>
  <c r="B11003" i="1"/>
  <c r="B11004" i="1"/>
  <c r="B11005" i="1"/>
  <c r="B11006" i="1"/>
  <c r="B11007" i="1"/>
  <c r="B11008" i="1"/>
  <c r="B11009" i="1"/>
  <c r="B11010" i="1"/>
  <c r="B11011" i="1"/>
  <c r="B11012" i="1"/>
  <c r="B11013" i="1"/>
  <c r="B11014" i="1"/>
  <c r="B11015" i="1"/>
  <c r="B11016" i="1"/>
  <c r="B11017" i="1"/>
  <c r="B11018" i="1"/>
  <c r="B11019" i="1"/>
  <c r="B11020" i="1"/>
  <c r="B11021" i="1"/>
  <c r="B11022" i="1"/>
  <c r="B11023" i="1"/>
  <c r="B11024" i="1"/>
  <c r="B11025" i="1"/>
  <c r="B11026" i="1"/>
  <c r="B11027" i="1"/>
  <c r="B11028" i="1"/>
  <c r="B11029" i="1"/>
  <c r="B11030" i="1"/>
  <c r="B11031" i="1"/>
  <c r="B11032" i="1"/>
  <c r="B11033" i="1"/>
  <c r="B11034" i="1"/>
  <c r="B11035" i="1"/>
  <c r="B11036" i="1"/>
  <c r="B11037" i="1"/>
  <c r="B11038" i="1"/>
  <c r="B11039" i="1"/>
  <c r="B11040" i="1"/>
  <c r="B11041" i="1"/>
  <c r="B11042" i="1"/>
  <c r="B11043" i="1"/>
  <c r="B11044" i="1"/>
  <c r="B11045" i="1"/>
  <c r="B11046" i="1"/>
  <c r="B11047" i="1"/>
  <c r="B11048" i="1"/>
  <c r="B11049" i="1"/>
  <c r="B11050" i="1"/>
  <c r="B11051" i="1"/>
  <c r="B11052" i="1"/>
  <c r="B11053" i="1"/>
  <c r="B11054" i="1"/>
  <c r="B11055" i="1"/>
  <c r="B11056" i="1"/>
  <c r="B11057" i="1"/>
  <c r="B11058" i="1"/>
  <c r="B11059" i="1"/>
  <c r="B11060" i="1"/>
  <c r="B11061" i="1"/>
  <c r="B11062" i="1"/>
  <c r="B11063" i="1"/>
  <c r="B11064" i="1"/>
  <c r="B11065" i="1"/>
  <c r="B11066" i="1"/>
  <c r="B11067" i="1"/>
  <c r="B11068" i="1"/>
  <c r="B11069" i="1"/>
  <c r="B11070" i="1"/>
  <c r="B11071" i="1"/>
  <c r="B11072" i="1"/>
  <c r="B11073" i="1"/>
  <c r="B11074" i="1"/>
  <c r="B11075" i="1"/>
  <c r="B11076" i="1"/>
  <c r="B11077" i="1"/>
  <c r="B11078" i="1"/>
  <c r="B11079" i="1"/>
  <c r="B11080" i="1"/>
  <c r="B11081" i="1"/>
  <c r="B11082" i="1"/>
  <c r="B11083" i="1"/>
  <c r="B11084" i="1"/>
  <c r="B11085" i="1"/>
  <c r="B11086" i="1"/>
  <c r="B11087" i="1"/>
  <c r="B11088" i="1"/>
  <c r="B11089" i="1"/>
  <c r="B11090" i="1"/>
  <c r="B11091" i="1"/>
  <c r="B11092" i="1"/>
  <c r="B11093" i="1"/>
  <c r="B11094" i="1"/>
  <c r="B11095" i="1"/>
  <c r="B11096" i="1"/>
  <c r="B11097" i="1"/>
  <c r="B11098" i="1"/>
  <c r="B11099" i="1"/>
  <c r="B11100" i="1"/>
  <c r="B11101" i="1"/>
  <c r="B11102" i="1"/>
  <c r="B11103" i="1"/>
  <c r="B11104" i="1"/>
  <c r="B11105" i="1"/>
  <c r="B11106" i="1"/>
  <c r="B11107" i="1"/>
  <c r="B11108" i="1"/>
  <c r="B11109" i="1"/>
  <c r="B11110" i="1"/>
  <c r="B11111" i="1"/>
  <c r="B11112" i="1"/>
  <c r="B11113" i="1"/>
  <c r="B11114" i="1"/>
  <c r="B11115" i="1"/>
  <c r="B11116" i="1"/>
  <c r="B11117" i="1"/>
  <c r="B11118" i="1"/>
  <c r="B11119" i="1"/>
  <c r="B11120" i="1"/>
  <c r="B11121" i="1"/>
  <c r="B11122" i="1"/>
  <c r="B11123" i="1"/>
  <c r="B11124" i="1"/>
  <c r="B11125" i="1"/>
  <c r="B11126" i="1"/>
  <c r="B11127" i="1"/>
  <c r="B11128" i="1"/>
  <c r="B11129" i="1"/>
  <c r="B11130" i="1"/>
  <c r="B11131" i="1"/>
  <c r="B11132" i="1"/>
  <c r="B11133" i="1"/>
  <c r="B11134" i="1"/>
  <c r="B11135" i="1"/>
  <c r="B11136" i="1"/>
  <c r="B11137" i="1"/>
  <c r="B11138" i="1"/>
  <c r="B11139" i="1"/>
  <c r="B11140" i="1"/>
  <c r="B11141" i="1"/>
  <c r="B11142" i="1"/>
  <c r="B11143" i="1"/>
  <c r="B11144" i="1"/>
  <c r="B11145" i="1"/>
  <c r="B11146" i="1"/>
  <c r="B11147" i="1"/>
  <c r="B11148" i="1"/>
  <c r="B11149" i="1"/>
  <c r="B11150" i="1"/>
  <c r="B11151" i="1"/>
  <c r="B11152" i="1"/>
  <c r="B11153" i="1"/>
  <c r="B11154" i="1"/>
  <c r="B11155" i="1"/>
  <c r="B11156" i="1"/>
  <c r="B11157" i="1"/>
  <c r="B11158" i="1"/>
  <c r="B11159" i="1"/>
  <c r="B11160" i="1"/>
  <c r="B11161" i="1"/>
  <c r="B11162" i="1"/>
  <c r="B11163" i="1"/>
  <c r="B11164" i="1"/>
  <c r="B11165" i="1"/>
  <c r="B11166" i="1"/>
  <c r="B11167" i="1"/>
  <c r="B11168" i="1"/>
  <c r="B11169" i="1"/>
  <c r="B11170" i="1"/>
  <c r="B11171" i="1"/>
  <c r="B11172" i="1"/>
  <c r="B11173" i="1"/>
  <c r="B11174" i="1"/>
  <c r="B11175" i="1"/>
  <c r="B11176" i="1"/>
  <c r="B11177" i="1"/>
  <c r="B11178" i="1"/>
  <c r="B11179" i="1"/>
  <c r="B11180" i="1"/>
  <c r="B11181" i="1"/>
  <c r="B11182" i="1"/>
  <c r="B11183" i="1"/>
  <c r="B11184" i="1"/>
  <c r="B11185" i="1"/>
  <c r="B11186" i="1"/>
  <c r="B11187" i="1"/>
  <c r="B11188" i="1"/>
  <c r="B11189" i="1"/>
  <c r="B11190" i="1"/>
  <c r="B11191" i="1"/>
  <c r="B11192" i="1"/>
  <c r="B11193" i="1"/>
  <c r="B11194" i="1"/>
  <c r="B11195" i="1"/>
  <c r="B11196" i="1"/>
  <c r="B11197" i="1"/>
  <c r="B11198" i="1"/>
  <c r="B11199" i="1"/>
  <c r="B11200" i="1"/>
  <c r="B11201" i="1"/>
  <c r="B11202" i="1"/>
  <c r="B11203" i="1"/>
  <c r="B11204" i="1"/>
  <c r="B11205" i="1"/>
  <c r="B11206" i="1"/>
  <c r="B11207" i="1"/>
  <c r="B11208" i="1"/>
  <c r="B11209" i="1"/>
  <c r="B11210" i="1"/>
  <c r="B11211" i="1"/>
  <c r="B11212" i="1"/>
  <c r="B11213" i="1"/>
  <c r="B11214" i="1"/>
  <c r="B11215" i="1"/>
  <c r="B11216" i="1"/>
  <c r="B11217" i="1"/>
  <c r="B11218" i="1"/>
  <c r="B11219" i="1"/>
  <c r="B11220" i="1"/>
  <c r="B11221" i="1"/>
  <c r="B11222" i="1"/>
  <c r="B11223" i="1"/>
  <c r="B11224" i="1"/>
  <c r="B11225" i="1"/>
  <c r="B11226" i="1"/>
  <c r="B11227" i="1"/>
  <c r="B11228" i="1"/>
  <c r="B11229" i="1"/>
  <c r="B11230" i="1"/>
  <c r="B11231" i="1"/>
  <c r="B11232" i="1"/>
  <c r="B11233" i="1"/>
  <c r="B11234" i="1"/>
  <c r="B11235" i="1"/>
  <c r="B11236" i="1"/>
  <c r="B11237" i="1"/>
  <c r="B11238" i="1"/>
  <c r="B11239" i="1"/>
  <c r="B11240" i="1"/>
  <c r="B11241" i="1"/>
  <c r="B11242" i="1"/>
  <c r="B11243" i="1"/>
  <c r="B11244" i="1"/>
  <c r="B11245" i="1"/>
  <c r="B11246" i="1"/>
  <c r="B11247" i="1"/>
  <c r="B11248" i="1"/>
  <c r="B11249" i="1"/>
  <c r="B11250" i="1"/>
  <c r="B11251" i="1"/>
  <c r="B11252" i="1"/>
  <c r="B11253" i="1"/>
  <c r="B11254" i="1"/>
  <c r="B11255" i="1"/>
  <c r="B11256" i="1"/>
  <c r="B11257" i="1"/>
  <c r="B11258" i="1"/>
  <c r="B11259" i="1"/>
  <c r="B11260" i="1"/>
  <c r="B11261" i="1"/>
  <c r="B11262" i="1"/>
  <c r="B11263" i="1"/>
  <c r="B11264" i="1"/>
  <c r="B11265" i="1"/>
  <c r="B11266" i="1"/>
  <c r="B11267" i="1"/>
  <c r="B11268" i="1"/>
  <c r="B11269" i="1"/>
  <c r="B11270" i="1"/>
  <c r="B11271" i="1"/>
  <c r="B11272" i="1"/>
  <c r="B11273" i="1"/>
  <c r="B11274" i="1"/>
  <c r="B11275" i="1"/>
  <c r="B11276" i="1"/>
  <c r="B11277" i="1"/>
  <c r="B11278" i="1"/>
  <c r="B11279" i="1"/>
  <c r="B11280" i="1"/>
  <c r="B11281" i="1"/>
  <c r="B11282" i="1"/>
  <c r="B11283" i="1"/>
  <c r="B11284" i="1"/>
  <c r="B11285" i="1"/>
  <c r="B11286" i="1"/>
  <c r="B11287" i="1"/>
  <c r="B11288" i="1"/>
  <c r="B11289" i="1"/>
  <c r="B11290" i="1"/>
  <c r="B11291" i="1"/>
  <c r="B11292" i="1"/>
  <c r="B11293" i="1"/>
  <c r="B11294" i="1"/>
  <c r="B11295" i="1"/>
  <c r="B11296" i="1"/>
  <c r="B11297" i="1"/>
  <c r="B11298" i="1"/>
  <c r="B11299" i="1"/>
  <c r="B11300" i="1"/>
  <c r="B11301" i="1"/>
  <c r="B11302" i="1"/>
  <c r="B11303" i="1"/>
  <c r="B11304" i="1"/>
  <c r="B11305" i="1"/>
  <c r="B11306" i="1"/>
  <c r="B11307" i="1"/>
  <c r="B11308" i="1"/>
  <c r="B11309" i="1"/>
  <c r="B11310" i="1"/>
  <c r="B11311" i="1"/>
  <c r="B11312" i="1"/>
  <c r="B11313" i="1"/>
  <c r="B11314" i="1"/>
  <c r="B11315" i="1"/>
  <c r="B11316" i="1"/>
  <c r="B11317" i="1"/>
  <c r="B11318" i="1"/>
  <c r="B11319" i="1"/>
  <c r="B11320" i="1"/>
  <c r="B11321" i="1"/>
  <c r="B11322" i="1"/>
  <c r="B11323" i="1"/>
  <c r="B11324" i="1"/>
  <c r="B11325" i="1"/>
  <c r="B11326" i="1"/>
  <c r="B11327" i="1"/>
  <c r="B11328" i="1"/>
  <c r="B11329" i="1"/>
  <c r="B11330" i="1"/>
  <c r="B11331" i="1"/>
  <c r="B11332" i="1"/>
  <c r="B11333" i="1"/>
  <c r="B11334" i="1"/>
  <c r="B11335" i="1"/>
  <c r="B11336" i="1"/>
  <c r="B11337" i="1"/>
  <c r="B11338" i="1"/>
  <c r="B11339" i="1"/>
  <c r="B11340" i="1"/>
  <c r="B11341" i="1"/>
  <c r="B11342" i="1"/>
  <c r="B11343" i="1"/>
  <c r="B11344" i="1"/>
  <c r="B11345" i="1"/>
  <c r="B11346" i="1"/>
  <c r="B11347" i="1"/>
  <c r="B11348" i="1"/>
  <c r="B11349" i="1"/>
  <c r="B11350" i="1"/>
  <c r="B11351" i="1"/>
  <c r="B11352" i="1"/>
  <c r="B11353" i="1"/>
  <c r="B11354" i="1"/>
  <c r="B11355" i="1"/>
  <c r="B11356" i="1"/>
  <c r="B11357" i="1"/>
  <c r="B11358" i="1"/>
  <c r="B11359" i="1"/>
  <c r="B11360" i="1"/>
  <c r="B11361" i="1"/>
  <c r="B11362" i="1"/>
  <c r="B11363" i="1"/>
  <c r="B11364" i="1"/>
  <c r="B11365" i="1"/>
  <c r="B11366" i="1"/>
  <c r="B11367" i="1"/>
  <c r="B11368" i="1"/>
  <c r="B11369" i="1"/>
  <c r="B11370" i="1"/>
  <c r="B11371" i="1"/>
  <c r="B11372" i="1"/>
  <c r="B11373" i="1"/>
  <c r="B11374" i="1"/>
  <c r="B11375" i="1"/>
  <c r="B11376" i="1"/>
  <c r="B11377" i="1"/>
  <c r="B11378" i="1"/>
  <c r="B11379" i="1"/>
  <c r="B11380" i="1"/>
  <c r="B11381" i="1"/>
  <c r="B11382" i="1"/>
  <c r="B11383" i="1"/>
  <c r="B11384" i="1"/>
  <c r="B11385" i="1"/>
  <c r="B11386" i="1"/>
  <c r="B11387" i="1"/>
  <c r="B11388" i="1"/>
  <c r="B11389" i="1"/>
  <c r="B11390" i="1"/>
  <c r="B11391" i="1"/>
  <c r="B11392" i="1"/>
  <c r="B11393" i="1"/>
  <c r="B11394" i="1"/>
  <c r="B11395" i="1"/>
  <c r="B11396" i="1"/>
  <c r="B11397" i="1"/>
  <c r="B11398" i="1"/>
  <c r="B11399" i="1"/>
  <c r="B11400" i="1"/>
  <c r="B11401" i="1"/>
  <c r="B11402" i="1"/>
  <c r="B11403" i="1"/>
  <c r="B11404" i="1"/>
  <c r="B11405" i="1"/>
  <c r="B11406" i="1"/>
  <c r="B11407" i="1"/>
  <c r="B11408" i="1"/>
  <c r="B11409" i="1"/>
  <c r="B11410" i="1"/>
  <c r="B11411" i="1"/>
  <c r="B11412" i="1"/>
  <c r="B11413" i="1"/>
  <c r="B11414" i="1"/>
  <c r="B11415" i="1"/>
  <c r="B11416" i="1"/>
  <c r="B11417" i="1"/>
  <c r="B11418" i="1"/>
  <c r="B11419" i="1"/>
  <c r="B11420" i="1"/>
  <c r="B11421" i="1"/>
  <c r="B11422" i="1"/>
  <c r="B11423" i="1"/>
  <c r="B11424" i="1"/>
  <c r="B11425" i="1"/>
  <c r="B11426" i="1"/>
  <c r="B11427" i="1"/>
  <c r="B11428" i="1"/>
  <c r="B11429" i="1"/>
  <c r="B11430" i="1"/>
  <c r="B11431" i="1"/>
  <c r="B11432" i="1"/>
  <c r="B11433" i="1"/>
  <c r="B11434" i="1"/>
  <c r="B11435" i="1"/>
  <c r="B11436" i="1"/>
  <c r="B11437" i="1"/>
  <c r="B11438" i="1"/>
  <c r="B11439" i="1"/>
  <c r="B11440" i="1"/>
  <c r="B11441" i="1"/>
  <c r="B11442" i="1"/>
  <c r="B11443" i="1"/>
  <c r="B11444" i="1"/>
  <c r="B11445" i="1"/>
  <c r="B11446" i="1"/>
  <c r="B11447" i="1"/>
  <c r="B11448" i="1"/>
  <c r="B11449" i="1"/>
  <c r="B11450" i="1"/>
  <c r="B11451" i="1"/>
  <c r="B11452" i="1"/>
  <c r="B11453" i="1"/>
  <c r="B11454" i="1"/>
  <c r="B11455" i="1"/>
  <c r="B11456" i="1"/>
  <c r="B11457" i="1"/>
  <c r="B11458" i="1"/>
  <c r="B11459" i="1"/>
  <c r="B11460" i="1"/>
  <c r="B11461" i="1"/>
  <c r="B11462" i="1"/>
  <c r="B11463" i="1"/>
  <c r="B11464" i="1"/>
  <c r="B11465" i="1"/>
  <c r="B11466" i="1"/>
  <c r="B11467" i="1"/>
  <c r="B11468" i="1"/>
  <c r="B11469" i="1"/>
  <c r="B11470" i="1"/>
  <c r="B11471" i="1"/>
  <c r="B11472" i="1"/>
  <c r="B11473" i="1"/>
  <c r="B11474" i="1"/>
  <c r="B11475" i="1"/>
  <c r="B11476" i="1"/>
  <c r="B11477" i="1"/>
  <c r="B11478" i="1"/>
  <c r="B11479" i="1"/>
  <c r="B11480" i="1"/>
  <c r="B11481" i="1"/>
  <c r="B11482" i="1"/>
  <c r="B11483" i="1"/>
  <c r="B11484" i="1"/>
  <c r="B11485" i="1"/>
  <c r="B11486" i="1"/>
  <c r="B11487" i="1"/>
  <c r="B11488" i="1"/>
  <c r="B11489" i="1"/>
  <c r="B11490" i="1"/>
  <c r="B11491" i="1"/>
  <c r="B11492" i="1"/>
  <c r="B11493" i="1"/>
  <c r="B11494" i="1"/>
  <c r="B11495" i="1"/>
  <c r="B11496" i="1"/>
  <c r="B11497" i="1"/>
  <c r="B11498" i="1"/>
  <c r="B11499" i="1"/>
  <c r="B11500" i="1"/>
  <c r="B11501" i="1"/>
  <c r="B11502" i="1"/>
  <c r="B11503" i="1"/>
  <c r="B11504" i="1"/>
  <c r="B11505" i="1"/>
  <c r="B11506" i="1"/>
  <c r="B11507" i="1"/>
  <c r="B11508" i="1"/>
  <c r="B11509" i="1"/>
  <c r="B11510" i="1"/>
  <c r="B11511" i="1"/>
  <c r="B11512" i="1"/>
  <c r="B11513" i="1"/>
  <c r="B11514" i="1"/>
  <c r="B11515" i="1"/>
  <c r="B11516" i="1"/>
  <c r="B11517" i="1"/>
  <c r="B11518" i="1"/>
  <c r="B11519" i="1"/>
  <c r="B11520" i="1"/>
  <c r="B11521" i="1"/>
  <c r="B11522" i="1"/>
  <c r="B11523" i="1"/>
  <c r="B11524" i="1"/>
  <c r="B11525" i="1"/>
  <c r="B11526" i="1"/>
  <c r="B11527" i="1"/>
  <c r="B11528" i="1"/>
  <c r="B11529" i="1"/>
  <c r="B11530" i="1"/>
  <c r="B11531" i="1"/>
  <c r="B11532" i="1"/>
  <c r="B11533" i="1"/>
  <c r="B11534" i="1"/>
  <c r="B11535" i="1"/>
  <c r="B11536" i="1"/>
  <c r="B11537" i="1"/>
  <c r="B11538" i="1"/>
  <c r="B11539" i="1"/>
  <c r="B11540" i="1"/>
  <c r="B11541" i="1"/>
  <c r="B11542" i="1"/>
  <c r="B11543" i="1"/>
  <c r="B11544" i="1"/>
  <c r="B11545" i="1"/>
  <c r="B11546" i="1"/>
  <c r="B11547" i="1"/>
  <c r="B11548" i="1"/>
  <c r="B11549" i="1"/>
  <c r="B11550" i="1"/>
  <c r="B11551" i="1"/>
  <c r="B11552" i="1"/>
  <c r="B11553" i="1"/>
  <c r="B11554" i="1"/>
  <c r="B11555" i="1"/>
  <c r="B11556" i="1"/>
  <c r="B11557" i="1"/>
  <c r="B11558" i="1"/>
  <c r="B11559" i="1"/>
  <c r="B11560" i="1"/>
  <c r="B11561" i="1"/>
  <c r="B11562" i="1"/>
  <c r="B11563" i="1"/>
  <c r="B11564" i="1"/>
  <c r="B11565" i="1"/>
  <c r="B11566" i="1"/>
  <c r="B11567" i="1"/>
  <c r="B11568" i="1"/>
  <c r="B11569" i="1"/>
  <c r="B11570" i="1"/>
  <c r="B11571" i="1"/>
  <c r="B11572" i="1"/>
  <c r="B11573" i="1"/>
  <c r="B11574" i="1"/>
  <c r="B11575" i="1"/>
  <c r="B11576" i="1"/>
  <c r="B11577" i="1"/>
  <c r="B11578" i="1"/>
  <c r="B11579" i="1"/>
  <c r="B11580" i="1"/>
  <c r="B11581" i="1"/>
  <c r="B11582" i="1"/>
  <c r="B11583" i="1"/>
  <c r="B11584" i="1"/>
  <c r="B11585" i="1"/>
  <c r="B11586" i="1"/>
  <c r="B11587" i="1"/>
  <c r="B11588" i="1"/>
  <c r="B11589" i="1"/>
  <c r="B11590" i="1"/>
  <c r="B11591" i="1"/>
  <c r="B11592" i="1"/>
  <c r="B11593" i="1"/>
  <c r="B11594" i="1"/>
  <c r="B11595" i="1"/>
  <c r="B11596" i="1"/>
  <c r="B11597" i="1"/>
  <c r="B11598" i="1"/>
  <c r="B11599" i="1"/>
  <c r="B11600" i="1"/>
  <c r="B11601" i="1"/>
  <c r="B11602" i="1"/>
  <c r="B11603" i="1"/>
  <c r="B11604" i="1"/>
  <c r="B11605" i="1"/>
  <c r="B11606" i="1"/>
  <c r="B11607" i="1"/>
  <c r="B11608" i="1"/>
  <c r="B11609" i="1"/>
  <c r="B11610" i="1"/>
  <c r="B11611" i="1"/>
  <c r="B11612" i="1"/>
  <c r="B11613" i="1"/>
  <c r="B11614" i="1"/>
  <c r="B11615" i="1"/>
  <c r="B11616" i="1"/>
  <c r="B11617" i="1"/>
  <c r="B11618" i="1"/>
  <c r="B11619" i="1"/>
  <c r="B11620" i="1"/>
  <c r="B11621" i="1"/>
  <c r="B11622" i="1"/>
  <c r="B11623" i="1"/>
  <c r="B11624" i="1"/>
  <c r="B11625" i="1"/>
  <c r="B11626" i="1"/>
  <c r="B11627" i="1"/>
  <c r="B11628" i="1"/>
  <c r="B11629" i="1"/>
  <c r="B11630" i="1"/>
  <c r="B11631" i="1"/>
  <c r="B11632" i="1"/>
  <c r="B11633" i="1"/>
  <c r="B11634" i="1"/>
  <c r="B11635" i="1"/>
  <c r="B11636" i="1"/>
  <c r="B11637" i="1"/>
  <c r="B11638" i="1"/>
  <c r="B11639" i="1"/>
  <c r="B11640" i="1"/>
  <c r="B11641" i="1"/>
  <c r="B11642" i="1"/>
  <c r="B11643" i="1"/>
  <c r="B11644" i="1"/>
  <c r="B11645" i="1"/>
  <c r="B11646" i="1"/>
  <c r="B11647" i="1"/>
  <c r="B11648" i="1"/>
  <c r="B11649" i="1"/>
  <c r="B11650" i="1"/>
  <c r="B11651" i="1"/>
  <c r="B11652" i="1"/>
  <c r="B11653" i="1"/>
  <c r="B11654" i="1"/>
  <c r="B11655" i="1"/>
  <c r="B11656" i="1"/>
  <c r="B11657" i="1"/>
  <c r="B11658" i="1"/>
  <c r="B11659" i="1"/>
  <c r="B11660" i="1"/>
  <c r="B11661" i="1"/>
  <c r="B11662" i="1"/>
  <c r="B11663" i="1"/>
  <c r="B11664" i="1"/>
  <c r="B11665" i="1"/>
  <c r="B11666" i="1"/>
  <c r="B11667" i="1"/>
  <c r="B11668" i="1"/>
  <c r="B11669" i="1"/>
  <c r="B11670" i="1"/>
  <c r="B11671" i="1"/>
  <c r="B11672" i="1"/>
  <c r="B11673" i="1"/>
  <c r="B11674" i="1"/>
  <c r="B11675" i="1"/>
  <c r="B11676" i="1"/>
  <c r="B11677" i="1"/>
  <c r="B11678" i="1"/>
  <c r="B11679" i="1"/>
  <c r="B11680" i="1"/>
  <c r="B11681" i="1"/>
  <c r="B11682" i="1"/>
  <c r="B11683" i="1"/>
  <c r="B11684" i="1"/>
  <c r="B11685" i="1"/>
  <c r="B11686" i="1"/>
  <c r="B11687" i="1"/>
  <c r="B11688" i="1"/>
  <c r="B11689" i="1"/>
  <c r="B11690" i="1"/>
  <c r="B11691" i="1"/>
  <c r="B11692" i="1"/>
  <c r="B11693" i="1"/>
  <c r="B11694" i="1"/>
  <c r="B11695" i="1"/>
  <c r="B11696" i="1"/>
  <c r="B11697" i="1"/>
  <c r="B11698" i="1"/>
  <c r="B11699" i="1"/>
  <c r="B11700" i="1"/>
  <c r="B11701" i="1"/>
  <c r="B11702" i="1"/>
  <c r="B11703" i="1"/>
  <c r="B11704" i="1"/>
  <c r="B11705" i="1"/>
  <c r="B11706" i="1"/>
  <c r="B11707" i="1"/>
  <c r="B11708" i="1"/>
  <c r="B11709" i="1"/>
  <c r="B11710" i="1"/>
  <c r="B11711" i="1"/>
  <c r="B11712" i="1"/>
  <c r="B11713" i="1"/>
  <c r="B11714" i="1"/>
  <c r="B11715" i="1"/>
  <c r="B11716" i="1"/>
  <c r="B11717" i="1"/>
  <c r="B11718" i="1"/>
  <c r="B11719" i="1"/>
  <c r="B11720" i="1"/>
  <c r="B11721" i="1"/>
  <c r="B11722" i="1"/>
  <c r="B11723" i="1"/>
  <c r="B11724" i="1"/>
  <c r="B11725" i="1"/>
  <c r="B11726" i="1"/>
  <c r="B11727" i="1"/>
  <c r="B11728" i="1"/>
  <c r="B11729" i="1"/>
  <c r="B11730" i="1"/>
  <c r="B11731" i="1"/>
  <c r="B11732" i="1"/>
  <c r="B11733" i="1"/>
  <c r="B11734" i="1"/>
  <c r="B11735" i="1"/>
  <c r="B11736" i="1"/>
  <c r="B11737" i="1"/>
  <c r="B11738" i="1"/>
  <c r="B11739" i="1"/>
  <c r="B11740" i="1"/>
  <c r="B11741" i="1"/>
  <c r="B11742" i="1"/>
  <c r="B11743" i="1"/>
  <c r="B11744" i="1"/>
  <c r="B11745" i="1"/>
  <c r="B11746" i="1"/>
  <c r="B11747" i="1"/>
  <c r="B11748" i="1"/>
  <c r="B11749" i="1"/>
  <c r="B11750" i="1"/>
  <c r="B11751" i="1"/>
  <c r="B11752" i="1"/>
  <c r="B11753" i="1"/>
  <c r="B11754" i="1"/>
  <c r="B11755" i="1"/>
  <c r="B11756" i="1"/>
  <c r="B11757" i="1"/>
  <c r="B11758" i="1"/>
  <c r="B11759" i="1"/>
  <c r="B11760" i="1"/>
  <c r="B11761" i="1"/>
  <c r="B11762" i="1"/>
  <c r="B11763" i="1"/>
  <c r="B11764" i="1"/>
  <c r="B11765" i="1"/>
  <c r="B11766" i="1"/>
  <c r="B11767" i="1"/>
  <c r="B11768" i="1"/>
  <c r="B11769" i="1"/>
  <c r="B11770" i="1"/>
  <c r="B11771" i="1"/>
  <c r="B11772" i="1"/>
  <c r="B11773" i="1"/>
  <c r="B11774" i="1"/>
  <c r="B11775" i="1"/>
  <c r="B11776" i="1"/>
  <c r="B11777" i="1"/>
  <c r="B11778" i="1"/>
  <c r="B11779" i="1"/>
  <c r="B11780" i="1"/>
  <c r="B11781" i="1"/>
  <c r="B11782" i="1"/>
  <c r="B11783" i="1"/>
  <c r="B11784" i="1"/>
  <c r="B11785" i="1"/>
  <c r="B11786" i="1"/>
  <c r="B11787" i="1"/>
  <c r="B11788" i="1"/>
  <c r="B11789" i="1"/>
  <c r="B11790" i="1"/>
  <c r="B11791" i="1"/>
  <c r="B11792" i="1"/>
  <c r="B11793" i="1"/>
  <c r="B11794" i="1"/>
  <c r="B11795" i="1"/>
  <c r="B11796" i="1"/>
  <c r="B11797" i="1"/>
  <c r="B11798" i="1"/>
  <c r="B11799" i="1"/>
  <c r="B11800" i="1"/>
  <c r="B11801" i="1"/>
  <c r="B11802" i="1"/>
  <c r="B11803" i="1"/>
  <c r="B11804" i="1"/>
  <c r="B11805" i="1"/>
  <c r="B11806" i="1"/>
  <c r="B11807" i="1"/>
  <c r="B11808" i="1"/>
  <c r="B11809" i="1"/>
  <c r="B11810" i="1"/>
  <c r="B11811" i="1"/>
  <c r="B11812" i="1"/>
  <c r="B11813" i="1"/>
  <c r="B11814" i="1"/>
  <c r="B11815" i="1"/>
  <c r="B11816" i="1"/>
  <c r="B11817" i="1"/>
  <c r="B11818" i="1"/>
  <c r="B11819" i="1"/>
  <c r="B11820" i="1"/>
  <c r="B11821" i="1"/>
  <c r="B11822" i="1"/>
  <c r="B11823" i="1"/>
  <c r="B11824" i="1"/>
  <c r="B11825" i="1"/>
  <c r="B11826" i="1"/>
  <c r="B11827" i="1"/>
  <c r="B11828" i="1"/>
  <c r="B11829" i="1"/>
  <c r="B11830" i="1"/>
  <c r="B11831" i="1"/>
  <c r="B11832" i="1"/>
  <c r="B11833" i="1"/>
  <c r="B11834" i="1"/>
  <c r="B11835" i="1"/>
  <c r="B11836" i="1"/>
  <c r="B11837" i="1"/>
  <c r="B11838" i="1"/>
  <c r="B11839" i="1"/>
  <c r="B11840" i="1"/>
  <c r="B11841" i="1"/>
  <c r="B11842" i="1"/>
  <c r="B11843" i="1"/>
  <c r="B11844" i="1"/>
  <c r="B11845" i="1"/>
  <c r="B11846" i="1"/>
  <c r="B11847" i="1"/>
  <c r="B11848" i="1"/>
  <c r="B11849" i="1"/>
  <c r="B11850" i="1"/>
  <c r="B11851" i="1"/>
  <c r="B11852" i="1"/>
  <c r="B11853" i="1"/>
  <c r="B11854" i="1"/>
  <c r="B11855" i="1"/>
  <c r="B11856" i="1"/>
  <c r="B11857" i="1"/>
  <c r="B11858" i="1"/>
  <c r="B11859" i="1"/>
  <c r="B11860" i="1"/>
  <c r="B11861" i="1"/>
  <c r="B11862" i="1"/>
  <c r="B11863" i="1"/>
  <c r="B11864" i="1"/>
  <c r="B11865" i="1"/>
  <c r="B11866" i="1"/>
  <c r="B11867" i="1"/>
  <c r="B11868" i="1"/>
  <c r="B11869" i="1"/>
  <c r="B11870" i="1"/>
  <c r="B11871" i="1"/>
  <c r="B11872" i="1"/>
  <c r="B11873" i="1"/>
  <c r="B11874" i="1"/>
  <c r="B11875" i="1"/>
  <c r="B11876" i="1"/>
  <c r="B11877" i="1"/>
  <c r="B11878" i="1"/>
  <c r="B11879" i="1"/>
  <c r="B11880" i="1"/>
  <c r="B11881" i="1"/>
  <c r="B11882" i="1"/>
  <c r="B11883" i="1"/>
  <c r="B11884" i="1"/>
  <c r="B11885" i="1"/>
  <c r="B11886" i="1"/>
  <c r="B11887" i="1"/>
  <c r="B11888" i="1"/>
  <c r="B11889" i="1"/>
  <c r="B11890" i="1"/>
  <c r="B11891" i="1"/>
  <c r="B11892" i="1"/>
  <c r="B11893" i="1"/>
  <c r="B11894" i="1"/>
  <c r="B11895" i="1"/>
  <c r="B11896" i="1"/>
  <c r="B11897" i="1"/>
  <c r="B11898" i="1"/>
  <c r="B11899" i="1"/>
  <c r="B11900" i="1"/>
  <c r="B11901" i="1"/>
  <c r="B11902" i="1"/>
  <c r="B11903" i="1"/>
  <c r="B11904" i="1"/>
  <c r="B11905" i="1"/>
  <c r="B11906" i="1"/>
  <c r="B11907" i="1"/>
  <c r="B11908" i="1"/>
  <c r="B11909" i="1"/>
  <c r="B11910" i="1"/>
  <c r="B11911" i="1"/>
  <c r="B11912" i="1"/>
  <c r="B11913" i="1"/>
  <c r="B11914" i="1"/>
  <c r="B11915" i="1"/>
  <c r="B11916" i="1"/>
  <c r="B11917" i="1"/>
  <c r="B11918" i="1"/>
  <c r="B11919" i="1"/>
  <c r="B11920" i="1"/>
  <c r="B11921" i="1"/>
  <c r="B11922" i="1"/>
  <c r="B11923" i="1"/>
  <c r="B11924" i="1"/>
  <c r="B11925" i="1"/>
  <c r="B11926" i="1"/>
  <c r="B11927" i="1"/>
  <c r="B11928" i="1"/>
  <c r="B11929" i="1"/>
  <c r="B11930" i="1"/>
  <c r="B11931" i="1"/>
  <c r="B11932" i="1"/>
  <c r="B11933" i="1"/>
  <c r="B11934" i="1"/>
  <c r="B11935" i="1"/>
  <c r="B11936" i="1"/>
  <c r="B11937" i="1"/>
  <c r="B11938" i="1"/>
  <c r="B11939" i="1"/>
  <c r="B11940" i="1"/>
  <c r="B11941" i="1"/>
  <c r="B11942" i="1"/>
  <c r="B11943" i="1"/>
  <c r="B11944" i="1"/>
  <c r="B11945" i="1"/>
  <c r="B11946" i="1"/>
  <c r="B11947" i="1"/>
  <c r="B11948" i="1"/>
  <c r="B11949" i="1"/>
  <c r="B11950" i="1"/>
  <c r="B11951" i="1"/>
  <c r="B11952" i="1"/>
  <c r="B11953" i="1"/>
  <c r="B11954" i="1"/>
  <c r="B11955" i="1"/>
  <c r="B11956" i="1"/>
  <c r="B11957" i="1"/>
  <c r="B11958" i="1"/>
  <c r="B11959" i="1"/>
  <c r="B11960" i="1"/>
  <c r="B11961" i="1"/>
  <c r="B11962" i="1"/>
  <c r="B11963" i="1"/>
  <c r="B11964" i="1"/>
  <c r="B11965" i="1"/>
  <c r="B11966" i="1"/>
  <c r="B11967" i="1"/>
  <c r="B11968" i="1"/>
  <c r="B11969" i="1"/>
  <c r="B11970" i="1"/>
  <c r="B11971" i="1"/>
  <c r="B11972" i="1"/>
  <c r="B11973" i="1"/>
  <c r="B11974" i="1"/>
  <c r="B11975" i="1"/>
  <c r="B11976" i="1"/>
  <c r="B11977" i="1"/>
  <c r="B11978" i="1"/>
  <c r="B11979" i="1"/>
  <c r="B11980" i="1"/>
  <c r="B11981" i="1"/>
  <c r="B11982" i="1"/>
  <c r="B11983" i="1"/>
  <c r="B11984" i="1"/>
  <c r="B11985" i="1"/>
  <c r="B11986" i="1"/>
  <c r="B11987" i="1"/>
  <c r="B11988" i="1"/>
  <c r="B11989" i="1"/>
  <c r="B11990" i="1"/>
  <c r="B11991" i="1"/>
  <c r="B11992" i="1"/>
  <c r="B11993" i="1"/>
  <c r="B11994" i="1"/>
  <c r="B11995" i="1"/>
  <c r="B11996" i="1"/>
  <c r="B11997" i="1"/>
  <c r="B11998" i="1"/>
  <c r="B11999" i="1"/>
  <c r="B12000" i="1"/>
  <c r="B12001" i="1"/>
  <c r="B12002" i="1"/>
  <c r="B12003" i="1"/>
  <c r="B12004" i="1"/>
  <c r="B12005" i="1"/>
  <c r="B12006" i="1"/>
  <c r="B12007" i="1"/>
  <c r="B12008" i="1"/>
  <c r="B12009" i="1"/>
  <c r="B12010" i="1"/>
  <c r="B12011" i="1"/>
  <c r="B12012" i="1"/>
  <c r="B12013" i="1"/>
  <c r="B12014" i="1"/>
  <c r="B12015" i="1"/>
  <c r="B12016" i="1"/>
  <c r="B12017" i="1"/>
  <c r="B12018" i="1"/>
  <c r="B12019" i="1"/>
  <c r="B12020" i="1"/>
  <c r="B12021" i="1"/>
  <c r="B12022" i="1"/>
  <c r="B12023" i="1"/>
  <c r="B12024" i="1"/>
  <c r="B12025" i="1"/>
  <c r="B12026" i="1"/>
  <c r="B12027" i="1"/>
  <c r="B12028" i="1"/>
  <c r="B12029" i="1"/>
  <c r="B12030" i="1"/>
  <c r="B12031" i="1"/>
  <c r="B12032" i="1"/>
  <c r="B12033" i="1"/>
  <c r="B12034" i="1"/>
  <c r="B12035" i="1"/>
  <c r="B12036" i="1"/>
  <c r="B12037" i="1"/>
  <c r="B12038" i="1"/>
  <c r="B12039" i="1"/>
  <c r="B12040" i="1"/>
  <c r="B12041" i="1"/>
  <c r="B12042" i="1"/>
  <c r="B12043" i="1"/>
  <c r="B12044" i="1"/>
  <c r="B12045" i="1"/>
  <c r="B12046" i="1"/>
  <c r="B12047" i="1"/>
  <c r="B12048" i="1"/>
  <c r="B12049" i="1"/>
  <c r="B12050" i="1"/>
  <c r="B12051" i="1"/>
  <c r="B12052" i="1"/>
  <c r="B12053" i="1"/>
  <c r="B12054" i="1"/>
  <c r="B12055" i="1"/>
  <c r="B12056" i="1"/>
  <c r="B12057" i="1"/>
  <c r="B12058" i="1"/>
  <c r="B12059" i="1"/>
  <c r="B12060" i="1"/>
  <c r="B12061" i="1"/>
  <c r="B12062" i="1"/>
  <c r="B12063" i="1"/>
  <c r="B12064" i="1"/>
  <c r="B12065" i="1"/>
  <c r="B12066" i="1"/>
  <c r="B12067" i="1"/>
  <c r="B12068" i="1"/>
  <c r="B12069" i="1"/>
  <c r="B12070" i="1"/>
  <c r="B12071" i="1"/>
  <c r="B12072" i="1"/>
  <c r="B12073" i="1"/>
  <c r="B12074" i="1"/>
  <c r="B12075" i="1"/>
  <c r="B12076" i="1"/>
  <c r="B12077" i="1"/>
  <c r="B12078" i="1"/>
  <c r="B12079" i="1"/>
  <c r="B12080" i="1"/>
  <c r="B12081" i="1"/>
  <c r="B12082" i="1"/>
  <c r="B12083" i="1"/>
  <c r="B12084" i="1"/>
  <c r="B12085" i="1"/>
  <c r="B12086" i="1"/>
  <c r="B12087" i="1"/>
  <c r="B12088" i="1"/>
  <c r="B12089" i="1"/>
  <c r="B12090" i="1"/>
  <c r="B12091" i="1"/>
  <c r="B12092" i="1"/>
  <c r="B12093" i="1"/>
  <c r="B12094" i="1"/>
  <c r="B12095" i="1"/>
  <c r="B12096" i="1"/>
  <c r="B12097" i="1"/>
  <c r="B12098" i="1"/>
  <c r="B12099" i="1"/>
  <c r="B12100" i="1"/>
  <c r="B12101" i="1"/>
  <c r="B12102" i="1"/>
  <c r="B12103" i="1"/>
  <c r="B12104" i="1"/>
  <c r="B12105" i="1"/>
  <c r="B12106" i="1"/>
  <c r="B12107" i="1"/>
  <c r="B12108" i="1"/>
  <c r="B12109" i="1"/>
  <c r="B12110" i="1"/>
  <c r="B12111" i="1"/>
  <c r="B12112" i="1"/>
  <c r="B12113" i="1"/>
  <c r="B12114" i="1"/>
  <c r="B12115" i="1"/>
  <c r="B12116" i="1"/>
  <c r="B12117" i="1"/>
  <c r="B12118" i="1"/>
  <c r="B12119" i="1"/>
  <c r="B12120" i="1"/>
  <c r="B12121" i="1"/>
  <c r="B12122" i="1"/>
  <c r="B12123" i="1"/>
  <c r="B12124" i="1"/>
  <c r="B12125" i="1"/>
  <c r="B12126" i="1"/>
  <c r="B12127" i="1"/>
  <c r="B12128" i="1"/>
  <c r="B12129" i="1"/>
  <c r="B12130" i="1"/>
  <c r="B12131" i="1"/>
  <c r="B12132" i="1"/>
  <c r="B12133" i="1"/>
  <c r="B12134" i="1"/>
  <c r="B12135" i="1"/>
  <c r="B12136" i="1"/>
  <c r="B12137" i="1"/>
  <c r="B12138" i="1"/>
  <c r="B12139" i="1"/>
  <c r="B12140" i="1"/>
  <c r="B12141" i="1"/>
  <c r="B12142" i="1"/>
  <c r="B12143" i="1"/>
  <c r="B12144" i="1"/>
  <c r="B12145" i="1"/>
  <c r="B12146" i="1"/>
  <c r="B12147" i="1"/>
  <c r="B12148" i="1"/>
  <c r="B12149" i="1"/>
  <c r="B12150" i="1"/>
  <c r="B12151" i="1"/>
  <c r="B12152" i="1"/>
  <c r="B12153" i="1"/>
  <c r="B12154" i="1"/>
  <c r="B12155" i="1"/>
  <c r="B12156" i="1"/>
  <c r="B12157" i="1"/>
  <c r="B12158" i="1"/>
  <c r="B12159" i="1"/>
  <c r="B12160" i="1"/>
  <c r="B12161" i="1"/>
  <c r="B12162" i="1"/>
  <c r="B12163" i="1"/>
  <c r="B12164" i="1"/>
  <c r="B12165" i="1"/>
  <c r="B12166" i="1"/>
  <c r="B12167" i="1"/>
  <c r="B12168" i="1"/>
  <c r="B12169" i="1"/>
  <c r="B12170" i="1"/>
  <c r="B12171" i="1"/>
  <c r="B12172" i="1"/>
  <c r="B12173" i="1"/>
  <c r="B12174" i="1"/>
  <c r="B12175" i="1"/>
  <c r="B12176" i="1"/>
  <c r="B12177" i="1"/>
  <c r="B12178" i="1"/>
  <c r="B12179" i="1"/>
  <c r="B12180" i="1"/>
  <c r="B12181" i="1"/>
  <c r="B12182" i="1"/>
  <c r="B12183" i="1"/>
  <c r="B12184" i="1"/>
  <c r="B12185" i="1"/>
  <c r="B12186" i="1"/>
  <c r="B12187" i="1"/>
  <c r="B12188" i="1"/>
  <c r="B12189" i="1"/>
  <c r="B12190" i="1"/>
  <c r="B12191" i="1"/>
  <c r="B12192" i="1"/>
  <c r="B12193" i="1"/>
  <c r="B12194" i="1"/>
  <c r="B12195" i="1"/>
  <c r="B12196" i="1"/>
  <c r="B12197" i="1"/>
  <c r="B12198" i="1"/>
  <c r="B12199" i="1"/>
  <c r="B12200" i="1"/>
  <c r="B12201" i="1"/>
  <c r="B12202" i="1"/>
  <c r="B12203" i="1"/>
  <c r="B12204" i="1"/>
  <c r="B12205" i="1"/>
  <c r="B12206" i="1"/>
  <c r="B12207" i="1"/>
  <c r="B12208" i="1"/>
  <c r="B12209" i="1"/>
  <c r="B12210" i="1"/>
  <c r="B12211" i="1"/>
  <c r="B12212" i="1"/>
  <c r="B12213" i="1"/>
  <c r="B12214" i="1"/>
  <c r="B12215" i="1"/>
  <c r="B12216" i="1"/>
  <c r="B12217" i="1"/>
  <c r="B12218" i="1"/>
  <c r="B12219" i="1"/>
  <c r="B12220" i="1"/>
  <c r="B12221" i="1"/>
  <c r="B12222" i="1"/>
  <c r="B12223" i="1"/>
  <c r="B12224" i="1"/>
  <c r="B12225" i="1"/>
  <c r="B12226" i="1"/>
  <c r="B12227" i="1"/>
  <c r="B12228" i="1"/>
  <c r="B12229" i="1"/>
  <c r="B12230" i="1"/>
  <c r="B12231" i="1"/>
  <c r="B12232" i="1"/>
  <c r="B12233" i="1"/>
  <c r="B12234" i="1"/>
  <c r="B12235" i="1"/>
  <c r="B12236" i="1"/>
  <c r="B12237" i="1"/>
  <c r="B12238" i="1"/>
  <c r="B12239" i="1"/>
  <c r="B12240" i="1"/>
  <c r="B12241" i="1"/>
  <c r="B12242" i="1"/>
  <c r="B12243" i="1"/>
  <c r="B12244" i="1"/>
  <c r="B12245" i="1"/>
  <c r="B12246" i="1"/>
  <c r="B12247" i="1"/>
  <c r="B12248" i="1"/>
  <c r="B12249" i="1"/>
  <c r="B12250" i="1"/>
  <c r="B12251" i="1"/>
  <c r="B12252" i="1"/>
  <c r="B12253" i="1"/>
  <c r="B12254" i="1"/>
  <c r="B12255" i="1"/>
  <c r="B12256" i="1"/>
  <c r="B12257" i="1"/>
  <c r="B12258" i="1"/>
  <c r="B12259" i="1"/>
  <c r="B12260" i="1"/>
  <c r="B12261" i="1"/>
  <c r="B12262" i="1"/>
  <c r="B12263" i="1"/>
  <c r="B12264" i="1"/>
  <c r="B12265" i="1"/>
  <c r="B12266" i="1"/>
  <c r="B12267" i="1"/>
  <c r="B12268" i="1"/>
  <c r="B12269" i="1"/>
  <c r="B12270" i="1"/>
  <c r="B12271" i="1"/>
  <c r="B12272" i="1"/>
  <c r="B12273" i="1"/>
  <c r="B12274" i="1"/>
  <c r="B12275" i="1"/>
  <c r="B12276" i="1"/>
  <c r="B12277" i="1"/>
  <c r="B12278" i="1"/>
  <c r="B12279" i="1"/>
  <c r="B12280" i="1"/>
  <c r="B12281" i="1"/>
  <c r="B12282" i="1"/>
  <c r="B12283" i="1"/>
  <c r="B12284" i="1"/>
  <c r="B12285" i="1"/>
  <c r="B12286" i="1"/>
  <c r="B12287" i="1"/>
  <c r="B12288" i="1"/>
  <c r="B12289" i="1"/>
  <c r="B12290" i="1"/>
  <c r="B12291" i="1"/>
  <c r="B12292" i="1"/>
  <c r="B12293" i="1"/>
  <c r="B12294" i="1"/>
  <c r="B12295" i="1"/>
  <c r="B12296" i="1"/>
  <c r="B12297" i="1"/>
  <c r="B12298" i="1"/>
  <c r="B12299" i="1"/>
  <c r="B12300" i="1"/>
  <c r="B12301" i="1"/>
  <c r="B12302" i="1"/>
  <c r="B12303" i="1"/>
  <c r="B12304" i="1"/>
  <c r="B12305" i="1"/>
  <c r="B12306" i="1"/>
  <c r="B12307" i="1"/>
  <c r="B12308" i="1"/>
  <c r="B12309" i="1"/>
  <c r="B12310" i="1"/>
  <c r="B12311" i="1"/>
  <c r="B12312" i="1"/>
  <c r="B12313" i="1"/>
  <c r="B12314" i="1"/>
  <c r="B12315" i="1"/>
  <c r="B12316" i="1"/>
  <c r="B12317" i="1"/>
  <c r="B12318" i="1"/>
  <c r="B12319" i="1"/>
  <c r="B12320" i="1"/>
  <c r="B12321" i="1"/>
  <c r="B12322" i="1"/>
  <c r="B12323" i="1"/>
  <c r="B12324" i="1"/>
  <c r="B12325" i="1"/>
  <c r="B12326" i="1"/>
  <c r="B12327" i="1"/>
  <c r="B12328" i="1"/>
  <c r="B12329" i="1"/>
  <c r="B12330" i="1"/>
  <c r="B12331" i="1"/>
  <c r="B12332" i="1"/>
  <c r="B12333" i="1"/>
  <c r="B12334" i="1"/>
  <c r="B12335" i="1"/>
  <c r="B12336" i="1"/>
  <c r="B12337" i="1"/>
  <c r="B12338" i="1"/>
  <c r="B12339" i="1"/>
  <c r="B12340" i="1"/>
  <c r="B12341" i="1"/>
  <c r="B12342" i="1"/>
  <c r="B12343" i="1"/>
  <c r="B12344" i="1"/>
  <c r="B12345" i="1"/>
  <c r="B12346" i="1"/>
  <c r="B12347" i="1"/>
  <c r="B12348" i="1"/>
  <c r="B12349" i="1"/>
  <c r="B12350" i="1"/>
  <c r="B12351" i="1"/>
  <c r="B12352" i="1"/>
  <c r="B12353" i="1"/>
  <c r="B12354" i="1"/>
  <c r="B12355" i="1"/>
  <c r="B12356" i="1"/>
  <c r="B12357" i="1"/>
  <c r="B12358" i="1"/>
  <c r="B12359" i="1"/>
  <c r="B12360" i="1"/>
  <c r="B12361" i="1"/>
  <c r="B12362" i="1"/>
  <c r="B12363" i="1"/>
  <c r="B12364" i="1"/>
  <c r="B12365" i="1"/>
  <c r="B12366" i="1"/>
  <c r="B12367" i="1"/>
  <c r="B12368" i="1"/>
  <c r="B12369" i="1"/>
  <c r="B12370" i="1"/>
  <c r="B12371" i="1"/>
  <c r="B12372" i="1"/>
  <c r="B12373" i="1"/>
  <c r="B12374" i="1"/>
  <c r="B12375" i="1"/>
  <c r="B12376" i="1"/>
  <c r="B12377" i="1"/>
  <c r="B12378" i="1"/>
  <c r="B12379" i="1"/>
  <c r="B12380" i="1"/>
  <c r="B12381" i="1"/>
  <c r="B12382" i="1"/>
  <c r="B12383" i="1"/>
  <c r="B12384" i="1"/>
  <c r="B12385" i="1"/>
  <c r="B12386" i="1"/>
  <c r="B12387" i="1"/>
  <c r="B12388" i="1"/>
  <c r="B12389" i="1"/>
  <c r="B12390" i="1"/>
  <c r="B12391" i="1"/>
  <c r="B12392" i="1"/>
  <c r="B12393" i="1"/>
  <c r="B12394" i="1"/>
  <c r="B12395" i="1"/>
  <c r="B12396" i="1"/>
  <c r="B12397" i="1"/>
  <c r="B12398" i="1"/>
  <c r="B12399" i="1"/>
  <c r="B12400" i="1"/>
  <c r="B12401" i="1"/>
  <c r="B12402" i="1"/>
  <c r="B12403" i="1"/>
  <c r="B12404" i="1"/>
  <c r="B12405" i="1"/>
  <c r="B12406" i="1"/>
  <c r="B12407" i="1"/>
  <c r="B12408" i="1"/>
  <c r="B12409" i="1"/>
  <c r="B12410" i="1"/>
  <c r="B12411" i="1"/>
  <c r="B12412" i="1"/>
  <c r="B12413" i="1"/>
  <c r="B12414" i="1"/>
  <c r="B12415" i="1"/>
  <c r="B12416" i="1"/>
  <c r="B12417" i="1"/>
  <c r="B12418" i="1"/>
  <c r="B12419" i="1"/>
  <c r="B12420" i="1"/>
  <c r="B12421" i="1"/>
  <c r="B12422" i="1"/>
  <c r="B12423" i="1"/>
  <c r="B12424" i="1"/>
  <c r="B12425" i="1"/>
  <c r="B12426" i="1"/>
  <c r="B12427" i="1"/>
  <c r="B12428" i="1"/>
  <c r="B12429" i="1"/>
  <c r="B12430" i="1"/>
  <c r="B12431" i="1"/>
  <c r="B12432" i="1"/>
  <c r="B12433" i="1"/>
  <c r="B12434" i="1"/>
  <c r="B12435" i="1"/>
  <c r="B12436" i="1"/>
  <c r="B12437" i="1"/>
  <c r="B12438" i="1"/>
  <c r="B12439" i="1"/>
  <c r="B12440" i="1"/>
  <c r="B12441" i="1"/>
  <c r="B12442" i="1"/>
  <c r="B12443" i="1"/>
  <c r="B12444" i="1"/>
  <c r="B12445" i="1"/>
  <c r="B12446" i="1"/>
  <c r="B12447" i="1"/>
  <c r="B12448" i="1"/>
  <c r="B12449" i="1"/>
  <c r="B12450" i="1"/>
  <c r="B12451" i="1"/>
  <c r="B12452" i="1"/>
  <c r="B12453" i="1"/>
  <c r="B12454" i="1"/>
  <c r="B12455" i="1"/>
  <c r="B12456" i="1"/>
  <c r="B12457" i="1"/>
  <c r="B12458" i="1"/>
  <c r="B12459" i="1"/>
  <c r="B12460" i="1"/>
  <c r="B12461" i="1"/>
  <c r="B12462" i="1"/>
  <c r="B12463" i="1"/>
  <c r="B12464" i="1"/>
  <c r="B12465" i="1"/>
  <c r="B12466" i="1"/>
  <c r="B12467" i="1"/>
  <c r="B12468" i="1"/>
  <c r="B12469" i="1"/>
  <c r="B12470" i="1"/>
  <c r="B12471" i="1"/>
  <c r="B12472" i="1"/>
  <c r="B12473" i="1"/>
  <c r="B12474" i="1"/>
  <c r="B12475" i="1"/>
  <c r="B12476" i="1"/>
  <c r="B12477" i="1"/>
  <c r="B12478" i="1"/>
  <c r="B12479" i="1"/>
  <c r="B12480" i="1"/>
  <c r="B12481" i="1"/>
  <c r="B12482" i="1"/>
  <c r="B12483" i="1"/>
  <c r="B12484" i="1"/>
  <c r="B12485" i="1"/>
  <c r="B12486" i="1"/>
  <c r="B12487" i="1"/>
  <c r="B12488" i="1"/>
  <c r="B12489" i="1"/>
  <c r="B12490" i="1"/>
  <c r="B12491" i="1"/>
  <c r="B12492" i="1"/>
  <c r="B12493" i="1"/>
  <c r="B12494" i="1"/>
  <c r="B12495" i="1"/>
  <c r="B12496" i="1"/>
  <c r="B12497" i="1"/>
  <c r="B12498" i="1"/>
  <c r="B12499" i="1"/>
  <c r="B12500" i="1"/>
  <c r="B12501" i="1"/>
  <c r="B12502" i="1"/>
  <c r="B12503" i="1"/>
  <c r="B12504" i="1"/>
  <c r="B12505" i="1"/>
  <c r="B12506" i="1"/>
  <c r="B12507" i="1"/>
  <c r="B12508" i="1"/>
  <c r="B12509" i="1"/>
  <c r="B12510" i="1"/>
  <c r="B12511" i="1"/>
  <c r="B12512" i="1"/>
  <c r="B12513" i="1"/>
  <c r="B12514" i="1"/>
  <c r="B12515" i="1"/>
  <c r="B12516" i="1"/>
  <c r="B12517" i="1"/>
  <c r="B12518" i="1"/>
  <c r="B12519" i="1"/>
  <c r="B12520" i="1"/>
  <c r="B12521" i="1"/>
  <c r="B12522" i="1"/>
  <c r="B12523" i="1"/>
  <c r="B12524" i="1"/>
  <c r="B12525" i="1"/>
  <c r="B12526" i="1"/>
  <c r="B12527" i="1"/>
  <c r="B12528" i="1"/>
  <c r="B12529" i="1"/>
  <c r="B12530" i="1"/>
  <c r="B12531" i="1"/>
  <c r="B12532" i="1"/>
  <c r="B12533" i="1"/>
  <c r="B12534" i="1"/>
  <c r="B12535" i="1"/>
  <c r="B12536" i="1"/>
  <c r="B12537" i="1"/>
  <c r="B12538" i="1"/>
  <c r="B12539" i="1"/>
  <c r="B12540" i="1"/>
  <c r="B12541" i="1"/>
  <c r="B12542" i="1"/>
  <c r="B12543" i="1"/>
  <c r="B12544" i="1"/>
  <c r="B12545" i="1"/>
  <c r="B12546" i="1"/>
  <c r="B12547" i="1"/>
  <c r="B12548" i="1"/>
  <c r="B12549" i="1"/>
  <c r="B12550" i="1"/>
  <c r="B12551" i="1"/>
  <c r="B12552" i="1"/>
  <c r="B12553" i="1"/>
  <c r="B12554" i="1"/>
  <c r="B12555" i="1"/>
  <c r="B12556" i="1"/>
  <c r="B12557" i="1"/>
  <c r="B12558" i="1"/>
  <c r="B12559" i="1"/>
  <c r="B12560" i="1"/>
  <c r="B12561" i="1"/>
  <c r="B12562" i="1"/>
  <c r="B12563" i="1"/>
  <c r="B12564" i="1"/>
  <c r="B12565" i="1"/>
  <c r="B12566" i="1"/>
  <c r="B12567" i="1"/>
  <c r="B12568" i="1"/>
  <c r="B12569" i="1"/>
  <c r="B12570" i="1"/>
  <c r="B12571" i="1"/>
  <c r="B12572" i="1"/>
  <c r="B12573" i="1"/>
  <c r="B12574" i="1"/>
  <c r="B12575" i="1"/>
  <c r="B12576" i="1"/>
  <c r="B12577" i="1"/>
  <c r="B12578" i="1"/>
  <c r="B12579" i="1"/>
  <c r="B12580" i="1"/>
  <c r="B12581" i="1"/>
  <c r="B12582" i="1"/>
  <c r="B12583" i="1"/>
  <c r="B12584" i="1"/>
  <c r="B12585" i="1"/>
  <c r="B12586" i="1"/>
  <c r="B12587" i="1"/>
  <c r="B12588" i="1"/>
  <c r="B12589" i="1"/>
  <c r="B12590" i="1"/>
  <c r="B12591" i="1"/>
  <c r="B12592" i="1"/>
  <c r="B12593" i="1"/>
  <c r="B12594" i="1"/>
  <c r="B12595" i="1"/>
  <c r="B12596" i="1"/>
  <c r="B12597" i="1"/>
  <c r="B12598" i="1"/>
  <c r="B12599" i="1"/>
  <c r="B12600" i="1"/>
  <c r="B12601" i="1"/>
  <c r="B12602" i="1"/>
  <c r="B12603" i="1"/>
  <c r="B12604" i="1"/>
  <c r="B12605" i="1"/>
  <c r="B12606" i="1"/>
  <c r="B12607" i="1"/>
  <c r="B12608" i="1"/>
  <c r="B12609" i="1"/>
  <c r="B12610" i="1"/>
  <c r="B12611" i="1"/>
  <c r="B12612" i="1"/>
  <c r="B12613" i="1"/>
  <c r="B12614" i="1"/>
  <c r="B12615" i="1"/>
  <c r="B12616" i="1"/>
  <c r="B12617" i="1"/>
  <c r="B12618" i="1"/>
  <c r="B12619" i="1"/>
  <c r="B12620" i="1"/>
  <c r="B12621" i="1"/>
  <c r="B12622" i="1"/>
  <c r="B12623" i="1"/>
  <c r="B12624" i="1"/>
  <c r="B12625" i="1"/>
  <c r="B12626" i="1"/>
  <c r="B12627" i="1"/>
  <c r="B12628" i="1"/>
  <c r="B12629" i="1"/>
  <c r="B12630" i="1"/>
  <c r="B12631" i="1"/>
  <c r="B12632" i="1"/>
  <c r="B12633" i="1"/>
  <c r="B12634" i="1"/>
  <c r="B12635" i="1"/>
  <c r="B12636" i="1"/>
  <c r="B12637" i="1"/>
  <c r="B12638" i="1"/>
  <c r="B12639" i="1"/>
  <c r="B12640" i="1"/>
  <c r="B12641" i="1"/>
  <c r="B12642" i="1"/>
  <c r="B12643" i="1"/>
  <c r="B12644" i="1"/>
  <c r="B12645" i="1"/>
  <c r="B12646" i="1"/>
  <c r="B12647" i="1"/>
  <c r="B12648" i="1"/>
  <c r="B12649" i="1"/>
  <c r="B12650" i="1"/>
  <c r="B12651" i="1"/>
  <c r="B12652" i="1"/>
  <c r="B12653" i="1"/>
  <c r="B12654" i="1"/>
  <c r="B12655" i="1"/>
  <c r="B12656" i="1"/>
  <c r="B12657" i="1"/>
  <c r="B12658" i="1"/>
  <c r="B12659" i="1"/>
  <c r="B12660" i="1"/>
  <c r="B12661" i="1"/>
  <c r="B12662" i="1"/>
  <c r="B12663" i="1"/>
  <c r="B12664" i="1"/>
  <c r="B12665" i="1"/>
  <c r="B12666" i="1"/>
  <c r="B12667" i="1"/>
  <c r="B12668" i="1"/>
  <c r="B12669" i="1"/>
  <c r="B12670" i="1"/>
  <c r="B12671" i="1"/>
  <c r="B12672" i="1"/>
  <c r="B12673" i="1"/>
  <c r="B12674" i="1"/>
  <c r="B12675" i="1"/>
  <c r="B12676" i="1"/>
  <c r="B12677" i="1"/>
  <c r="B12678" i="1"/>
  <c r="B12679" i="1"/>
  <c r="B12680" i="1"/>
  <c r="B12681" i="1"/>
  <c r="B12682" i="1"/>
  <c r="B12683" i="1"/>
  <c r="B12684" i="1"/>
  <c r="B12685" i="1"/>
  <c r="B12686" i="1"/>
  <c r="B12687" i="1"/>
  <c r="B12688" i="1"/>
  <c r="B12689" i="1"/>
  <c r="B12690" i="1"/>
  <c r="B12691" i="1"/>
  <c r="B12692" i="1"/>
  <c r="B12693" i="1"/>
  <c r="B12694" i="1"/>
  <c r="B12695" i="1"/>
  <c r="B12696" i="1"/>
  <c r="B12697" i="1"/>
  <c r="B12698" i="1"/>
  <c r="B12699" i="1"/>
  <c r="B12700" i="1"/>
  <c r="B12701" i="1"/>
  <c r="B12702" i="1"/>
  <c r="B12703" i="1"/>
  <c r="B12704" i="1"/>
  <c r="B12705" i="1"/>
  <c r="B12706" i="1"/>
  <c r="B12707" i="1"/>
  <c r="B12708" i="1"/>
  <c r="B12709" i="1"/>
  <c r="B12710" i="1"/>
  <c r="B12711" i="1"/>
  <c r="B12712" i="1"/>
  <c r="B12713" i="1"/>
  <c r="B12714" i="1"/>
  <c r="B12715" i="1"/>
  <c r="B12716" i="1"/>
  <c r="B12717" i="1"/>
  <c r="B12718" i="1"/>
  <c r="B12719" i="1"/>
  <c r="B12720" i="1"/>
  <c r="B12721" i="1"/>
  <c r="B12722" i="1"/>
  <c r="B12723" i="1"/>
  <c r="B12724" i="1"/>
  <c r="B12725" i="1"/>
  <c r="B12726" i="1"/>
  <c r="B12727" i="1"/>
  <c r="B12728" i="1"/>
  <c r="B12729" i="1"/>
  <c r="B12730" i="1"/>
  <c r="B12731" i="1"/>
  <c r="B12732" i="1"/>
  <c r="B12733" i="1"/>
  <c r="B12734" i="1"/>
  <c r="B12735" i="1"/>
  <c r="B12736" i="1"/>
  <c r="B12737" i="1"/>
  <c r="B12738" i="1"/>
  <c r="B12739" i="1"/>
  <c r="B12740" i="1"/>
  <c r="B12741" i="1"/>
  <c r="B12742" i="1"/>
  <c r="B12743" i="1"/>
  <c r="B12744" i="1"/>
  <c r="B12745" i="1"/>
  <c r="B12746" i="1"/>
  <c r="B12747" i="1"/>
  <c r="B12748" i="1"/>
  <c r="B12749" i="1"/>
  <c r="B12750" i="1"/>
  <c r="B12751" i="1"/>
  <c r="B12752" i="1"/>
  <c r="B12753" i="1"/>
  <c r="B12754" i="1"/>
  <c r="B12755" i="1"/>
  <c r="B12756" i="1"/>
  <c r="B12757" i="1"/>
  <c r="B12758" i="1"/>
  <c r="B12759" i="1"/>
  <c r="B12760" i="1"/>
  <c r="B12761" i="1"/>
  <c r="B12762" i="1"/>
  <c r="B12763" i="1"/>
  <c r="B12764" i="1"/>
  <c r="B12765" i="1"/>
  <c r="B12766" i="1"/>
  <c r="B12767" i="1"/>
  <c r="B12768" i="1"/>
  <c r="B12769" i="1"/>
  <c r="B12770" i="1"/>
  <c r="B12771" i="1"/>
  <c r="B12772" i="1"/>
  <c r="B12773" i="1"/>
  <c r="B12774" i="1"/>
  <c r="B12775" i="1"/>
  <c r="B12776" i="1"/>
  <c r="B12777" i="1"/>
  <c r="B12778" i="1"/>
  <c r="B12779" i="1"/>
  <c r="B12780" i="1"/>
  <c r="B12781" i="1"/>
  <c r="B12782" i="1"/>
  <c r="B12783" i="1"/>
  <c r="B12784" i="1"/>
  <c r="B12785" i="1"/>
  <c r="B12786" i="1"/>
  <c r="B12787" i="1"/>
  <c r="B12788" i="1"/>
  <c r="B12789" i="1"/>
  <c r="B12790" i="1"/>
  <c r="B12791" i="1"/>
  <c r="B12792" i="1"/>
  <c r="B12793" i="1"/>
  <c r="B12794" i="1"/>
  <c r="B12795" i="1"/>
  <c r="B12796" i="1"/>
  <c r="B12797" i="1"/>
  <c r="B12798" i="1"/>
  <c r="B12799" i="1"/>
  <c r="B12800" i="1"/>
  <c r="B12801" i="1"/>
  <c r="B12802" i="1"/>
  <c r="B12803" i="1"/>
  <c r="B12804" i="1"/>
  <c r="B12805" i="1"/>
  <c r="B12806" i="1"/>
  <c r="B12807" i="1"/>
  <c r="B12808" i="1"/>
  <c r="B12809" i="1"/>
  <c r="B12810" i="1"/>
  <c r="B12811" i="1"/>
  <c r="B12812" i="1"/>
  <c r="B12813" i="1"/>
  <c r="B12814" i="1"/>
  <c r="B12815" i="1"/>
  <c r="B12816" i="1"/>
  <c r="B12817" i="1"/>
  <c r="B12818" i="1"/>
  <c r="B12819" i="1"/>
  <c r="B12820" i="1"/>
  <c r="B12821" i="1"/>
  <c r="B12822" i="1"/>
  <c r="B12823" i="1"/>
  <c r="B12824" i="1"/>
  <c r="B12825" i="1"/>
  <c r="B12826" i="1"/>
  <c r="B12827" i="1"/>
  <c r="B12828" i="1"/>
  <c r="B12829" i="1"/>
  <c r="B12830" i="1"/>
  <c r="B12831" i="1"/>
  <c r="B12832" i="1"/>
  <c r="B12833" i="1"/>
  <c r="B12834" i="1"/>
  <c r="B12835" i="1"/>
  <c r="B12836" i="1"/>
  <c r="B12837" i="1"/>
  <c r="B12838" i="1"/>
  <c r="B12839" i="1"/>
  <c r="B12840" i="1"/>
  <c r="B12841" i="1"/>
  <c r="B12842" i="1"/>
  <c r="B12843" i="1"/>
  <c r="B12844" i="1"/>
  <c r="B12845" i="1"/>
  <c r="B12846" i="1"/>
  <c r="B12847" i="1"/>
  <c r="B12848" i="1"/>
  <c r="B12849" i="1"/>
  <c r="B12850" i="1"/>
  <c r="B12851" i="1"/>
  <c r="B12852" i="1"/>
  <c r="B12853" i="1"/>
  <c r="B12854" i="1"/>
  <c r="B12855" i="1"/>
  <c r="B12856" i="1"/>
  <c r="B12857" i="1"/>
  <c r="B12858" i="1"/>
  <c r="B12859" i="1"/>
  <c r="B12860" i="1"/>
  <c r="B12861" i="1"/>
  <c r="B12862" i="1"/>
  <c r="B12863" i="1"/>
  <c r="B12864" i="1"/>
  <c r="B12865" i="1"/>
  <c r="B12866" i="1"/>
  <c r="B12867" i="1"/>
  <c r="B12868" i="1"/>
  <c r="B12869" i="1"/>
  <c r="B12870" i="1"/>
  <c r="B12871" i="1"/>
  <c r="B12872" i="1"/>
  <c r="B12873" i="1"/>
  <c r="B12874" i="1"/>
  <c r="B12875" i="1"/>
  <c r="B12876" i="1"/>
  <c r="B12877" i="1"/>
  <c r="B12878" i="1"/>
  <c r="B12879" i="1"/>
  <c r="B12880" i="1"/>
  <c r="B12881" i="1"/>
  <c r="B12882" i="1"/>
</calcChain>
</file>

<file path=xl/sharedStrings.xml><?xml version="1.0" encoding="utf-8"?>
<sst xmlns="http://schemas.openxmlformats.org/spreadsheetml/2006/main" count="51513" uniqueCount="25536">
  <si>
    <t>Title</t>
  </si>
  <si>
    <t>EIsbn</t>
  </si>
  <si>
    <t>Publisher</t>
  </si>
  <si>
    <t>PublicationDate</t>
  </si>
  <si>
    <t>Authors</t>
  </si>
  <si>
    <t>Subject</t>
  </si>
  <si>
    <t>Artichoke Trail : A Guide to Vegetarian Restaurants, Organic Food Stores &amp; Farmers' Markets in the US</t>
  </si>
  <si>
    <t>Hunter Publishing</t>
  </si>
  <si>
    <t>Frost, James B.</t>
  </si>
  <si>
    <t>Tourism/Hospitality</t>
  </si>
  <si>
    <t>Great Feuds in Medicine : Ten of the Liveliest Disputes Ever</t>
  </si>
  <si>
    <t>Wiley</t>
  </si>
  <si>
    <t>Hellman, Hal</t>
  </si>
  <si>
    <t>Medicine</t>
  </si>
  <si>
    <t>Menopause the Natural Way : The Women's Natural Health Series</t>
  </si>
  <si>
    <t>Siple, Molly; Gordon, Deborah; Sonberg, Lynn</t>
  </si>
  <si>
    <t>Breast Health the Natural Way : The Women's Natural Health Series</t>
  </si>
  <si>
    <t>Mitchell, Deborah; Gordon, Deborah; Sonberg, Lynn</t>
  </si>
  <si>
    <t>Business Ethics in Healthcare : Beyond Compliance</t>
  </si>
  <si>
    <t>Indiana University Press</t>
  </si>
  <si>
    <t>Weber, Leonard J.</t>
  </si>
  <si>
    <t>Philosophy; Medicine</t>
  </si>
  <si>
    <t>Rockefeller Philanthropy and Modern Biomedicine : International Initiatives from World War I to the Cold War</t>
  </si>
  <si>
    <t>Schneider, William H.</t>
  </si>
  <si>
    <t>Biomimetic Sensor Technology</t>
  </si>
  <si>
    <t>Cambridge University Press</t>
  </si>
  <si>
    <t>Toko, Kiyoshi</t>
  </si>
  <si>
    <t>Engineering: General; Medicine; Engineering</t>
  </si>
  <si>
    <t>No Place Like Home? : Feminist Ethics and Home Health Care</t>
  </si>
  <si>
    <t>Parks, Jennifer A.</t>
  </si>
  <si>
    <t>Social Science; Health</t>
  </si>
  <si>
    <t>Community Treatment of Drug Misuse : More than Methadone</t>
  </si>
  <si>
    <t>Seivewright, Nicholas; Strang, John</t>
  </si>
  <si>
    <t>Health; Medicine; Social Science</t>
  </si>
  <si>
    <t>Hormones, Gender and the Aging Brain : The Endocrine Basis of Geriatric Psychiatry</t>
  </si>
  <si>
    <t>Morrison, Mary F.</t>
  </si>
  <si>
    <t>Male Fertility and Infertility</t>
  </si>
  <si>
    <t>Glover, T. D.; Barratt, C. L. R.</t>
  </si>
  <si>
    <t>A Guide to the Extrapyramidal Side Effects of Antipsychotic Drugs</t>
  </si>
  <si>
    <t>Cunningham Owens, D. G.</t>
  </si>
  <si>
    <t>Aplastic Anemia : Pathophysiology and Treatment</t>
  </si>
  <si>
    <t>Schrezenmeier, Hubert; Bacigalupo, Andrea</t>
  </si>
  <si>
    <t>Contagion and the State in Europe, 1830-1930</t>
  </si>
  <si>
    <t>Baldwin, Peter</t>
  </si>
  <si>
    <t>In Vitro Fertilization</t>
  </si>
  <si>
    <t>Elder, Kay; Dale, Brian</t>
  </si>
  <si>
    <t>Diabetic Adolescents and their Families : Stress, Coping, and Adaptation</t>
  </si>
  <si>
    <t>Seiffge-Krenke, Inge; Hurrelmann, Klaus; Currie, Candice; Rasmussen, Vivian</t>
  </si>
  <si>
    <t>Welfare, Choice and Solidarity in Transition : Reforming the Health Sector in Eastern Europe</t>
  </si>
  <si>
    <t>Kornai, János; Eggleston, Karen</t>
  </si>
  <si>
    <t>Diarrhoea and Constipation in Geriatric Practice</t>
  </si>
  <si>
    <t>Ratnaike, Ranjit N.; Andrews, Gary R.</t>
  </si>
  <si>
    <t>Nerve Cells and Animal Behaviour</t>
  </si>
  <si>
    <t>Simmons, Peter J.; Young, David</t>
  </si>
  <si>
    <t>Science: Biology/Natural History; Science</t>
  </si>
  <si>
    <t>Illustrated Pathology of the Spleen</t>
  </si>
  <si>
    <t>Wilkins, Bridget S.; Wright, Dennis H.</t>
  </si>
  <si>
    <t>Delusional Disorder : Paranoia and Related Illnesses</t>
  </si>
  <si>
    <t>Munro, Alistair</t>
  </si>
  <si>
    <t>Physiology by Numbers : An Encouragement to Quantitative Thinking</t>
  </si>
  <si>
    <t>Burton, Richard F.</t>
  </si>
  <si>
    <t>Microbiology in Action</t>
  </si>
  <si>
    <t>Heritage, J.; Evans, E. G. V.; Killington, R. A.</t>
  </si>
  <si>
    <t>Science; Science: Biology/Natural History</t>
  </si>
  <si>
    <t>Mood Disorders : A Handbook of Science and Practice</t>
  </si>
  <si>
    <t>John Wiley &amp; Sons, Incorporated</t>
  </si>
  <si>
    <t>Power, Mick</t>
  </si>
  <si>
    <t>Madness in Its Place : Narratives of Severalls Hospital 1913-1997</t>
  </si>
  <si>
    <t>Routledge</t>
  </si>
  <si>
    <t>Gittins, Diana</t>
  </si>
  <si>
    <t>Social Science; Health; Medicine</t>
  </si>
  <si>
    <t>Illness As a Work of Thought : A Foucauldian Perspective on Psychosomatics</t>
  </si>
  <si>
    <t>Greco, Monica</t>
  </si>
  <si>
    <t>Ethics in Public and Community Health</t>
  </si>
  <si>
    <t>Bradley, Peter; Bradley, Peter M; Burls, Amanda</t>
  </si>
  <si>
    <t>Health; Philosophy; Social Science</t>
  </si>
  <si>
    <t>Deleuze and Guattari's Anti-Oedipus : Introduction to Schizoanalysis</t>
  </si>
  <si>
    <t>Holland, Eugene W.</t>
  </si>
  <si>
    <t>Genetic Counselling : Practice and Principles</t>
  </si>
  <si>
    <t>Clarke, Angus; Angus Clarke</t>
  </si>
  <si>
    <t>Caring for People in Pain</t>
  </si>
  <si>
    <t>Davis, Bryn; Davis, Bryn D.</t>
  </si>
  <si>
    <t>Medicine; Nursing</t>
  </si>
  <si>
    <t>Race, Science and Medicine, 1700-1960</t>
  </si>
  <si>
    <t>Ernst, Waltraud; Harris, Bernard</t>
  </si>
  <si>
    <t>Liquid Pleasures : A Social History of Drinks in Modern Britain</t>
  </si>
  <si>
    <t>Burnett, Proffessor John; Burnett, John</t>
  </si>
  <si>
    <t>Social Science</t>
  </si>
  <si>
    <t>Families and Communities Responding to AIDS</t>
  </si>
  <si>
    <t>Aggleton, Peter; Davies, Peter; Hart, Graham; Davies, Peter</t>
  </si>
  <si>
    <t>Wednesday's Child : Research into Women's Experience of Neglect and Abuse in Childhood and Adult Depression</t>
  </si>
  <si>
    <t>Bifulco, Antonia; Moran, Patricia</t>
  </si>
  <si>
    <t>Healing the Hospital Environment : Design, Management and Maintenance of Healthcare Premises</t>
  </si>
  <si>
    <t>Taylor &amp; Francis Group</t>
  </si>
  <si>
    <t>Haggard, Liz; Hosking, Sarah; Clare, Anthony</t>
  </si>
  <si>
    <t>Health; Social Science</t>
  </si>
  <si>
    <t>Hippocrates' Woman : Reading the Female Body in Ancient Greece</t>
  </si>
  <si>
    <t>King, Helen</t>
  </si>
  <si>
    <t>Water Resources : Health, Environment and Development</t>
  </si>
  <si>
    <t>Chapman and Hall/CRC</t>
  </si>
  <si>
    <t>Kay B Staff; Kay, Brian</t>
  </si>
  <si>
    <t>Environmental Studies; Economics; Health; Social Science</t>
  </si>
  <si>
    <t>Anna Freud : A View of Development, Disturbance and Therapeutic Techniques</t>
  </si>
  <si>
    <t>Edgcumbe, Rose</t>
  </si>
  <si>
    <t>Psychology; Medicine</t>
  </si>
  <si>
    <t>The Play's the Thing : Exploring Text in Drama and Therapy</t>
  </si>
  <si>
    <t>Jenkyns, Marina</t>
  </si>
  <si>
    <t>Psychodrama</t>
  </si>
  <si>
    <t>Treating Drug Abusers : New Directions</t>
  </si>
  <si>
    <t>Bennett, G.; Bennett, G</t>
  </si>
  <si>
    <t>Children, Families and Chronic Disease : Psychological Models of Care</t>
  </si>
  <si>
    <t>Bradford, Roger</t>
  </si>
  <si>
    <t>Adolescent Health : The Role of Individual Differences</t>
  </si>
  <si>
    <t>Heaven, Patrick; Petersen, Candida</t>
  </si>
  <si>
    <t>Health; Medicine</t>
  </si>
  <si>
    <t>Maternal Personality, Evolution and the Sex Ratio : Do Mothers Control the Sex of the Infant?</t>
  </si>
  <si>
    <t>Grant, Valerie J.</t>
  </si>
  <si>
    <t>Science; Science: Biology/Natural History; Science: Anatomy/Physiology</t>
  </si>
  <si>
    <t>Therapeutic Approaches in Psychology</t>
  </si>
  <si>
    <t>Cave, Sue</t>
  </si>
  <si>
    <t>Psychopathology</t>
  </si>
  <si>
    <t>Stirling, John; Hellewell, Jonathan</t>
  </si>
  <si>
    <t>Mental Health Work In The Community : Theory And Practice In Social Work And Community Psychiatric Nursing</t>
  </si>
  <si>
    <t>Sheppard, Michael</t>
  </si>
  <si>
    <t>Nursing the Image : Media, Culture and Professional Identity</t>
  </si>
  <si>
    <t>Hallam, Julia</t>
  </si>
  <si>
    <t>Nursing</t>
  </si>
  <si>
    <t>Psychology</t>
  </si>
  <si>
    <t>Design and Analysis of Clinical Nursing Research Studies</t>
  </si>
  <si>
    <t>Martin, Colin R; Thompson, David R</t>
  </si>
  <si>
    <t>The Changing Shape of Nursing Practice : The Role of Nurses in the Hospital Division of Labour</t>
  </si>
  <si>
    <t>Allen, Davina</t>
  </si>
  <si>
    <t>Nursing; Social Science; Health</t>
  </si>
  <si>
    <t>Eating Disorders and Magical Control of the Body : Treatment Through Art Therapy</t>
  </si>
  <si>
    <t>Levens, Mary</t>
  </si>
  <si>
    <t>Handbook of Drugs for Tropical Parasitic Infections</t>
  </si>
  <si>
    <t>Hellgren, Urban; Ericsson, Orjan; AdenAbdi, Yakoub; Gustafsson, Lars L.; Hellgren, Urban</t>
  </si>
  <si>
    <t>Medicine; Pharmacy</t>
  </si>
  <si>
    <t>How Much Is Enough? : Endings in Psychotherapy and Counselling</t>
  </si>
  <si>
    <t>Murdin, Lesley</t>
  </si>
  <si>
    <t>When Father Kills Mother : Guiding Children Through Trauma and Grief</t>
  </si>
  <si>
    <t>Harris-Hendriks, Jean; Black, Dora; Kaplan, Tony</t>
  </si>
  <si>
    <t>The Tyranny of Health : Doctors and the Regulation of Lifestyle</t>
  </si>
  <si>
    <t>Fitzpatrick, Michael</t>
  </si>
  <si>
    <t>The Endangered Self : Identity and Social Risk</t>
  </si>
  <si>
    <t>Green, Gill; Sobo, Elisa</t>
  </si>
  <si>
    <t>The Dying Process : Patients' Experiences of Palliative Care</t>
  </si>
  <si>
    <t>Lawton, Julia</t>
  </si>
  <si>
    <t>Health; Social Science; Medicine</t>
  </si>
  <si>
    <t>Critical Perspectives on Mental Health</t>
  </si>
  <si>
    <t>Coppock, Vicki; Hopton, John</t>
  </si>
  <si>
    <t>Psychiatry</t>
  </si>
  <si>
    <t>Evidence Based Counselling and Psychological Therapies : Research and Applications</t>
  </si>
  <si>
    <t>Rowland, Nancy; Goss, Stephen</t>
  </si>
  <si>
    <t>The Therapeutic Use of Stories : Handbook for Professionals</t>
  </si>
  <si>
    <t>Dwivedi, Kedar Nath</t>
  </si>
  <si>
    <t>The Emotional Needs of Young Children and Their Families : Using Psychoanalytic Ideas in the Community</t>
  </si>
  <si>
    <t>Bower, Marion; Trowell, Judith</t>
  </si>
  <si>
    <t>Medicine; Health; Social Science</t>
  </si>
  <si>
    <t>Observing Organisations : Anxiety, Defence and Culture in Health Care</t>
  </si>
  <si>
    <t>Hinshelwood, R. D.; Skogstad, Wilhelm</t>
  </si>
  <si>
    <t>The Handbook of Child and Adolescent Psychotherapy : Psychoanalytic Approaches</t>
  </si>
  <si>
    <t>Lanyado, Monica; Horne, Ann</t>
  </si>
  <si>
    <t>Body Talk : The Material and Discursive Regulation of Sexuality, Madness and Reproduction</t>
  </si>
  <si>
    <t>Ussher, Jane</t>
  </si>
  <si>
    <t>The Handbook of Autism : A Guide for Parents and Professionals</t>
  </si>
  <si>
    <t>Aarons, Maureen; Gittens, Tessa</t>
  </si>
  <si>
    <t>Immunotoxicology of Environmental and Occupational Metals</t>
  </si>
  <si>
    <t>Zelikoff, Judith T.; Thomas, Peter T.</t>
  </si>
  <si>
    <t>Preventing Mental Illness in Practice</t>
  </si>
  <si>
    <t>Newton, Jennifer; Newton, Jennifer</t>
  </si>
  <si>
    <t>Decision-Making in Environmental Health : From Evidence to Action</t>
  </si>
  <si>
    <t>CRC Press</t>
  </si>
  <si>
    <t>Briggs, D.; Corvalan, C.; Zielhuis, G.</t>
  </si>
  <si>
    <t>Adrenal in Toxicology : Target Organ and Modulator of Toxicity</t>
  </si>
  <si>
    <t>Harvey, Philip W.</t>
  </si>
  <si>
    <t>Medicine; Social Science; Health</t>
  </si>
  <si>
    <t>Electrically Assisted Transdermal And Topical Drug Delivery : Metabolism and Molecular Physiology of Saccharomyces</t>
  </si>
  <si>
    <t>Banga, Ajay K</t>
  </si>
  <si>
    <t>Acquired Neurological Speech/Language Disorders In Childhood</t>
  </si>
  <si>
    <t>Murdoch, Bruce E</t>
  </si>
  <si>
    <t>Greek Rational Medicine : Philosophy and Medicine from Alcmaeon to the Alexandrians</t>
  </si>
  <si>
    <t>Longrigg, James</t>
  </si>
  <si>
    <t>Medicine and Charity Before the Welfare State</t>
  </si>
  <si>
    <t>Barry, Jonathan; Jones, Colin</t>
  </si>
  <si>
    <t>Migrants, Minorities and Health : Historical and Contemporary Studies</t>
  </si>
  <si>
    <t>Marks, Lara; Worboys, Michael</t>
  </si>
  <si>
    <t>Health Care Systems in Liberal Democracies</t>
  </si>
  <si>
    <t>Wall, Ann</t>
  </si>
  <si>
    <t>Midwives, Society and Childbirth : Debates and Controversies in the Modern Period</t>
  </si>
  <si>
    <t>Marland, Hilary; Rafferty, Anne Marie</t>
  </si>
  <si>
    <t>Illness and Healing Alternatives in Western Europe</t>
  </si>
  <si>
    <t>Gijswit-Hofstra, Marijke; Marland, Hilary; de Waardt, Hans</t>
  </si>
  <si>
    <t>Health Care, Ethics and Insurance</t>
  </si>
  <si>
    <t>Ltd, Tom Sorell; Sorell, Tom</t>
  </si>
  <si>
    <t>Philosophy; Health; Social Science</t>
  </si>
  <si>
    <t>Death and Disease in the Ancient City</t>
  </si>
  <si>
    <t>Hope, Valerie M.; Marshall, Eireann</t>
  </si>
  <si>
    <t>Physical Activity and Psychological Well-Being</t>
  </si>
  <si>
    <t>Biddle, Stuart J. H.; Fox, Ken; Boutcher, Steve</t>
  </si>
  <si>
    <t>Health</t>
  </si>
  <si>
    <t>The Need for Health Care</t>
  </si>
  <si>
    <t>Sheaff, W. R.</t>
  </si>
  <si>
    <t>Acres of Skin : Human Experiments at Holmesburg Prison</t>
  </si>
  <si>
    <t>Hornblum, Allen M.</t>
  </si>
  <si>
    <t>Medicine; Philosophy</t>
  </si>
  <si>
    <t>AIDS: Rights, Risk and Reason</t>
  </si>
  <si>
    <t>Aggleton, Peter; Davies, Peter; Hart, Graham; Hart, Graham</t>
  </si>
  <si>
    <t>Dielectric Analysis of Pharmaceutical Systems</t>
  </si>
  <si>
    <t>Craig, Duncan</t>
  </si>
  <si>
    <t>Impasse and Interpretation : Therapeutic and Anti-Therapeutic Factors in the Psychoanalytic Treatment of Psychotic, Borderline, and Neurotic Patients</t>
  </si>
  <si>
    <t>Rosenfeld, Herbert; Rosenfeld, H; Rosenfeld, Herbert</t>
  </si>
  <si>
    <t>Recovery from Schizophrenia : Psychiatry and Political Economy</t>
  </si>
  <si>
    <t>Warner, Richard</t>
  </si>
  <si>
    <t>Social Science; Medicine; Health</t>
  </si>
  <si>
    <t>Psychic Retreats : Pathological Organizations in Psychotic, Neurotic and Borderline Patients</t>
  </si>
  <si>
    <t>Steiner, John; Schafer, Roy</t>
  </si>
  <si>
    <t>Bathing - the Body and Community Care : The Body and Community Care</t>
  </si>
  <si>
    <t>Twigg, Julia</t>
  </si>
  <si>
    <t>Introduction to the Anatomy and Physiology of Children : A Guide for Students of Nursing, Child Care and Health</t>
  </si>
  <si>
    <t>MacGregor, Janet</t>
  </si>
  <si>
    <t>Science; Medicine; Science: Anatomy/Physiology</t>
  </si>
  <si>
    <t>In-Patient Child Psychiatry : Modern Practice, Research and the Future</t>
  </si>
  <si>
    <t>Green, Jonathan; Jacobs, Brian; Herzov, Lionel</t>
  </si>
  <si>
    <t>The Aphasia Therapy File : Volume 1</t>
  </si>
  <si>
    <t>Byng, Sally; Pound, Carole; Swinburn, Kate</t>
  </si>
  <si>
    <t>Ethics and Community in the Health Care Professions</t>
  </si>
  <si>
    <t>Parker, Michael; Parker, Michael</t>
  </si>
  <si>
    <t>Foucault, Health and Medicine</t>
  </si>
  <si>
    <t>Bunton, Robin; Petersen, Alan; Petersen, Professor Alan , Professor</t>
  </si>
  <si>
    <t>Essential Psychology for Nurses and Other Health Professionals</t>
  </si>
  <si>
    <t>Russell, Graham</t>
  </si>
  <si>
    <t>Challenging Ideas in Psychiatric Nursing</t>
  </si>
  <si>
    <t>Clarke, Liam</t>
  </si>
  <si>
    <t>Nursing; Medicine</t>
  </si>
  <si>
    <t>Coercive Care : Ethics of Choice in Health and Medicine</t>
  </si>
  <si>
    <t>Tannsjo, Torbjorn</t>
  </si>
  <si>
    <t>Philosophy</t>
  </si>
  <si>
    <t>Quality, Evidence and Effectiveness in Health Promotion</t>
  </si>
  <si>
    <t>Davies, John Kenneth; MacDonald, Gordon; Macdonald, Gordon</t>
  </si>
  <si>
    <t>Trauma and Life Stories : International Perspectives</t>
  </si>
  <si>
    <t>Dawson, With Graham; Lacy Rogers, Kim; Leydesdorff, Selma</t>
  </si>
  <si>
    <t>DNA In Forensic Science : Theory, Techniques And Applications</t>
  </si>
  <si>
    <t>Robertson, James R.; Ross, A. M.; Burgoyne, L.</t>
  </si>
  <si>
    <t>The Clinical Thinking of Wilfred Bion</t>
  </si>
  <si>
    <t>Symington, Joan; Symington, Neville</t>
  </si>
  <si>
    <t>Researching Cultural Differences in Health</t>
  </si>
  <si>
    <t>Hillier, Sheila; Kelleher, David; Kelleher, David</t>
  </si>
  <si>
    <t>Material Discourses of Health and Illness</t>
  </si>
  <si>
    <t>Yardley, Lucy; Ussher, Jane M.</t>
  </si>
  <si>
    <t>Social Work, Health and Equality</t>
  </si>
  <si>
    <t>Bywaters, Paul; McLeod, Eileen</t>
  </si>
  <si>
    <t>Self and Others: Selected Works of R d Laing Vol 2</t>
  </si>
  <si>
    <t>Laing, R. D.</t>
  </si>
  <si>
    <t>The Limits of Medical Paternalism</t>
  </si>
  <si>
    <t>HÃ¤yry, Heta; H Yry, Heta</t>
  </si>
  <si>
    <t>Rethinking Health Promotion : A Global Approach</t>
  </si>
  <si>
    <t>MacDonald, Theodore H.</t>
  </si>
  <si>
    <t>The Use of Statistics in Forensic Science</t>
  </si>
  <si>
    <t>Aitken, C. G. G.; Stoney, David A.; Stoney, David A.</t>
  </si>
  <si>
    <t>AIDS, Drugs and Prevention : Perspectives on Individual and Community Action</t>
  </si>
  <si>
    <t>Hartnoll, Richard; Rhodes, Tim</t>
  </si>
  <si>
    <t>Health and Development</t>
  </si>
  <si>
    <t>Phillips, David; Verhasselt, Yola</t>
  </si>
  <si>
    <t>Toxicology of Chemical Respiratory Hypersensitivity</t>
  </si>
  <si>
    <t>Dearman, Rebecca J.; Kimber, Ian</t>
  </si>
  <si>
    <t>Flow Injection Analysis of Pharmaceuticals : Automation in the Laboratory</t>
  </si>
  <si>
    <t>Martinez-Calatayu, J</t>
  </si>
  <si>
    <t>Pharmacy; Medicine</t>
  </si>
  <si>
    <t>Nuclear Medicine in Pharmaceutical Research</t>
  </si>
  <si>
    <t>Frier, M.; Perkins, A. C.</t>
  </si>
  <si>
    <t>Heart and Soul : The Therapeutic Face of Philosophy</t>
  </si>
  <si>
    <t>Mace, Chris; Fulford, K. W. M.</t>
  </si>
  <si>
    <t>The Psychology of Health : An Introduction</t>
  </si>
  <si>
    <t>Phillips, Keith; Pitts, Marian</t>
  </si>
  <si>
    <t>The Sociology of the Health Service</t>
  </si>
  <si>
    <t>Bury, Michael; Calnan, Michael; Gabe, Jonathan; Bury, Professor Michael</t>
  </si>
  <si>
    <t>Breast Cancer</t>
  </si>
  <si>
    <t>Clark, Andrew; Fallowfield, Lesley Prof; Psychology Staff</t>
  </si>
  <si>
    <t>Sexual Offending Against Children : Assessment and Treatment of Male Abusers</t>
  </si>
  <si>
    <t>Beckett, Richard; Erooga, Marcus; Morrison, Tony; Erooga, Marcus; Beckett, Richard C.</t>
  </si>
  <si>
    <t>Nursing and Social Change</t>
  </si>
  <si>
    <t>Baly, Monica F.</t>
  </si>
  <si>
    <t>Health; Nursing; Social Science</t>
  </si>
  <si>
    <t>The Politics of Nursing Knowledge</t>
  </si>
  <si>
    <t>Rafferty, Anne Marie</t>
  </si>
  <si>
    <t>History</t>
  </si>
  <si>
    <t>The Handbook of Psychology for Forensic Practitioners</t>
  </si>
  <si>
    <t>Crighton, David A.; Towl, Graham J.</t>
  </si>
  <si>
    <t>Assessment in Neuropsychology</t>
  </si>
  <si>
    <t>Beech, John R.; Harding, Leonora</t>
  </si>
  <si>
    <t>Medicine; Psychology</t>
  </si>
  <si>
    <t>Scenes of Madness : A Psychiatrist at the Theatre</t>
  </si>
  <si>
    <t>Davis, Derek Russell</t>
  </si>
  <si>
    <t>Medicine; Literature</t>
  </si>
  <si>
    <t>Explorations in Family Nursing</t>
  </si>
  <si>
    <t>Whyte, Dorothy</t>
  </si>
  <si>
    <t>The Therapeutic Use of Self : Counselling Practice, Research and Supervision</t>
  </si>
  <si>
    <t>Wosket, Val</t>
  </si>
  <si>
    <t>Managerialism and Nursing : Beyond Oppression and Profession</t>
  </si>
  <si>
    <t>Traynor, Michael</t>
  </si>
  <si>
    <t>Social Science; Health; Nursing</t>
  </si>
  <si>
    <t>Choosing a Counselling or Psychotherapy Training : A Practical Guide</t>
  </si>
  <si>
    <t>Schapira, Sylvie K.</t>
  </si>
  <si>
    <t>Social Science; Medicine</t>
  </si>
  <si>
    <t>Health, Medicine and Society : Key Theories, Future Agendas</t>
  </si>
  <si>
    <t>Calnan, Michael; Gabe, Jonathan; Williams, Simon J.</t>
  </si>
  <si>
    <t>Health and Social Change in Russia and Eastern Europe</t>
  </si>
  <si>
    <t>Cockerham, William C.</t>
  </si>
  <si>
    <t>Sport, Health and Drugs : A Critical Sociological Perspective</t>
  </si>
  <si>
    <t>Waddington, Ivan; Smith, Andy</t>
  </si>
  <si>
    <t>Presenting Toxicology Results : How to Evaluate Data and Write Reports</t>
  </si>
  <si>
    <t>Nohynek, Gerhard J.; Copping, Graham; Wells, Monique Y.</t>
  </si>
  <si>
    <t>Molecular Pathology</t>
  </si>
  <si>
    <t>Salisbury, Jonathan</t>
  </si>
  <si>
    <t>Handbook for Clinical Investigators</t>
  </si>
  <si>
    <t>Kirkpatrick, Christopher</t>
  </si>
  <si>
    <t>Infection and Immunity</t>
  </si>
  <si>
    <t>Davies, D. H.; Halablab, M. A.; Young, T. W. K.; Cox, F. E. G.; Clarke, J.</t>
  </si>
  <si>
    <t>AIDS Sexuality and Gender in Africa : Collective Strategies and Struggles in Tanzania and Zambia</t>
  </si>
  <si>
    <t>Baylies, Carolyn; Bujra, Janet</t>
  </si>
  <si>
    <t>Mental Health and HIV Infection</t>
  </si>
  <si>
    <t>Catalan, Jose</t>
  </si>
  <si>
    <t>AIDS in Europe : New Challenges for the Social Sciences</t>
  </si>
  <si>
    <t>Aggleton, Peter; Moatti, Jean Paul; Prieur, Annick; Sandfort, Theo; Souteyrand, Yves</t>
  </si>
  <si>
    <t>Power and Community</t>
  </si>
  <si>
    <t>Altman, Dennis</t>
  </si>
  <si>
    <t>Art, Psychotherapy and Psychosis</t>
  </si>
  <si>
    <t>Killick, Katherine; Schaverien, Joy</t>
  </si>
  <si>
    <t>Occupational Health: A Practical Guide for Managers</t>
  </si>
  <si>
    <t>Fingret, Dr. Ann; Smith, Alan</t>
  </si>
  <si>
    <t>Pharmacy; Medicine; Business/Management</t>
  </si>
  <si>
    <t>Breakdown and Breakthrough : Psychotherapy in a New Dimension</t>
  </si>
  <si>
    <t>Field, Nathan</t>
  </si>
  <si>
    <t>Equal Partners - Good Friends : Empowering Couples Through Therapy</t>
  </si>
  <si>
    <t>Rabin, Claire</t>
  </si>
  <si>
    <t>Who Calls the Tune? : A Psychodramatic Approach to Child Therapy</t>
  </si>
  <si>
    <t>Hoey, Bernadette</t>
  </si>
  <si>
    <t>Emotional Vertigo : Between Anxiety and Pleasure</t>
  </si>
  <si>
    <t>Quinodoz, Danielle; Pomerans, Arnold</t>
  </si>
  <si>
    <t>International Health Care Reform : A Legal, Economic and Political Analysis</t>
  </si>
  <si>
    <t>Flood, Colleen</t>
  </si>
  <si>
    <t>Business/Management; Social Science; Economics; Health</t>
  </si>
  <si>
    <t>Unhealthy Places : The Ecology of Risk in the Urban Landscape</t>
  </si>
  <si>
    <t>Fitzpatrick, Kevin; LaGory, Mark</t>
  </si>
  <si>
    <t>An American Health Dilemma : A Medical History of African Americans and the Problem of Race: Beginnings To 1900</t>
  </si>
  <si>
    <t>Byrd, W. Michael; Clayton, Linda A.</t>
  </si>
  <si>
    <t>Biochemical Protozoology As A Basis For Drug Design</t>
  </si>
  <si>
    <t>Coombs, Graham H.</t>
  </si>
  <si>
    <t>Medicine; Science; Science: Biology/Natural History</t>
  </si>
  <si>
    <t>GIS and Health : Gisdata 6</t>
  </si>
  <si>
    <t>European Science Foundation Staff; Gattrell, Anthony; Loytonen, M.</t>
  </si>
  <si>
    <t>Particulate Interactions in Dry Powder Formulation for Inhalation</t>
  </si>
  <si>
    <t>Zeng, Xian Ming; Martin, Gary Peter; Marriott, Christopher</t>
  </si>
  <si>
    <t>Contraception Today: Pocketbook</t>
  </si>
  <si>
    <t>Guillebaud, John</t>
  </si>
  <si>
    <t>Medicine; Health</t>
  </si>
  <si>
    <t>Inflammatory Cells and Mediators in CNS Disease</t>
  </si>
  <si>
    <t>Feuerstein, Giora Z.; Hunter, A. Jaqueline; Metcalf, Brian W.; Poste, George; Ruffolo, Jr., Robert R., Robert R</t>
  </si>
  <si>
    <t>Science; Medicine; Science: Biology/Natural History</t>
  </si>
  <si>
    <t>Using CNS Autopsy Tissue in Psychiatric Research: a Practical Guide</t>
  </si>
  <si>
    <t>Dean, Brian; Hyde, Thomas M.; Kleinman, Joel E.</t>
  </si>
  <si>
    <t>Science; Science: Anatomy/Physiology; Medicine</t>
  </si>
  <si>
    <t>Early Detection and Cognitive Therapy for People at High Risk of Developing Psychosis : A Treatment Approach</t>
  </si>
  <si>
    <t>French, Paul; Morrison, Anthony P.</t>
  </si>
  <si>
    <t>Ethics and Values in Healthcare Management</t>
  </si>
  <si>
    <t>Dracopolou, Souzy</t>
  </si>
  <si>
    <t>Health; Social Science; Philosophy</t>
  </si>
  <si>
    <t>The Value of Life : An Introduction to Medical Ethics</t>
  </si>
  <si>
    <t>Harris, John</t>
  </si>
  <si>
    <t>Insanity, Institutions and Society, 1800-1914</t>
  </si>
  <si>
    <t>Forsythe, Bill; Melling, Joseph</t>
  </si>
  <si>
    <t>Our Needs for Others and Its Roots in Infancy</t>
  </si>
  <si>
    <t>Klein, Josephine</t>
  </si>
  <si>
    <t>Fire-Raising: Its motivation and management</t>
  </si>
  <si>
    <t>Prins, Prof Herschel; Prins, Herschel</t>
  </si>
  <si>
    <t>Sandplay : Past, Present and Future</t>
  </si>
  <si>
    <t>Friedman, Harriet S.; Rogers Mitchell, Rie</t>
  </si>
  <si>
    <t>Understanding Women in Distress</t>
  </si>
  <si>
    <t>Ashurst, Pamela; Hall, Zaida; Hall, Zaida</t>
  </si>
  <si>
    <t>Introduction to Psychoanalysis : Contemporary Theory and Practice</t>
  </si>
  <si>
    <t>Bateman, Anthony; Holmes, Jeremy</t>
  </si>
  <si>
    <t>Eating Disorders and Marital Relationships</t>
  </si>
  <si>
    <t>Norre, Jan; Van den Broucke, Stephan; Vandereycken, Walter</t>
  </si>
  <si>
    <t>In the Name of the Child : Health and Welfare</t>
  </si>
  <si>
    <t>Cooter, Roger</t>
  </si>
  <si>
    <t>Health Care and Poor Relief in Protestant Europe 1500-1700</t>
  </si>
  <si>
    <t>Cunningham, Andrew; Grell, Ole Peter</t>
  </si>
  <si>
    <t>Coliform Index and Waterborne Disease : Problems of Microbial Drinking Water Assessment</t>
  </si>
  <si>
    <t>Gleeson, Cara; Gray, Nick; Gleesoon, Cara</t>
  </si>
  <si>
    <t>Engineering; Engineering: Environmental</t>
  </si>
  <si>
    <t>Occupational Ergonomics : Work Related Musculoskeletal Disorders of the Upper Limb and Back</t>
  </si>
  <si>
    <t>Violante, Francesco; Kilbom, Asa; Armstrong, T. J.</t>
  </si>
  <si>
    <t>Children's Health in Primary Schools</t>
  </si>
  <si>
    <t>Barker, Sandy; Bendelow, Gillian; Mayall, Berry; Storey, Pamela; Veltman, Marijcke</t>
  </si>
  <si>
    <t>Education</t>
  </si>
  <si>
    <t>The Psychological Treatment of Depression : A Guide to the Theory and Practice of Cognitive Behaviour Therapy</t>
  </si>
  <si>
    <t>Williams, J. Mark G.</t>
  </si>
  <si>
    <t>Colitis</t>
  </si>
  <si>
    <t>Kelly, Michael P.</t>
  </si>
  <si>
    <t>Dance Movement Therapy: Theory and Practice</t>
  </si>
  <si>
    <t>Payne, Helen</t>
  </si>
  <si>
    <t>The Third Eye : Supervision of Analytic Groups</t>
  </si>
  <si>
    <t>Sharpe, Meg</t>
  </si>
  <si>
    <t>Behaviour Problems in Young Children : Assessment and Management</t>
  </si>
  <si>
    <t>Douglas, Jo</t>
  </si>
  <si>
    <t>Medicine; Home Economics</t>
  </si>
  <si>
    <t>From the Mental Patient to the Person</t>
  </si>
  <si>
    <t>Barham, Peter; Hayward, Robert; Hayward, Robert</t>
  </si>
  <si>
    <t>Working with Women and AIDS : Medical, Social and Counselling Issues</t>
  </si>
  <si>
    <t>Bury, Judy; McLachlan, Sheena; Mclachlan, Sheena; Morrison, Val</t>
  </si>
  <si>
    <t>Working with Children in Art Therapy</t>
  </si>
  <si>
    <t>Case, Caroline; Dalley, Tessa</t>
  </si>
  <si>
    <t>The Clinical Psychologist's Handbook of Epilepsy : Assessment and Management</t>
  </si>
  <si>
    <t>Cull, Christine; Goldstein, Laura H.</t>
  </si>
  <si>
    <t>Epilepsy</t>
  </si>
  <si>
    <t>Life and Death in Healthcare Ethics : A Short Introduction</t>
  </si>
  <si>
    <t>Watt, Helen</t>
  </si>
  <si>
    <t>Drawing on Difference : Art Therapy with People Who Have Learning Difficulties</t>
  </si>
  <si>
    <t>Rees, Mair</t>
  </si>
  <si>
    <t>Dictionary of Mental Handicap</t>
  </si>
  <si>
    <t>Lindsey, Mary P.; Lindsey, Mary P; Lindsey Mary, P</t>
  </si>
  <si>
    <t>Advocacy and Empowerment : Mental Health Care in the Community</t>
  </si>
  <si>
    <t>Black, Bruce L.; Rose, Stephen M.</t>
  </si>
  <si>
    <t>Health Care Communication Using Personality Type : Patients Are Different!</t>
  </si>
  <si>
    <t>Allen, Judy; Brock, Susan A.</t>
  </si>
  <si>
    <t>Managing Mental Health in the Community : Chaos and Containment</t>
  </si>
  <si>
    <t>Foster, Angela; Roberts, Dr Vega Zagier; Roberts, Vega Zagier</t>
  </si>
  <si>
    <t>Child and Family Assessment : Clinical Guidelines for Practitioners</t>
  </si>
  <si>
    <t>Wilkinson, Ian</t>
  </si>
  <si>
    <t>An Introduction to the Social History of Nursing</t>
  </si>
  <si>
    <t>Dingwall, Robert; Rafferty, Anne Marie; Webster, Charles; Webster, Senior Research Fellow Charles</t>
  </si>
  <si>
    <t>Homelessness, Health Care and Welfare Provision</t>
  </si>
  <si>
    <t>Fischer, Kevin; Collins, Dr John; Acheson, Donald</t>
  </si>
  <si>
    <t>Embodied Progress : A Cultural Account of Assisted Conception</t>
  </si>
  <si>
    <t>Franklin, Sarah</t>
  </si>
  <si>
    <t>The Visible Human Project : Informatic Bodies and Posthuman Medicine</t>
  </si>
  <si>
    <t>Waldby, Catherine</t>
  </si>
  <si>
    <t>Science; Science: Anatomy/Physiology</t>
  </si>
  <si>
    <t>The Healing Bond : The Patient-Practitioner Relationship and Therapeutic Responsibility</t>
  </si>
  <si>
    <t>Budd, Susan; Sharma, Ursula</t>
  </si>
  <si>
    <t>Unhealthy Societies : The Afflictions of Inequality</t>
  </si>
  <si>
    <t>Wilkinson, Richard G.</t>
  </si>
  <si>
    <t>Worlds of Illness : Biographical and Cultural Perspectives on Health and Disease</t>
  </si>
  <si>
    <t>Radley, Alan</t>
  </si>
  <si>
    <t>Researching Health Promotion</t>
  </si>
  <si>
    <t>Platt, Stephen; Watson, Jonathan</t>
  </si>
  <si>
    <t>Crossing Borders : Migration, Ethnicity and AIDS</t>
  </si>
  <si>
    <t>Haour-Knipe, Mary; Rector, the late Richard</t>
  </si>
  <si>
    <t>Imagine Hope : AIDS and Gay Identity</t>
  </si>
  <si>
    <t>Watney, Simon</t>
  </si>
  <si>
    <t>The Dutch Response to HIV : Pragmatism and Consensus</t>
  </si>
  <si>
    <t>Sandfort, Theo</t>
  </si>
  <si>
    <t>Women and Self Harm : Understanding, Coping and Healing from Self-Mutilation</t>
  </si>
  <si>
    <t>Smith, Gerrilyn; Cox, Dee; Saradjian, Jacqui</t>
  </si>
  <si>
    <t>The Bi-Personal Field : Experiences in Child Analysis</t>
  </si>
  <si>
    <t>Ferro, Antonino</t>
  </si>
  <si>
    <t>Reporting in Counselling and Psychotherapy : A Trainee's Guide to Preparing Case Studies and Reports</t>
  </si>
  <si>
    <t>Papadopoulos, Linda; Cross, Malcolm; Bor, Robert</t>
  </si>
  <si>
    <t>Partnership and Pragmatism : The German Response to AIDS Prevention and Care</t>
  </si>
  <si>
    <t>Rosenbrock, Rolf; Wright, Michael</t>
  </si>
  <si>
    <t>Homes and Health : How Housing and Health Interact</t>
  </si>
  <si>
    <t>Ineichen, Bernard</t>
  </si>
  <si>
    <t>Coping, Health and Organizations</t>
  </si>
  <si>
    <t>Dewe, Phil; Cox, Tom; Leiter, Michael</t>
  </si>
  <si>
    <t>Conjugation Reactions In Drug Metabolism : An Integrated Approach</t>
  </si>
  <si>
    <t>Mulder, Gerard J.</t>
  </si>
  <si>
    <t>Environmental Toxicology : Current Developments</t>
  </si>
  <si>
    <t>Rose, J.</t>
  </si>
  <si>
    <t>Making Connections : Total Body Integration Through Bartenieff Fundamentals</t>
  </si>
  <si>
    <t>Hackney, Peggy</t>
  </si>
  <si>
    <t>Secretory Systems and Toxins</t>
  </si>
  <si>
    <t>Linial, Michal; Grasso, Alfonso; Lazarovici, Phillip</t>
  </si>
  <si>
    <t>Ergot : The Genus Claviceps</t>
  </si>
  <si>
    <t>Kren, Vladimír; Kren, Vladimir; Cvak, Ladislav</t>
  </si>
  <si>
    <t>Science: Biology/Natural History; Science: Botany; Science</t>
  </si>
  <si>
    <t>Molecular Biology of Alzheimer's Disease : Genes and Mechanisms Involved in Amyloid Generation</t>
  </si>
  <si>
    <t>Haass, Christian</t>
  </si>
  <si>
    <t>Pathophysiology and Clinical Applications of Nitric Oxide</t>
  </si>
  <si>
    <t>Rubanyi, Gabor M.</t>
  </si>
  <si>
    <t>Science: Biology/Natural History; Science: Anatomy/Physiology; Science</t>
  </si>
  <si>
    <t>Malaria : Molecular and Clinical Aspects</t>
  </si>
  <si>
    <t>Wahlgren, Mats; Perlmann, Peter</t>
  </si>
  <si>
    <t>Cancer Facts : A Concise Oncology Text</t>
  </si>
  <si>
    <t>Bishop, James</t>
  </si>
  <si>
    <t>Vascular Endothelium in Human Physiology and Pathophysiology</t>
  </si>
  <si>
    <t>Vallance, Patrick J.; Webb, David J.</t>
  </si>
  <si>
    <t>Dyslexia, Reading and the Brain : A Sourcebook of Psychological and Biological Research</t>
  </si>
  <si>
    <t>Beaton, Alan</t>
  </si>
  <si>
    <t>Key Topics in Otolaryngology</t>
  </si>
  <si>
    <t>Roland, N. J.; McRae, R. D. R.; McCombe, A. W.</t>
  </si>
  <si>
    <t>Key Topics in Accident and Emergency Medicine</t>
  </si>
  <si>
    <t>Burke, D; Burke, Derek; Evans, Roy</t>
  </si>
  <si>
    <t>Voices of Bereavement : A Casebook for Grief Counselors</t>
  </si>
  <si>
    <t>Beder, Joan</t>
  </si>
  <si>
    <t>The Handbook of Clinical Intervention with Young People Who Sexually Abuse</t>
  </si>
  <si>
    <t>O'Reilly, Gary; Marshall, William L.; Carr, Alan; Beckett, Richard C.</t>
  </si>
  <si>
    <t>Talking over the Years : A Handbook of Dynamic Psychotherapy with Older Adults</t>
  </si>
  <si>
    <t>Evans, Sandra; Garner, Jane; Porter, Ruth</t>
  </si>
  <si>
    <t>Handbook of Family Therapy : The Science and Practice of Working with Families and Couples</t>
  </si>
  <si>
    <t>Robbins, Mike; Sexton, Tom; Weeks, Gerald; Lebow, Jay; Gurman, Alan S.; Sexton, Thomas L.; Lebow, Jay</t>
  </si>
  <si>
    <t>Helping Bereaved Parents : A Clinician's Guide</t>
  </si>
  <si>
    <t>Tedeschi, Richard G.; Calhoun, Lawrence G.</t>
  </si>
  <si>
    <t>Life after Self-Harm : A Guide to the Future</t>
  </si>
  <si>
    <t>Schmidt, Ulrike; Davidson, Kate</t>
  </si>
  <si>
    <t>Emotional Expression and Health : Advances in Theory, Assessment and Clinical Applications</t>
  </si>
  <si>
    <t>Nyklícek, Ivan; Temoshok, Lydia; Vingerhoets, Ad</t>
  </si>
  <si>
    <t>Workplace Trauma : Concepts, Assessment and Interventions</t>
  </si>
  <si>
    <t>Tehrani, Noreen</t>
  </si>
  <si>
    <t>Introduction to Dramatherapy : Person and Threshold</t>
  </si>
  <si>
    <t>Pitruzzella, Salvo; Grainger, Roger</t>
  </si>
  <si>
    <t>Psychological Interventions in Early Psychosis : A Treatment Handbook</t>
  </si>
  <si>
    <t>Gleeson, John F. M.; McGorry, Patrick D.; Gleeson, John F M; McGorry, Patrick D</t>
  </si>
  <si>
    <t>Memory Disorders for Clinicians</t>
  </si>
  <si>
    <t>Baddeley, Alan D.; Kopelman, Michael D.; Wilson, Barbara A.</t>
  </si>
  <si>
    <t>Case Studies of Existing Human Tissue Repositories : "Best Practices" for a Biospecimen Resource for the Genomic and Proteomic Era</t>
  </si>
  <si>
    <t>RAND Corporation</t>
  </si>
  <si>
    <t>Eiseman, Elisa; Bloom, Gabrielle; Brower, Jennifer</t>
  </si>
  <si>
    <t>Protecting Emergency Responders Volume 2 : Community Views of Safety and Health Risks and Personal Protection Needs</t>
  </si>
  <si>
    <t>LaTourrette, Tom; Peterson, D.J.; Bartis, James</t>
  </si>
  <si>
    <t>In Vitro Toxicology</t>
  </si>
  <si>
    <t>Gad, Shayne C.; Strauss, Steven</t>
  </si>
  <si>
    <t>Coping and Complaining : Attachment and the Language of Disease</t>
  </si>
  <si>
    <t>Wilkinson, Simon R.</t>
  </si>
  <si>
    <t>Personal Construct Perspectives on Forensic Psychology</t>
  </si>
  <si>
    <t>Horley, James</t>
  </si>
  <si>
    <t>Handbook of Clinical Sexuality for Mental Health Professionals</t>
  </si>
  <si>
    <t>Levine, Stephen B.; Risen, Candace B.; Althof, Stanley E.</t>
  </si>
  <si>
    <t>Nameless : Understanding Learning Disability</t>
  </si>
  <si>
    <t>Niedecken, Dietmut; Erdheim, Mario</t>
  </si>
  <si>
    <t>A Cognitive Neuropsychological Approach to Assessment and Intervention in Aphasia : A Clinician's Guide</t>
  </si>
  <si>
    <t>Whitworth, Anne; Webster, Janet; Howard, David</t>
  </si>
  <si>
    <t>Introduction to Play Therapy</t>
  </si>
  <si>
    <t>Cattanach, Ann</t>
  </si>
  <si>
    <t>Broken Spirits : The Treatment of Traumatized Asylum Seekers, Refugees and War and Torture Victims</t>
  </si>
  <si>
    <t>Wilson, John P.; Drozdek, Boris</t>
  </si>
  <si>
    <t>Preventive Counseling : Helping People to Become Empowered in Systems and Settings</t>
  </si>
  <si>
    <t>Conyne, Robert K.</t>
  </si>
  <si>
    <t>Health; Social Science; Psychology</t>
  </si>
  <si>
    <t>Encyclopedia of Kitchen History</t>
  </si>
  <si>
    <t>Snodgrass, Mary Ellen</t>
  </si>
  <si>
    <t>Home Economics</t>
  </si>
  <si>
    <t>Using Drawings in Assessment and Therapy : A Guide for Mental Health Professionals</t>
  </si>
  <si>
    <t>Oster, Gerald D.; Gould Crone, Patricia</t>
  </si>
  <si>
    <t>The Dialogical Self in Psychotherapy : An Introduction</t>
  </si>
  <si>
    <t>Hermans, Hubert J. M.; Dimaggio, Giancarlo</t>
  </si>
  <si>
    <t>Education for Patients and Clients</t>
  </si>
  <si>
    <t>Coates, Vivien</t>
  </si>
  <si>
    <t>Disaster Mental Health Services : A Primer for Practitioners</t>
  </si>
  <si>
    <t>Myers, Diane; Wee, David</t>
  </si>
  <si>
    <t>Art Therapy for Groups : A Handbook of Themes and Exercises</t>
  </si>
  <si>
    <t>Liebmann, Marian</t>
  </si>
  <si>
    <t>Eating Disorders : A Parents' Guide, Second edition</t>
  </si>
  <si>
    <t>Bryant-Waugh, Rachel; Lask, Bryan</t>
  </si>
  <si>
    <t>Writing Cures : An Introductory Handbook of Writing in Counselling and Therapy</t>
  </si>
  <si>
    <t>Bolton, Gillie; Howlett, Stephanie; Lago, Colin; MacMillan, Ian; Wright, Jeannie K.</t>
  </si>
  <si>
    <t>Methodology of Frontal and Executive Function</t>
  </si>
  <si>
    <t>Rabbitt, Patrick</t>
  </si>
  <si>
    <t>Key Topics in Gastroenterology</t>
  </si>
  <si>
    <t>Anderson, S.H.C.; Dalton, H.R.; Davies, G.</t>
  </si>
  <si>
    <t>Systematic Reviews in Health Care : A Practical Guide</t>
  </si>
  <si>
    <t>Glasziou, Paul; Irwig, Les; Bain, Chris; Colditz, Graham</t>
  </si>
  <si>
    <t>Biology of Plagues : Evidence from Historical Populations</t>
  </si>
  <si>
    <t>Scott, Susan; Duncan, Christopher J.</t>
  </si>
  <si>
    <t>Memory in Neurodegenerative Disease : Biological, Cognitive, and Clinical Perspectives</t>
  </si>
  <si>
    <t>Tröster, Alexander I.</t>
  </si>
  <si>
    <t>Neural Networks and Psychopathology : Connectionist Models in Practice and Research</t>
  </si>
  <si>
    <t>Stein, Dan J.; Ludik, Jacques</t>
  </si>
  <si>
    <t>Atopic Dermatitis : The Epidemiology, Causes and Prevention of Atopic Eczema</t>
  </si>
  <si>
    <t>Williams, Hywel C.</t>
  </si>
  <si>
    <t>The Transplant Patient : Biological, Psychiatric and Ethical Issues in Organ Transplantation</t>
  </si>
  <si>
    <t>Trzepacz, Paula T.; DiMartini, Andrea F.</t>
  </si>
  <si>
    <t>Sex, Gender and Health</t>
  </si>
  <si>
    <t>Pollard, Tessa M.; Hyatt, Susan Brin; Panter-Brick, Catherine</t>
  </si>
  <si>
    <t>A Clinical Guide to Sleep Disorders in Children and Adolescents</t>
  </si>
  <si>
    <t>Stores, Gregory</t>
  </si>
  <si>
    <t>The Transmission of Chinese Medicine</t>
  </si>
  <si>
    <t>Hsu, Elisabeth</t>
  </si>
  <si>
    <t>Hepatitis C Virus : From Laboratory to Clinic</t>
  </si>
  <si>
    <t>Feitelson, Mark A.</t>
  </si>
  <si>
    <t>Exercise Testing and Interpretation : A Practical Approach</t>
  </si>
  <si>
    <t>Cooper, Christopher B.; Storer, Thomas W.</t>
  </si>
  <si>
    <t>The Osteoporosis Primer</t>
  </si>
  <si>
    <t>Henderson, Janet E.; Goltzman, David</t>
  </si>
  <si>
    <t>Knowledge and Practice in English Medicine, 1550–1680</t>
  </si>
  <si>
    <t>Wear, Andrew</t>
  </si>
  <si>
    <t>Unmet Need in Psychiatry : Problems, Resources, Responses</t>
  </si>
  <si>
    <t>Andrews, Gavin; Henderson, Scott</t>
  </si>
  <si>
    <t>The Ethics of Medical Research on Humans</t>
  </si>
  <si>
    <t>Foster, Claire</t>
  </si>
  <si>
    <t>Cambridge Guide to Infertility Management and Assisted Reproduction</t>
  </si>
  <si>
    <t>Meniru, Godwin I.; Langer, Alvin</t>
  </si>
  <si>
    <t>Infertility</t>
  </si>
  <si>
    <t>Psychiatric and Cognitive Disorders in Parkinson's Disease</t>
  </si>
  <si>
    <t>Starkstein, Sergio E.; Merello, Marcelo</t>
  </si>
  <si>
    <t>The Recognition and Management of Early Psychosis : A Preventive Approach</t>
  </si>
  <si>
    <t>McGorry, Patrick D.; Jackson, Henry J.; Perris, Carlo</t>
  </si>
  <si>
    <t>Sex Differences in Antisocial Behaviour : Conduct Disorder, Delinquency, and Violence in the Dunedin Longitudinal Study</t>
  </si>
  <si>
    <t>Moffitt, Terrie E.; Caspi, Avshalom; Rutter, Michael; Blumstein, Alfred; Farrington, D. P.; Silva, Phil A.</t>
  </si>
  <si>
    <t>Medicine; Social Science</t>
  </si>
  <si>
    <t>Personality and Dangerousness : Genealogies of Antisocial Personality Disorder</t>
  </si>
  <si>
    <t>McCallum, David</t>
  </si>
  <si>
    <t>Epidemiological Studies : A Practical Guide</t>
  </si>
  <si>
    <t>Silman, Alan J.; Macfarlane, Gary J.</t>
  </si>
  <si>
    <t>Pharmacogenetics of Psychotropic Drugs</t>
  </si>
  <si>
    <t>Lerer, Bernard</t>
  </si>
  <si>
    <t>A Clinical Guide to Inherited Metabolic Diseases</t>
  </si>
  <si>
    <t>Clarke, Joe T. R.</t>
  </si>
  <si>
    <t>Autonomy and Trust in Bioethics</t>
  </si>
  <si>
    <t>O'Neill, Onora</t>
  </si>
  <si>
    <t>Euthanasia, Ethics and Public Policy : An Argument Against Legalisation</t>
  </si>
  <si>
    <t>Keown, John</t>
  </si>
  <si>
    <t>Adolescent Sleep Patterns : Biological, Social, and Psychological Influences</t>
  </si>
  <si>
    <t>Carskadon, Mary A.</t>
  </si>
  <si>
    <t>Human Frontiers, Environments and Disease : Past Patterns, Uncertain Futures</t>
  </si>
  <si>
    <t>McMichael, Tony</t>
  </si>
  <si>
    <t>Clinical Assessment of Dangerousness : Empirical Contributions</t>
  </si>
  <si>
    <t>Pinard, Georges-Franck; Pagani, Linda</t>
  </si>
  <si>
    <t>Global Threat of New and Reemerging Infectious Diseases : Reconciling U.S.National Security and Public Health Policy</t>
  </si>
  <si>
    <t>Brower, Jennifer; Chalk, Peter</t>
  </si>
  <si>
    <t>Emergencies in Diabetes : Diagnosis, Management and Prevention</t>
  </si>
  <si>
    <t>Krentz, Andrew J.</t>
  </si>
  <si>
    <t>Posttraumatic Stress Disorder : Issues and Controversies</t>
  </si>
  <si>
    <t>Rosen, Gerald</t>
  </si>
  <si>
    <t>Osteoarthritic Joint Pain : Symposium on Osteoarthritic Joint Pain, Held at the Novartis Foundation, London, 1-3 July 2003</t>
  </si>
  <si>
    <t>Novartis Foundation Symposium Staff; Chadwick, Derek J.; Goode, Jamie A.; Lastnovartis Foundation,</t>
  </si>
  <si>
    <t>Metal Contamination of Food : Its Significance for Food Quality and Human Health</t>
  </si>
  <si>
    <t>Wiley-Blackwell</t>
  </si>
  <si>
    <t>Reilly, Conor</t>
  </si>
  <si>
    <t>Plant Food Allergens</t>
  </si>
  <si>
    <t>Mills, E. N. Clare; Shewry, Peter R.</t>
  </si>
  <si>
    <t>Evidence-Based Rheumatology</t>
  </si>
  <si>
    <t>Tugwell, Peter; Shea, Beverley; Boers, Maarten; Brooks, Peter; Simon, Lee; Strand, Vibeke; Wells, George</t>
  </si>
  <si>
    <t>Getting Research Findings into Practice</t>
  </si>
  <si>
    <t>Haines, Andy; Haines, Andrew; Donald, Anna; Donald, Anna</t>
  </si>
  <si>
    <t>ECGs for the Emergency Physician 1 : 1</t>
  </si>
  <si>
    <t>Mattu, Amal; Brady, William J.</t>
  </si>
  <si>
    <t>Peer Review in Health Sciences</t>
  </si>
  <si>
    <t>Jefferson, Tom; Godlee, Fiona</t>
  </si>
  <si>
    <t>Improving Outcomes in Chronic Heart Failure : A practical guide to specialist nurse Intervention</t>
  </si>
  <si>
    <t>Stewart, Simon; Blue, Lynda</t>
  </si>
  <si>
    <t>Respiratory Management in Critical Care</t>
  </si>
  <si>
    <t>Griffiths, Mark J.D.; Evans, Timothy</t>
  </si>
  <si>
    <t>Medical Ethics Today : The BMA's Handbook of Ethics and Law</t>
  </si>
  <si>
    <t>Blackwell Publishing Ltd.</t>
  </si>
  <si>
    <t>Medical Ethics Department, BMA; English, Veronica; Romano-Critchley, Gillian</t>
  </si>
  <si>
    <t>Evidence-Based Resource in Anaesthesia and Analgesia</t>
  </si>
  <si>
    <t>Tramèr, Martin</t>
  </si>
  <si>
    <t>Gut Flora, Nutrition, Immunity and Health</t>
  </si>
  <si>
    <t>Fuller, Roy; PeridigÃ³n, Gabriela; Fuller, Roy; Peridigón, Gabriela</t>
  </si>
  <si>
    <t>Science; Science: Anatomy/Physiology; Science: Biology/Natural History</t>
  </si>
  <si>
    <t>Cerebrovascular Ultrasound in Stroke Prevention and Treatment</t>
  </si>
  <si>
    <t>Alexandrov, Andrei V.; Grotta, James C.; Grotta, James C</t>
  </si>
  <si>
    <t>Textbook of Psoriasis</t>
  </si>
  <si>
    <t>van de Kerkhof, Peter C. M.; Kerkhof, Peter C. M. van de; De Kerkhof, Peter C M Van</t>
  </si>
  <si>
    <t>Evidence-Based Ophthalmology</t>
  </si>
  <si>
    <t>Wormald, Richard; Henshaw, Katherine; Smeeth, Liam</t>
  </si>
  <si>
    <t>Cough : Causes, Mechanisms and Therapy</t>
  </si>
  <si>
    <t>Chung, Kian Fan; Widdicombe, John G.; Boushey, Homer A.; Chung, Professor of Resiratory Medicine Kian Fan; Chung, Professor Prof Kian Fan</t>
  </si>
  <si>
    <t>Applied Spatial Statistics for Public Health Data</t>
  </si>
  <si>
    <t>Waller, Lance A.; Gotway, Carol A.</t>
  </si>
  <si>
    <t>Treating Alcoholism : Helping Your Clients Find the Road to Recovery</t>
  </si>
  <si>
    <t>Perkinson, Robert R.</t>
  </si>
  <si>
    <t>Key Questions in Obstetrics and Gynaecology</t>
  </si>
  <si>
    <t>Pickersgill, Andy; Meskhi, Apollo; Paul, Dr Sudipta</t>
  </si>
  <si>
    <t>Testing Women, Testing the Fetus : The Social Impact of Amniocentesis in America</t>
  </si>
  <si>
    <t>Rapp, Rayna</t>
  </si>
  <si>
    <t>Psychological Investigations : A Clinician's Guide to Social Therapy</t>
  </si>
  <si>
    <t>Holzman, Lois; Mendez, Rafael</t>
  </si>
  <si>
    <t>Empathy in the Treatment of Trauma and PTSD</t>
  </si>
  <si>
    <t>Wilson, John P.; Thomas, Rhiannon Brywnn</t>
  </si>
  <si>
    <t>A New Medical Pluralism : Complementary Medicine, Doctors, Patients and the State</t>
  </si>
  <si>
    <t>Cant, Sarah; Sharma, Ursula</t>
  </si>
  <si>
    <t>New and Exploratory Therapeutic Agents for Asthma</t>
  </si>
  <si>
    <t>Yeadon, Michael; Diamant, Zuzana</t>
  </si>
  <si>
    <t>Cytokine Inhibitors</t>
  </si>
  <si>
    <t>Ciliberto, Gennaro; Savino, Rocco</t>
  </si>
  <si>
    <t>Pharmaceutical Experimental Design</t>
  </si>
  <si>
    <t>Armstrong N a Staff; Lewis, Gareth A.; Mathieu, Didier; Phan-Tan-Luu, Roger</t>
  </si>
  <si>
    <t>Complex Carbohydrates in Foods</t>
  </si>
  <si>
    <t>Prosky, Leon; Cho, Susan Sungsoo; Dreher, Mark L.</t>
  </si>
  <si>
    <t>Engineering: Chemical; Engineering; Health</t>
  </si>
  <si>
    <t>Gastroesophageal Reflux Disease and Airway Disease</t>
  </si>
  <si>
    <t>Stein, Mark R.</t>
  </si>
  <si>
    <t>Cardiovascular Disease in the Elderly Patient</t>
  </si>
  <si>
    <t>Tresch, Donald D.; Aronow, Wilbert S.; Fleg, Jerome L.; Rich, Michael W.</t>
  </si>
  <si>
    <t>Hematopoietic Stem Cell Transplantation</t>
  </si>
  <si>
    <t>Ho, Anthony; Champlin, Richard E.; Haas, Rainer</t>
  </si>
  <si>
    <t>Acute Emergencies and Critical Care of the Geriatric Patient</t>
  </si>
  <si>
    <t>Yoshikawa, Thomas T.; Norman, Dean C.</t>
  </si>
  <si>
    <t>Membrane Structure in Disease and Drug Therapy</t>
  </si>
  <si>
    <t>Cornell, Svante; Zimmer, Guido</t>
  </si>
  <si>
    <t>Differential Equations with Public Health Applications</t>
  </si>
  <si>
    <t>Kapadia, Asha Seth; Moyé, Lemuel A.</t>
  </si>
  <si>
    <t>Anticholinergic Agents in the Upper and Lower Airways</t>
  </si>
  <si>
    <t>Spector, Sheldon</t>
  </si>
  <si>
    <t>Tuberculosis : A Comprehensive International Approach</t>
  </si>
  <si>
    <t>Reichman, Lee B.; Hershfield, Earl S.</t>
  </si>
  <si>
    <t>Drug Residues in Foods : Pharmacology, Food Safety and Analysis</t>
  </si>
  <si>
    <t>Botsoglou, Nikolaos A.; Fletouris, Dimitrios J.</t>
  </si>
  <si>
    <t>Scarless Wound Healing</t>
  </si>
  <si>
    <t>Garg, Hari G.; Longaker, Michael T.; Rodrigues, A. David</t>
  </si>
  <si>
    <t>Particle-Lung Interactions</t>
  </si>
  <si>
    <t>Gehr, Peter; Heyder, Joachim</t>
  </si>
  <si>
    <t>Outcomes in Neurodevelopmental and Genetic Disorders</t>
  </si>
  <si>
    <t>Howlin, Patricia; Udwin, Orlee</t>
  </si>
  <si>
    <t>The Epidemiology of Schizophrenia</t>
  </si>
  <si>
    <t>Murray, Robin M.; Jones, Peter B.; Susser, Ezra; Van Os, Jim; Cannon, Mary</t>
  </si>
  <si>
    <t>Drugs for the Treatment of Respiratory Diseases</t>
  </si>
  <si>
    <t>Spina, Domenico; Page, Clive P.; Metzger, William J.; O'Connor, Brian J.</t>
  </si>
  <si>
    <t>Medical Therapy of Breast Cancer</t>
  </si>
  <si>
    <t>Rayter, Zenon; Mansi, Janine</t>
  </si>
  <si>
    <t>Bacterial Evasion of Host Immune Responses</t>
  </si>
  <si>
    <t>Henderson, Brian; Oyston, Petra C. F.</t>
  </si>
  <si>
    <t>Bacterial Adhesion to Host Tissues : Mechanisms and Consequences</t>
  </si>
  <si>
    <t>Wilson, Michael</t>
  </si>
  <si>
    <t>Criminality and Violence among the Mentally Disordered : The Stockholm Metropolitan Project</t>
  </si>
  <si>
    <t>Hodgins, Sheilagh; Janson, Carl-Gunnar</t>
  </si>
  <si>
    <t>Practical Child and Adolescent Psychopharmacology</t>
  </si>
  <si>
    <t>Kutcher, Stan</t>
  </si>
  <si>
    <t>An Introduction to Vascular Biology : From Basic Science to Clinical Practice</t>
  </si>
  <si>
    <t>Hunt, Beverley J.; Poston, Lucilla; Schachter, Michael; Halliday, Alison W.</t>
  </si>
  <si>
    <t>Familial Breast and Ovarian Cancer : Genetics, Screening and Management</t>
  </si>
  <si>
    <t>Morrison, Patrick J.; Hodgson, Shirley V.; Haites, Neva E.</t>
  </si>
  <si>
    <t>Cerebrovascular Disease : 22nd Princeton Conference</t>
  </si>
  <si>
    <t>Chan, Pak H.</t>
  </si>
  <si>
    <t>Child and Adolescent Obesity : Causes and Consequences, Prevention and Management</t>
  </si>
  <si>
    <t>Burniat, Walter; Cole, Tim J.; Lissau, Inge; Poskitt, Elizabeth M. E.</t>
  </si>
  <si>
    <t>Rheumatic Diseases : Immunological Mechanisms and Prospects for New Therapies</t>
  </si>
  <si>
    <t>Gaston, J. S. H.</t>
  </si>
  <si>
    <t>Ethical Issues in Maternal-Fetal Medicine</t>
  </si>
  <si>
    <t>Dickenson, Donna L.</t>
  </si>
  <si>
    <t>Health Policy in a Globalising World</t>
  </si>
  <si>
    <t>Lee, Kelley; Buse, Kent; Fustukian, Suzanne</t>
  </si>
  <si>
    <t>Nerve and Muscle</t>
  </si>
  <si>
    <t>Keynes, R. D.; Aidley, D. J.</t>
  </si>
  <si>
    <t>Environmental Change, Climate and Health : Issues and Research Methods</t>
  </si>
  <si>
    <t>Martens, P.; McMichael, A. J.</t>
  </si>
  <si>
    <t>Chemotherapeutic Targets in Parasites : Contemporary Strategies</t>
  </si>
  <si>
    <t>Mansour, Tag E.</t>
  </si>
  <si>
    <t>How Children Learn to be Healthy</t>
  </si>
  <si>
    <t>Tinsley, Barbara J.</t>
  </si>
  <si>
    <t>Psychology; Health; Social Science</t>
  </si>
  <si>
    <t>Development, Function and Evolution of Teeth</t>
  </si>
  <si>
    <t>Teaford, Mark F.; Meredith Smith, Moya; Ferguson, Mark W. J.</t>
  </si>
  <si>
    <t>Magnetic Resonance Imaging in Stroke</t>
  </si>
  <si>
    <t>Davis, Stephen; Fisher, Marc; Warach, Steven</t>
  </si>
  <si>
    <t>Biomarkers of Disease : An Evidence-Based Approach</t>
  </si>
  <si>
    <t>Trull, Andrew K.; Demers, Lawrence M.; Holt, David W.; Johnston, Atholl; Tredger, J. Michael; Price, Christopher P.</t>
  </si>
  <si>
    <t>Plasticity in the Human Nervous System : Investigations with Transcranial Magnetic Stimulation</t>
  </si>
  <si>
    <t>Boniface, Simon; Ziemann, Ulf</t>
  </si>
  <si>
    <t>Science: Anatomy/Physiology; Science: Biology/Natural History; Science</t>
  </si>
  <si>
    <t>Fetal and Neonatal Brain Injury : Mechanisms, Management and the Risks of Practice</t>
  </si>
  <si>
    <t>Stevenson, David K.; Benitz, William E.; Sunshine, Philip</t>
  </si>
  <si>
    <t>Drugs and Addictive Behaviour : A Guide to Treatment</t>
  </si>
  <si>
    <t>Ghodse, Hamid</t>
  </si>
  <si>
    <t>Galen: On the Properties of Foodstuffs</t>
  </si>
  <si>
    <t>Galen; Powell, Owen; Wilkins, John</t>
  </si>
  <si>
    <t>Power Analysis for Experimental Research : A Practical Guide for the Biological, Medical and Social Sciences</t>
  </si>
  <si>
    <t>Bausell, R. Barker; Li, Yu-Fang</t>
  </si>
  <si>
    <t>Science: Biology/Natural History; Science; Medicine</t>
  </si>
  <si>
    <t>Hyperactivity and Attention Disorders of Childhood</t>
  </si>
  <si>
    <t>Sandberg, Seija</t>
  </si>
  <si>
    <t>Psychotherapy and Counselling in Practice : A Narrative Framework</t>
  </si>
  <si>
    <t>Tantam, Digby</t>
  </si>
  <si>
    <t>Platelets in Thrombotic and Non-Thrombotic Disorders : Pathophysiology, Pharmacology and Therapeutics</t>
  </si>
  <si>
    <t>Gresele, Paolo; Page, Clive P.; Fuster, Valentin; Vermylen, Jos</t>
  </si>
  <si>
    <t>The Neuropsychiatry of Epilepsy</t>
  </si>
  <si>
    <t>Trimble, Michael; Schmitz, Bettina</t>
  </si>
  <si>
    <t>Meaning, Medicine and the 'Placebo Effect'</t>
  </si>
  <si>
    <t>Moerman, Daniel E.</t>
  </si>
  <si>
    <t>Seasonal Patterns of Stress, Immune Function, and Disease</t>
  </si>
  <si>
    <t>Nelson, Randy J.; Demas, Gregory E.; Klein, Sabra L.; Kriegsfeld, Lance J.; Bronson, Frank</t>
  </si>
  <si>
    <t>Understanding Children with Language Problems</t>
  </si>
  <si>
    <t>Chiat, Shula</t>
  </si>
  <si>
    <t>Language/Linguistics; Medicine</t>
  </si>
  <si>
    <t>MCQ Companion to Applied Radiological Anatomy</t>
  </si>
  <si>
    <t>Doss, Arockia; Bull, Matthew J.; Sprigg, Alan; Griffiths, Paul D.</t>
  </si>
  <si>
    <t>Sperm Collection and Processing Methods : A Practical Guide</t>
  </si>
  <si>
    <t>Jeyendran, Rajasingam S.</t>
  </si>
  <si>
    <t>Science; Science: Biology/Natural History; Medicine</t>
  </si>
  <si>
    <t>Applied Longitudinal Data Analysis for Epidemiology : A Practical Guide</t>
  </si>
  <si>
    <t>Twisk, Jos W. R.</t>
  </si>
  <si>
    <t>Investigating Reproductive Tract Infections and Other Gynaecological Disorders : A Multidisciplinary Research Approach</t>
  </si>
  <si>
    <t>Jejeebhoy, Shireen; Koenig, Michael; Elias, Christopher</t>
  </si>
  <si>
    <t>Statistical Modeling for Biomedical Researchers : A Simple Introduction to the Analysis of Complex Data</t>
  </si>
  <si>
    <t>Dupont, William D.</t>
  </si>
  <si>
    <t>Ethics and Evidence-Based Medicine : Fallibility and Responsibility in Clinical Science</t>
  </si>
  <si>
    <t>Goodman, Kenneth W.</t>
  </si>
  <si>
    <t>101 Healing Stories for Kids and Teens : Using Metaphors in Therapy</t>
  </si>
  <si>
    <t>Burns, George W.</t>
  </si>
  <si>
    <t>Getting Started in Private Practice : The Complete Guide to Building Your Mental Health Practice</t>
  </si>
  <si>
    <t>Stout, Chris E.; Grand, Laurie C.; Grand, Laurie C.</t>
  </si>
  <si>
    <t>Assessment, Treatment, and Prevention of Suicidal Behavior</t>
  </si>
  <si>
    <t>Yufit, Robert I.; Lester, David</t>
  </si>
  <si>
    <t>The Evidence-Based Practice : Methods, Models, and Tools for Mental Health Professionals</t>
  </si>
  <si>
    <t>Stout, Chris E.; Hayes, Randy A.</t>
  </si>
  <si>
    <t>Handbook of Interventions That Work with Children and Adolescents : Prevention and Treatment</t>
  </si>
  <si>
    <t>Barrett, Paula M.; Ollendick, Thomas H.</t>
  </si>
  <si>
    <t>Cognitive-Behavioural Integrated Treatment (C-BIT) : A Treatment Manual for Substance Misuse in People with Severe Mental Health Problems</t>
  </si>
  <si>
    <t>Graham, Hermine L.; Copello, Alex; Birchwood, Max J.</t>
  </si>
  <si>
    <t>Handbook of Brief Cognitive Behaviour Therapy</t>
  </si>
  <si>
    <t>Bond, Frank W.; Dryden, Windy</t>
  </si>
  <si>
    <t>Environmental Toxicology</t>
  </si>
  <si>
    <t>Wright, David A.; Welbourn, Pamela</t>
  </si>
  <si>
    <t>Oncogenomics : Molecular Approaches to Cancer</t>
  </si>
  <si>
    <t>Brenner, Charles; Duggan, David</t>
  </si>
  <si>
    <t>Handbook of Racial-Cultural Psychology and Counseling, Training and Practice : Training and Practice</t>
  </si>
  <si>
    <t>Carter, Robert T.</t>
  </si>
  <si>
    <t>Contemporary Drug Synthesis</t>
  </si>
  <si>
    <t>Li, Jie Jack; Johnson, Douglas S.; Sliskovic, Drago R.; Roth, Bruce D.</t>
  </si>
  <si>
    <t>Contemporary Clinical Psychology</t>
  </si>
  <si>
    <t>Plante, Thomas G.; Plante, Thomas G; Plante,</t>
  </si>
  <si>
    <t>Handbook of Personology and Psychopathology</t>
  </si>
  <si>
    <t>Millon, Theodore; Strack, Stephen</t>
  </si>
  <si>
    <t>Handbook of Couples Therapy</t>
  </si>
  <si>
    <t>Harway, Michele</t>
  </si>
  <si>
    <t>The Blood of Strangers : Stories from Emergency Medicine</t>
  </si>
  <si>
    <t>University of California Press</t>
  </si>
  <si>
    <t>Huyler, Frank</t>
  </si>
  <si>
    <t>Listening in the Silence, Seeing in the Dark : Reconstructing Life after Brain Injury</t>
  </si>
  <si>
    <t>Johansen, Ruthann Knechel</t>
  </si>
  <si>
    <t>Doctors Within Borders : Profession, Ethnicity, and Modernity in Colonial Taiwan</t>
  </si>
  <si>
    <t>Lo, Ming-cheng M.; Robertson, Jennier</t>
  </si>
  <si>
    <t>Eating Right in the Renaissance</t>
  </si>
  <si>
    <t>Albala, Ken</t>
  </si>
  <si>
    <t>Aging, Death, and Human Longevity : A Philosophical Inquiry</t>
  </si>
  <si>
    <t>Overall, Christine</t>
  </si>
  <si>
    <t>Bodies Out of Bounds : Fatness and Transgression</t>
  </si>
  <si>
    <t>Braziel, Jana Evans; LeBesco, Kathleen</t>
  </si>
  <si>
    <t>Death Is That Man Taking Names : Intersections of American Medicine, Law, and Culture</t>
  </si>
  <si>
    <t>Burt, Robert A.</t>
  </si>
  <si>
    <t>Flesh Wounds : The Culture of Cosmetic Surgery</t>
  </si>
  <si>
    <t>Blum, Virginia L.; Blum, Virginia</t>
  </si>
  <si>
    <t>Crafting the Culture and History of French Chocolate</t>
  </si>
  <si>
    <t>Terrio, Susan J.</t>
  </si>
  <si>
    <t>When Walking Fails : Mobility Problems of Adults with Chronic Conditions</t>
  </si>
  <si>
    <t>Iezzoni, Lisa I.</t>
  </si>
  <si>
    <t>Under the Medical Gaze : Facts and Fictions of Chronic Pain</t>
  </si>
  <si>
    <t>Greenhalgh, Susan</t>
  </si>
  <si>
    <t>What I Learned in Medical School : Personal Stories of Young Doctors</t>
  </si>
  <si>
    <t>Takakuwa, K. M.; Herzig, Karen E.; Rubashkin, Nick; Elders, Joycelyn</t>
  </si>
  <si>
    <t>The $800 Million Pill : The Truth Behind the Cost of New Drugs</t>
  </si>
  <si>
    <t>Goozner, Merrill</t>
  </si>
  <si>
    <t>Business/Management; Medicine; Economics; Pharmacy</t>
  </si>
  <si>
    <t>What Price Better Health? : Hazards of the Research Imperative</t>
  </si>
  <si>
    <t>Callahan, Daniel</t>
  </si>
  <si>
    <t>Big Doctoring in America : Profiles in Primary Care</t>
  </si>
  <si>
    <t>Mullan, Fitzhugh</t>
  </si>
  <si>
    <t>Promoting Human Wellness : New Frontiers for Research, Practice, and Policy</t>
  </si>
  <si>
    <t>Jamner, Margaret Schneider; Stokols, Daniel</t>
  </si>
  <si>
    <t>Deceit and Denial : The Deadly Politics of Industrial Pollution</t>
  </si>
  <si>
    <t>Markowitz, Gerald; Rosner, David</t>
  </si>
  <si>
    <t>Sick to Death and Not Going to Take It Anymore! : Reforming Health Care for the Last Years of Life</t>
  </si>
  <si>
    <t>Lynn, Joanne</t>
  </si>
  <si>
    <t>Smallpox : The Fight to Eradicate a Global Scourge</t>
  </si>
  <si>
    <t>Koplow, David A.</t>
  </si>
  <si>
    <t>Stories in the Time of Cholera : Racial Profiling During a Medical Nightmare</t>
  </si>
  <si>
    <t>Briggs, Charles L.; Mantini-Briggs, Clara; Mantini-Briggs, Clara</t>
  </si>
  <si>
    <t>Beriberi, White Rice, and Vitamin B : A Disease, a Cause, and a Cure</t>
  </si>
  <si>
    <t>Carpenter, Kenneth J.</t>
  </si>
  <si>
    <t>Customers and Patrons of the Mad-Trade : The Management of Lunacy in Eighteenth-Century London</t>
  </si>
  <si>
    <t>Andrews, Jonathan; Scull, Andrew</t>
  </si>
  <si>
    <t>The Elusive Embryo : How Women and Men Approach New Reproductive Technologies</t>
  </si>
  <si>
    <t>Becker, Gay</t>
  </si>
  <si>
    <t>How the Cows Turned Mad</t>
  </si>
  <si>
    <t>Schwartz, Maxime</t>
  </si>
  <si>
    <t>Intensive Care : A Doctor's Journal</t>
  </si>
  <si>
    <t>Murray, John F.</t>
  </si>
  <si>
    <t>Huang Di Nei Jing Su Wen : Nature, Knowledge, Imagery in an Ancient Chinese Medical Text, with an Appendix, the Doctrine of the Five Periods and Six Qi in the Huang Di Nei Jing Su Wen</t>
  </si>
  <si>
    <t>Unschuld, Paul U.</t>
  </si>
  <si>
    <t>Encarnación's Kitchen : Mexican Recipes from Nineteenth-Century California</t>
  </si>
  <si>
    <t>Pinedo, Encarnación; Pinedo, Encarnacion; Pinedo, Encarnacin; Valle, Victor; Strehl, Dan</t>
  </si>
  <si>
    <t>Our Overweight Children : What Parents, Schools, and Communities Can Do to Control the Fatness Epidemic</t>
  </si>
  <si>
    <t>Dalton, Sharron</t>
  </si>
  <si>
    <t>Statistical Aspects of the Design and Analysis of Clinical Trials</t>
  </si>
  <si>
    <t>Imperial College Press</t>
  </si>
  <si>
    <t>Everitt, Brian S.; Pickles, Andrew</t>
  </si>
  <si>
    <t>Service Characteristics of Biomedical Materials and Implants</t>
  </si>
  <si>
    <t>Batchelor, Andrew W.; Chandrasekaran, Margam; Batchelor, J. R.</t>
  </si>
  <si>
    <t>Acute Surgical Management</t>
  </si>
  <si>
    <t>World Scientific Publishing Co Pte Ltd</t>
  </si>
  <si>
    <t>Hwang, N. C; Ooi, London Lucien</t>
  </si>
  <si>
    <t>Novel Compounds from Natural Products in the New Millennium : Potential and Challenges</t>
  </si>
  <si>
    <t>Tan, Benny K. H; Bay, Boon Huat; Zhu, Yi Zhun</t>
  </si>
  <si>
    <t>Pharmacy; Engineering: General; Engineering; Medicine</t>
  </si>
  <si>
    <t>Design and Development of Medical Electronic Instrumentation : A Practical Perspective of the Design, Construction, and Test of Medical Devices</t>
  </si>
  <si>
    <t>Prutchi, David; Norris, Michael</t>
  </si>
  <si>
    <t>Engineering: Manufacturing; Medicine; Engineering</t>
  </si>
  <si>
    <t>Drawing the Line : Art Therapy with the Difficult Client</t>
  </si>
  <si>
    <t>Moschini, Lisa B.</t>
  </si>
  <si>
    <t>The Doctor's Guide to Gastrointestinal Health : Preventing and Treating Acid Reflux, Ulcers, Irritable Bowel Syndrome, Diverticulitis, Celiac Disease, Colon Cancer, Pancreatitis, Cirrhosis, Hernias and more</t>
  </si>
  <si>
    <t>Miskovitz, Paul; Betancourt, Marian</t>
  </si>
  <si>
    <t>Functional Metabolism : Regulation and Adaptation</t>
  </si>
  <si>
    <t>Storey, Kenneth B.; Storey, Kenneth B</t>
  </si>
  <si>
    <t>Culture of Human Tumor Cells</t>
  </si>
  <si>
    <t>Freshney, R. Ian; Pfragner, Roswitha</t>
  </si>
  <si>
    <t>Strategies for Building Multicultural Competence in Mental Health and Educational Settings</t>
  </si>
  <si>
    <t>Constantine, Madonna G.; Sue, Derald Wing</t>
  </si>
  <si>
    <t>Diagnostic Ultrasound Imaging : Inside Out</t>
  </si>
  <si>
    <t>Elsevier Science &amp; Technology</t>
  </si>
  <si>
    <t>Szabo, Thomas L.</t>
  </si>
  <si>
    <t>Therapist's Guide to Learning and Attention Disorders</t>
  </si>
  <si>
    <t>Fine, Aubrey H.; Kotkin, Ronald A.; Kotkin, PH D Ronald A</t>
  </si>
  <si>
    <t>Home Economics; Medicine</t>
  </si>
  <si>
    <t>Aural Rehabilitation for People with Disabilities</t>
  </si>
  <si>
    <t>BRILL</t>
  </si>
  <si>
    <t>Oyiborhoro, John</t>
  </si>
  <si>
    <t>Engineering Materials for Biomedical Applications</t>
  </si>
  <si>
    <t>Teoh, Swee Hin</t>
  </si>
  <si>
    <t>An Introduction to Biocomposites</t>
  </si>
  <si>
    <t>Ramakrishna, Seeram; Huang, Zheng-Ming; Kumar, Ganesh V; Kumar, Ganesh; Batchelor, A. W.</t>
  </si>
  <si>
    <t>Birth on the Threshold : Childbirth and Modernity in South India</t>
  </si>
  <si>
    <t>Van Hollen, Cecilia Coale; Van Hollen, Cecilia</t>
  </si>
  <si>
    <t>Disease and Democracy : The Industrialized World Faces AIDS</t>
  </si>
  <si>
    <t>Hygienic Modernity : Meanings of Health and Disease</t>
  </si>
  <si>
    <t>Rogaski, Ruth</t>
  </si>
  <si>
    <t>Infertility Around the Globe : New Thinking on Childlessness, Gender, and Reproductive Technologies</t>
  </si>
  <si>
    <t>Inhorn, Marcia; van Balen, Frank</t>
  </si>
  <si>
    <t>Should I Be Tested for Cancer? : Maybe Not and Here's Why</t>
  </si>
  <si>
    <t>Welch, H. Gilbert</t>
  </si>
  <si>
    <t>Testosterone Dreams : Rejuvenation, Aphrodisia, Doping</t>
  </si>
  <si>
    <t>Hoberman, John</t>
  </si>
  <si>
    <t>Artful Therapy</t>
  </si>
  <si>
    <t>Rubin, Judith Aron</t>
  </si>
  <si>
    <t>Enantioselective Synthesis of Beta-Amino Acids</t>
  </si>
  <si>
    <t>Juaristi, Eusebio; Soloshonok, V. A.</t>
  </si>
  <si>
    <t>HPLC Methods for Recently Approved Pharmaceuticals</t>
  </si>
  <si>
    <t>Lunn, George</t>
  </si>
  <si>
    <t>Helping Children and Families : A New Treatment Model Integrating Psychodynamic, Behavioral, and Contextual Approaches</t>
  </si>
  <si>
    <t>Goldenthal, Peter</t>
  </si>
  <si>
    <t>Protecting Emergency Responders : Lessons Learned from Terrorist Attacks</t>
  </si>
  <si>
    <t>Jackson, Brian A.; Peterson, D.J.; Bartis, James T.; et al,</t>
  </si>
  <si>
    <t>Engineering; Engineering: General; Engineering: Environmental</t>
  </si>
  <si>
    <t>Improving Childhood Asthma in the United States : A Blueprint for Policy Action</t>
  </si>
  <si>
    <t>Lara, Marielena; Nicholas, Will; Morton, Sally C.</t>
  </si>
  <si>
    <t>Weight-of-Evidence for Forensic DNA Profiles</t>
  </si>
  <si>
    <t>Balding, David J.; Balding, D J</t>
  </si>
  <si>
    <t>Obesity and Diabetes</t>
  </si>
  <si>
    <t>Barnett, A. H.; Barnett, Tony; Kumar, Sudhesh</t>
  </si>
  <si>
    <t>Occupational and Residential Exposure Assessment for Pesticides</t>
  </si>
  <si>
    <t>Franklin, Claire; Worgan, John</t>
  </si>
  <si>
    <t>Handbook of Autism and Pervasive Developmental Disorders, Diagnosis, Development, Neurobiology, and Behavior : Diagnosis, Development, Neurobiology, and Behavior</t>
  </si>
  <si>
    <t>Volkmar, Fred R.; Paul, Rhea; Klin, Ami; Cohen, Donald J.</t>
  </si>
  <si>
    <t>New Directions in Interpreting the Millon Clinical Multiaxial Inventory-III (MCMI-III)</t>
  </si>
  <si>
    <t>Craig, Robert J.</t>
  </si>
  <si>
    <t>Child Art Therapy</t>
  </si>
  <si>
    <t>Evidence-Based Cardiology</t>
  </si>
  <si>
    <t>Yusuf, Salim; Caitns, John A.; Camm, A. John; Fallen, Ernest L.; Gersh, Bernard J.</t>
  </si>
  <si>
    <t>Evidence-Based Oncology</t>
  </si>
  <si>
    <t>Bramwell, Viven; Bonfill, Xavier; Williams, Christopher B.; Cuzick, Jack</t>
  </si>
  <si>
    <t>Medical Disorders in Obstetric Practice</t>
  </si>
  <si>
    <t>De Swiet, Michael; Swiet, Michael De</t>
  </si>
  <si>
    <t>The Haemophilic Joints : New Perspectives</t>
  </si>
  <si>
    <t>RodrÃ­guez-MerchÃ¡n, EmÃ©rito Carlos</t>
  </si>
  <si>
    <t>Review of the Scientific Literature as it Pertains to Gulf War Illnesses, Volume 1 : Infectious Diseases</t>
  </si>
  <si>
    <t>Hilborne, Lee H.; Golomb, Beatrice A.; Golomb, Beatrice Alexandra</t>
  </si>
  <si>
    <t>Essentials of Child Psychopathology</t>
  </si>
  <si>
    <t>Wilmshurst, Linda</t>
  </si>
  <si>
    <t>Life-Enhancing Plastics : Plastics and Other Materials in Medical Applications</t>
  </si>
  <si>
    <t>Holmes-Walker, Anthony</t>
  </si>
  <si>
    <t>Dynamics of the Vascular System : Series On Bioengineering &amp; Biomedical Engineering</t>
  </si>
  <si>
    <t>Li, John K. -J.</t>
  </si>
  <si>
    <t>Science: Biology/Natural History; Science; Science: Anatomy/Physiology</t>
  </si>
  <si>
    <t>Ionizing Radiation Detectors for Medical Imaging</t>
  </si>
  <si>
    <t>Del Guerra, Alberto</t>
  </si>
  <si>
    <t>Doctor Mom Chung of the Fair-Haired Bastards : The Life of a Wartime Celebrity</t>
  </si>
  <si>
    <t>Wu, Judy Tzu-Chun; Wu, Judy Tzu-Chun</t>
  </si>
  <si>
    <t>Circuits, Signals, and Systems for Bioengineers : A MATLAB-Based Introduction</t>
  </si>
  <si>
    <t>Semmlow, John</t>
  </si>
  <si>
    <t>Nurses And New Public Sector Management</t>
  </si>
  <si>
    <t>Emerald Publishing Limited</t>
  </si>
  <si>
    <t>Ackroyd, Stephen; Bolton, Sharon C.</t>
  </si>
  <si>
    <t>Health; Social Science; Nursing</t>
  </si>
  <si>
    <t>Reconfiguring Health Care Professions</t>
  </si>
  <si>
    <t>Dent, Mike; Radcliffe, James</t>
  </si>
  <si>
    <t>Health Informatics</t>
  </si>
  <si>
    <t>Eldabi, Tillal; Irani, Zahir; Paul, Ray J.</t>
  </si>
  <si>
    <t>Medicine; Library Science</t>
  </si>
  <si>
    <t>Sodium From Salt : Uses, Functions And Research Needs</t>
  </si>
  <si>
    <t>Brady, Maeve</t>
  </si>
  <si>
    <t>Alshawi, Sarmad; Eldabi, Tillal; Paul, Ray J.</t>
  </si>
  <si>
    <t>Health Care Marketing</t>
  </si>
  <si>
    <t>Greenspan, Benn</t>
  </si>
  <si>
    <t>Medical Robotics And Robotic Prosthetic Devices</t>
  </si>
  <si>
    <t>Wells, P.N.T.</t>
  </si>
  <si>
    <t>Operations Management In Health Care</t>
  </si>
  <si>
    <t>Boaden, Ruth; Gemmel, Paul</t>
  </si>
  <si>
    <t>Drug Discovery Handbook</t>
  </si>
  <si>
    <t>Gad, Shayne Cox; Gad, Shayne Cox</t>
  </si>
  <si>
    <t>Syncope : Mechanisms and Management</t>
  </si>
  <si>
    <t>Grubb, Blair P.; Olshansky, Brian</t>
  </si>
  <si>
    <t>The Fifth Decade of Cardiac Pacing</t>
  </si>
  <si>
    <t>Barold, S. Serge; Mugica, Jacques; Mugica, Jacques</t>
  </si>
  <si>
    <t>Beginner's Guide to Blood Cells</t>
  </si>
  <si>
    <t>Bain, Barbara J.</t>
  </si>
  <si>
    <t>Fungal Infection : Diagnosis and Management</t>
  </si>
  <si>
    <t>Richardson, Malcolm; Warnock, D. W.; Richardson, Malcolm D.; Warnock, David W.</t>
  </si>
  <si>
    <t>Learning Medicine</t>
  </si>
  <si>
    <t>Richards, Peter; Stockhill, Simon</t>
  </si>
  <si>
    <t>Gastrointestinal Nursing</t>
  </si>
  <si>
    <t>Smith, Graeme; Watson, Roger; Smith, Graeme D.</t>
  </si>
  <si>
    <t>Pocket Emergency Paediatric Care</t>
  </si>
  <si>
    <t>Ahmad, Shafique; Southall, David; Child Advocacy International Staff</t>
  </si>
  <si>
    <t>Textbook of Pharmaceutical Medicine</t>
  </si>
  <si>
    <t>Griffin, John; Grady, John; Griffin, John P</t>
  </si>
  <si>
    <t>Improving Compliance With Food Safety Legislation</t>
  </si>
  <si>
    <t>Griffith, Chris</t>
  </si>
  <si>
    <t>Selected Papers From INLCA/LCA 2003 : An International Confernece On Supporting Environmental Decision-making With Life Cycle Assessment</t>
  </si>
  <si>
    <t>Curran, Mary Ann</t>
  </si>
  <si>
    <t>Health; Environmental Studies; Social Science</t>
  </si>
  <si>
    <t>The Mental Health Professional and the New Technologies : A Handbook for Practice Today</t>
  </si>
  <si>
    <t>Maheu, Marlene M.; Pulier, Myron L.; Wilhelm, Frank H.; McMenamin, Joseph P.; Brown-Connolly, Nancy E.</t>
  </si>
  <si>
    <t>Information, Management and Participation : A New Approach from Public Health in Brazil</t>
  </si>
  <si>
    <t>Villarosa, Francesco di Notarbartolo</t>
  </si>
  <si>
    <t>Motor Neurone Disease</t>
  </si>
  <si>
    <t>Hunter, Margaret; Robinson, Ian</t>
  </si>
  <si>
    <t>Protecting the Vulnerable : Autonomy and Consent in Health Care</t>
  </si>
  <si>
    <t>Brazier, Margaret; Lobjoit, Mary</t>
  </si>
  <si>
    <t>Medicare Matters : What Geriatric Medicine Can Teach American Health Care</t>
  </si>
  <si>
    <t>Cassel, Christine K.</t>
  </si>
  <si>
    <t>Children, Ethics, and Modern Medicine</t>
  </si>
  <si>
    <t>Miller, Richard B.</t>
  </si>
  <si>
    <t>Acne - The 'At Your Fingertips' Guide : The ‘At Your Fingertips’ Guide</t>
  </si>
  <si>
    <t>Class Publishing (London) Ltd</t>
  </si>
  <si>
    <t>Mitchell, Tim; Dudley, Alison</t>
  </si>
  <si>
    <t>Basic Skills In Statistics : A Guide For Healthcare Professionals</t>
  </si>
  <si>
    <t>Cook, Adrian; Netuveli, Gopalakrishnan; Sheikh, Aziz</t>
  </si>
  <si>
    <t>Cancer - The 'At Your Fingertips' Guide : The ‘At Your Fingertips’ Guide  : The Comprehensive Cancer Reference Book for the 21st Century</t>
  </si>
  <si>
    <t>Speechley, Val; Rosenfield, Maxine; Rosenfield, Maxine DCRT Dip. Couns ; Milton-Thompson, Richenda</t>
  </si>
  <si>
    <t>Chronic Obstructive Pulmonary Disease - The 'At Your Fingertips' Guide : The ‘At Your Fingertips’ Guide</t>
  </si>
  <si>
    <t>Miles, Jon; Roberts, June; Woodroffe, David</t>
  </si>
  <si>
    <t>Chronic Obstructive Pulmonary Disease In Primary Care : All You Need To Know To Manage Copd In Your Practice</t>
  </si>
  <si>
    <t>Bellamy, David; Booker, Rachel</t>
  </si>
  <si>
    <t>Dementia : Alzheimer's And Other Dementias - The 'At Your Fingertips' Guide</t>
  </si>
  <si>
    <t>Cayton, Harry; Graham, Nori; Warner, James</t>
  </si>
  <si>
    <t>Diabetes - The 'At Your Fingertips' Guide : The ‘At Your Fingertips’ Guide</t>
  </si>
  <si>
    <t>Sönksen, Peter; Fox, Charles; Judd, Sue</t>
  </si>
  <si>
    <t>Epilepsy - The 'At Your Fingertips' Guide : The ‘At Your Fingertips’ Guide</t>
  </si>
  <si>
    <t>Chappell, Brian; Crawford, Pamela</t>
  </si>
  <si>
    <t>Heart Health - The 'At Your Fingertips' Guide : The ‘At Your Fingertips’ Guide</t>
  </si>
  <si>
    <t>Jackson, Graham</t>
  </si>
  <si>
    <t>High Blood Pressure - The 'At Your Fingertips' Guide : The ‘At Your Fingertips’ Guide</t>
  </si>
  <si>
    <t>Fahey, Tom; Murphy, Deirdre; Tudor Hart, Julian</t>
  </si>
  <si>
    <t>Kidney Dialysis And Transplants - The 'At Your Fingertips' Guide : The ‘At Your Fingertips’ Guide</t>
  </si>
  <si>
    <t>Stein, Andy; Wild, Janet; Woodroffe, David ; Milton-Thompson, Richenda</t>
  </si>
  <si>
    <t>Managing Your Multiple Sclerosis : Practical Advice To Help You Manage Your Multiple Sclerosis</t>
  </si>
  <si>
    <t>Robinson, Ian; Clifford Rose, Frank</t>
  </si>
  <si>
    <t>Motor Neurone Disease - The 'At Your Fingertips' Guide : The ‘At Your Fingertips’ Guide</t>
  </si>
  <si>
    <t>Neilson, Stuart; Clifford Rose, Frank</t>
  </si>
  <si>
    <t>Multiple Sclerosis - The 'At Your Fingertips' Guide : The ‘At Your Fingertips’ Guide</t>
  </si>
  <si>
    <t>Robinson, Ian; Neilson, Stuart; Clifford Rose, Frank</t>
  </si>
  <si>
    <t>Obsessive Compulsive Disorder : Practical, Tried-and-tested Strategies To Overcome Ocd</t>
  </si>
  <si>
    <t>Toates, Frederick; Coschug-Toates, Olga</t>
  </si>
  <si>
    <t>Parkinson's - The 'At Your Fingertips' Guide : The ‘At Your Fingertips’ Guide</t>
  </si>
  <si>
    <t>McCall, Bridget; Williams, Adrian</t>
  </si>
  <si>
    <t>Stop That Heart Attack!</t>
  </si>
  <si>
    <t>Cutting, Derrick</t>
  </si>
  <si>
    <t>Stroke - The 'At Your Fingertips' Guide : The ‘At Your Fingertips’ Guide</t>
  </si>
  <si>
    <t>Rudd, Anthony; Irwin, Penny; Penhale, Bridget</t>
  </si>
  <si>
    <t>Vital Diabetes : Your Essential Reference For Diabetes Management In Primary Care</t>
  </si>
  <si>
    <t>Fox, Charles; MacKinnon, Mary</t>
  </si>
  <si>
    <t>Vital Nephrology : Your Essential Reference For The Most Vital Points Of Nephrology</t>
  </si>
  <si>
    <t>Stein, Andy; Wild, Janet; Cook, Paul</t>
  </si>
  <si>
    <t>Malaria : A Hematological Perspective</t>
  </si>
  <si>
    <t>Abdalla, Saad H.; Pasvol, Geoffrey</t>
  </si>
  <si>
    <t>The SARS Epidemic : Challenges to China's Crisis Management</t>
  </si>
  <si>
    <t>Wong, John; Zheng, Yongnian</t>
  </si>
  <si>
    <t>A Crisis Call for New Preventive Medicine : Emerging Effects of Lifestyle on Morbidity and Mortality</t>
  </si>
  <si>
    <t>Knight, Joseph A.</t>
  </si>
  <si>
    <t>Learning Disability Nursing</t>
  </si>
  <si>
    <t>Turnbull, John</t>
  </si>
  <si>
    <t>A Good Death : Conversations with East Londoners</t>
  </si>
  <si>
    <t>Cullen, Lesley; Young, Michael</t>
  </si>
  <si>
    <t>Health Ecology : Health, Culture and Human-Environment Interaction</t>
  </si>
  <si>
    <t>Boleyn, Thomas; Honari, Morteza; Hens, Luc; Honari, Morteza</t>
  </si>
  <si>
    <t>Local Women, Global Science : Fighting AIDS in Kenya</t>
  </si>
  <si>
    <t>Booth, Karen M.</t>
  </si>
  <si>
    <t>Social Science; Business/Management; Health</t>
  </si>
  <si>
    <t>Berlin Electropolis : Shock, Nerves, and German Modernity</t>
  </si>
  <si>
    <t>Killen, Andreas</t>
  </si>
  <si>
    <t>Healthy Competition : What's Holding Back Health Care and How to Free It</t>
  </si>
  <si>
    <t>Cato Institute</t>
  </si>
  <si>
    <t>Cannon, Michael F.; Tanner, Michael</t>
  </si>
  <si>
    <t>Severe Acute Respiratory Syndrome : From Benchtop to Bedside</t>
  </si>
  <si>
    <t>Sung, Joseph J. Y</t>
  </si>
  <si>
    <t>Recurrent Miscarriage and Pre-Eclampsia : The Roles Played by the Immune System and Antioxidants</t>
  </si>
  <si>
    <t>Wilson, Rhoda</t>
  </si>
  <si>
    <t>The Fallacy of Mother's Wisdom : A Critical Perspective on Health Psychology</t>
  </si>
  <si>
    <t>Myslobodsky, Michael S.</t>
  </si>
  <si>
    <t>Chinese Medicine : Modern Practice</t>
  </si>
  <si>
    <t>Leung, Ping-Chung; Xue, Charlie Changli</t>
  </si>
  <si>
    <t>Our Parents, Ourselves : How American Health Care Imperils Middle Age and Beyond</t>
  </si>
  <si>
    <t>Turiel, Judith Steinberg</t>
  </si>
  <si>
    <t>Psychological Assessment in Clinical Practice : A Pragmatic Guide</t>
  </si>
  <si>
    <t>Hersen, Michel</t>
  </si>
  <si>
    <t>Frances Tustin : The Borderlands of Autism and Psychosis</t>
  </si>
  <si>
    <t>Spensley, Sheila</t>
  </si>
  <si>
    <t>The Handbook of Dramatherapy</t>
  </si>
  <si>
    <t>Jennings, Sue; Cattanach, Ann; Mitchell, Steve; Chesner, Anna; Meldrum, Brenda; Nfa, Steve Mitchell; Jennings, Sue</t>
  </si>
  <si>
    <t>Family Matters : Interfaces Between Child and Adult Mental Health</t>
  </si>
  <si>
    <t>Jolley, Anthony; McClure, Mike; Reder, Peter; McClure, Mike; Jolley, Anthony; Jolley, Anthony</t>
  </si>
  <si>
    <t>Sandplay: Silent Workshop of the Psyche</t>
  </si>
  <si>
    <t>Bradway, Kay; McCoard, Barbara</t>
  </si>
  <si>
    <t>Modernity, Medicine and Health : Medical Sociology Towards 2000</t>
  </si>
  <si>
    <t>Higgs, Paul; Scambler, Graham</t>
  </si>
  <si>
    <t>Oral History, Health and Welfare</t>
  </si>
  <si>
    <t>Bornat, Joanna; Perks, Robert; Thompson, Paul; Walmsley, Jan</t>
  </si>
  <si>
    <t>British Medicine in an Age of Reform</t>
  </si>
  <si>
    <t>French, Roger; Wear, Andrew; Wear, Andrew</t>
  </si>
  <si>
    <t>Sociology and Nursing : An Introduction</t>
  </si>
  <si>
    <t>Morrall, Peter; Newell, Robert; Morrall, Peter</t>
  </si>
  <si>
    <t>Raising Our Children to Be Resilient : A Guide to Helping Children Cope with Trauma in Today's World</t>
  </si>
  <si>
    <t>Goldman, Linda</t>
  </si>
  <si>
    <t>Advanced Drug Design And Development: A Medicinal Chemistry Approach</t>
  </si>
  <si>
    <t>Rekka, E.; Kourounakis, P N</t>
  </si>
  <si>
    <t>Children and Disasters : A Practical Guide to Healing and Recovery:A Practical Guide to Healing and Recovery Missouri-Kansas City</t>
  </si>
  <si>
    <t>Oxford University Press</t>
  </si>
  <si>
    <t>Zubenko, Wendy N.; Capozzoli, Joseph</t>
  </si>
  <si>
    <t>The Intelligent Patient's Guide to the Doctor-Patient Relationship : Learning How to Talk So Your Doctor Will Listen</t>
  </si>
  <si>
    <t>Oxford University Press USA - OSO</t>
  </si>
  <si>
    <t>Korsch, Barbara M.; Harding, Caroline</t>
  </si>
  <si>
    <t>Hannah's Heirs : The Quest for the G</t>
  </si>
  <si>
    <t>Oxford University Press, Incorporated</t>
  </si>
  <si>
    <t>Pollen, Daniel A.</t>
  </si>
  <si>
    <t>Power Over People</t>
  </si>
  <si>
    <t>Young, Louise B.; Udall, Stewart</t>
  </si>
  <si>
    <t>Health; Social Science; Economics; Environmental Studies; Fiction</t>
  </si>
  <si>
    <t>Brought to Bed : Childbearing in America, 1750-1950</t>
  </si>
  <si>
    <t>Leavitt, Judith W.</t>
  </si>
  <si>
    <t>Medicine, Money, and Morals : Physicians' Conflicts of Interest</t>
  </si>
  <si>
    <t>Rodwin, Marc A.</t>
  </si>
  <si>
    <t>Personality Assessment in Managed Health Care : Using the MMPI-2 in Treatment Planning</t>
  </si>
  <si>
    <t>Butcher, James N.</t>
  </si>
  <si>
    <t>You Don't Have to Suffer : A Complete Guide to Relieving Cancer Pain for Patients and Their Families</t>
  </si>
  <si>
    <t>Lang, Susan S.; Patt, Richard B.</t>
  </si>
  <si>
    <t>Nature of Suffering and the Goals of Medicine</t>
  </si>
  <si>
    <t>Cassell, Eric J.</t>
  </si>
  <si>
    <t>Anxiety Disorders in Adults : An Evidence-Based Approach to Psychological Treatment</t>
  </si>
  <si>
    <t>McLean, Peter D.; Woody, Sheila R.</t>
  </si>
  <si>
    <t>In Search of Madness : Schizophrenia and Neuroscience</t>
  </si>
  <si>
    <t>Heinrichs, R. Walter</t>
  </si>
  <si>
    <t>Raising the Dead : Organ Transplants, Ethics, and Society</t>
  </si>
  <si>
    <t>Munson, Ronald</t>
  </si>
  <si>
    <t>Electroshock : Restoring the Mind</t>
  </si>
  <si>
    <t>Fink, Max</t>
  </si>
  <si>
    <t>Silent Scourge : Children, Pollution, and Why Scientists Disagree</t>
  </si>
  <si>
    <t>Moore, Colleen F.</t>
  </si>
  <si>
    <t>Clock Drawing : A Neuropsychological Analysis</t>
  </si>
  <si>
    <t>Freedman, Morris; Delis, Dean C.; Kaplan, Edith; Leach, Larry; Shulman, Kenneth; Winocur, Gordon</t>
  </si>
  <si>
    <t>Physics and the art of dance : Understanding Movement</t>
  </si>
  <si>
    <t>Laws, Kenneth; Swope, Martha; Russell, Francia</t>
  </si>
  <si>
    <t>Science: Anatomy/Physiology; Science; Science: Biology/Natural History</t>
  </si>
  <si>
    <t>Promoting the Health of Adolescents : New Directions for the Twenty-First Century</t>
  </si>
  <si>
    <t>Millstein, Susan G.; Nightingale, Elena O.; Petersen, Anne C.</t>
  </si>
  <si>
    <t>Mild Head Injury</t>
  </si>
  <si>
    <t>Levin, Harvey S.; Benton, Arthur L.; Eisenberg, Howard M.</t>
  </si>
  <si>
    <t>Handbook of Psychological Services for Children and Adolescents</t>
  </si>
  <si>
    <t>Hughes, Jan N.; Greca, Annette M. La; Conoley, Jane Close; La Greca, Annette M.</t>
  </si>
  <si>
    <t>Forensic Mental Health Assessment : A Casebook</t>
  </si>
  <si>
    <t>Heilbrun, Kirk; Marczyk, Geoffrey; DeMatteo, David</t>
  </si>
  <si>
    <t>John Hughlings Jackson : Father of English Neurology</t>
  </si>
  <si>
    <t>Critchley, MacDonald; Critchley, Eileen A.</t>
  </si>
  <si>
    <t>Evolution of Infectious Disease</t>
  </si>
  <si>
    <t>Ewald, Paul W.</t>
  </si>
  <si>
    <t>Becoming a Physician : Medical Education in Great Britain, France, Germany, and the United States, 1750-1945</t>
  </si>
  <si>
    <t>Bonner, Thomas N.</t>
  </si>
  <si>
    <t>Frontiers of Developmental Psychopathology</t>
  </si>
  <si>
    <t>Haugaard, Jeffrey J.; Lenzenweger, Mark F.</t>
  </si>
  <si>
    <t>Handbook of Infant, Toddler, and Preschool Mental Health Assessment</t>
  </si>
  <si>
    <t>DelCarmen-Wiggins, Rebecca; Carter, Alice</t>
  </si>
  <si>
    <t>Therapeutic Ways with Words</t>
  </si>
  <si>
    <t>Ferrara, Kathleen W.</t>
  </si>
  <si>
    <t>Metchnikoff and the Origins of Immunology : From Metaphor to Theory</t>
  </si>
  <si>
    <t>Tauber, Alfred I.; Chernyak, Leon</t>
  </si>
  <si>
    <t>Science; Science: Zoology; Science: Biology/Natural History</t>
  </si>
  <si>
    <t>Evolutionary Medicine</t>
  </si>
  <si>
    <t>Trevathan, Wenda R.; Smith, E. O.</t>
  </si>
  <si>
    <t>Cultural Clinical Psychology : Theory, Research, and Practice</t>
  </si>
  <si>
    <t>Kazarian, Shahe; Evans, David R.</t>
  </si>
  <si>
    <t>An Ethical Framework for Complementary and Alternative Therapists</t>
  </si>
  <si>
    <t>Stone, Julie</t>
  </si>
  <si>
    <t>Handbook of Neurological Rehabilitation</t>
  </si>
  <si>
    <t>Greenwood, Richard J.; McMillan, Thomas M.; Barnes, Michael P.; Ward, Christopher D.</t>
  </si>
  <si>
    <t>Key Topics in Orthopaedic Trauma Surgery</t>
  </si>
  <si>
    <t>Bowditch, M.G.; Edwards, D.J.; Keene, G S; Robinson, A H N</t>
  </si>
  <si>
    <t>Bellevue Guide to Outpatient Medicine : An Evidence-based Guide to Primary Care</t>
  </si>
  <si>
    <t>Link, Nathan; Tanner, Michael; Wasserman, Lloyd; British Medical Journal,; Link, Nathan; Tanner, Michael; Wasserman, Lloyd; Ofin, Danielle</t>
  </si>
  <si>
    <t>Cardiovascular Emergencies</t>
  </si>
  <si>
    <t>Shively; Davies, Crispin; Bashir, Yaver; Bmj Books,; Bashir, Yaver</t>
  </si>
  <si>
    <t>How To Read A Paper : The Basics of Evidence Based Medicine</t>
  </si>
  <si>
    <t>Greenhalgh, Trisha</t>
  </si>
  <si>
    <t>Systematic Reviews in Health Care : Meta-Analysis in Context</t>
  </si>
  <si>
    <t>Egger, Matthias; Smith, George Davey; Altman, Douglas</t>
  </si>
  <si>
    <t>Evolution and Posttraumatic Stress : Disorders of Vigilance and Defence</t>
  </si>
  <si>
    <t>Cantor, Chris</t>
  </si>
  <si>
    <t>Where Inner and Outer Worlds Meet : Psychosocial Research in the Tradition of George W Brown</t>
  </si>
  <si>
    <t>Harris, Tirril</t>
  </si>
  <si>
    <t>Symptoms in the Pharmacy : A Guide to the Management of Common Illness</t>
  </si>
  <si>
    <t>Blenkinsopp, Alison; Paxton, Paul; Blenkinsopp, John</t>
  </si>
  <si>
    <t>New Challenges to Health : The Threat of Virus Infection</t>
  </si>
  <si>
    <t>Smith, G. L.; Irving, W. L.; McCauley, J. W.; Rowlands, D. J.</t>
  </si>
  <si>
    <t>Microbe-vector Interactions in Vector-borne Diseases</t>
  </si>
  <si>
    <t>Gillespie, S. H.; Smith, G. L.; Osbourn, A.</t>
  </si>
  <si>
    <t>Polymers for tissue engineering</t>
  </si>
  <si>
    <t>Shoichet, M.; Hubbel, J.A.</t>
  </si>
  <si>
    <t>Questions and answers for physicians : A medieval Arabic study manual</t>
  </si>
  <si>
    <t>Leiser, G.; Al-Khaledy; Al-Khaledy, Noury</t>
  </si>
  <si>
    <t>Arts &amp; Health</t>
  </si>
  <si>
    <t>Stephen Clift</t>
  </si>
  <si>
    <t>Consumer Food Safety</t>
  </si>
  <si>
    <t>Chris Griffith</t>
  </si>
  <si>
    <t>Emotion In Healthcare Organization</t>
  </si>
  <si>
    <t>Annabelle Mark</t>
  </si>
  <si>
    <t>Obesity</t>
  </si>
  <si>
    <t>Blades, Mable</t>
  </si>
  <si>
    <t>Pharmaceutical Marketing</t>
  </si>
  <si>
    <t>Mullner, Ross</t>
  </si>
  <si>
    <t>Medicine; Business/Management; Pharmacy; Economics</t>
  </si>
  <si>
    <t>Using Critial Theories To Develop Understanding Of Health Management</t>
  </si>
  <si>
    <t>Learmonth, Mark</t>
  </si>
  <si>
    <t>Bedlam on the Streets</t>
  </si>
  <si>
    <t>Knowles, Caroline; Knowles, C</t>
  </si>
  <si>
    <t>Therapist's Guide to Self-Care</t>
  </si>
  <si>
    <t>Weiss, Lillie</t>
  </si>
  <si>
    <t>- the 'at your fingertips' guide : The ‘At Your Fingertips’ Guide</t>
  </si>
  <si>
    <t>Levy, Mark; Weller, Trisha; Hilton, Sean</t>
  </si>
  <si>
    <t>Rational Emotive Behavioural Counselling in Action</t>
  </si>
  <si>
    <t>SAGE Publications</t>
  </si>
  <si>
    <t>Dryden, Windy; Neenan, Michael</t>
  </si>
  <si>
    <t>Medicine as Culture : Illness, Disease and the Body in Western Societies</t>
  </si>
  <si>
    <t>Lupton, Deborah, Professor</t>
  </si>
  <si>
    <t>Melanie Klein</t>
  </si>
  <si>
    <t>Segal, Julia</t>
  </si>
  <si>
    <t>Family Therapy : A Constructive Framework</t>
  </si>
  <si>
    <t>Lowe, Roger</t>
  </si>
  <si>
    <t>Albert Ellis Live!</t>
  </si>
  <si>
    <t>Dryden, Windy; Ellis, Albert</t>
  </si>
  <si>
    <t>Art Therapy</t>
  </si>
  <si>
    <t>Edwards, David</t>
  </si>
  <si>
    <t>The Rational Emotive Behavioural Approach to Therapeutic Change</t>
  </si>
  <si>
    <t>Counselling Children, Adolescents and Families : A Strengths-Based Approach</t>
  </si>
  <si>
    <t>Sharry, John</t>
  </si>
  <si>
    <t>Developing Person-Centred Counselling</t>
  </si>
  <si>
    <t>Mearns, Dave</t>
  </si>
  <si>
    <t>Working Through Setbacks in Psychotherapy : Crisis, Impasse and Relapse</t>
  </si>
  <si>
    <t>Leiper, Rob; Kent, Rosemary</t>
  </si>
  <si>
    <t>Transactional Analysis Approaches to Brief Therapy : What do you say between saying hello and goodbye?</t>
  </si>
  <si>
    <t>Tudor, Keith</t>
  </si>
  <si>
    <t>Dance Movement Therapy : A Creative Psychotherapeutic Approach</t>
  </si>
  <si>
    <t>Meekums, Bonnie</t>
  </si>
  <si>
    <t>Brief Cognitive Behaviour Therapy</t>
  </si>
  <si>
    <t>Curwen, Berni; Palmer, Stephen; Ruddell, Peter</t>
  </si>
  <si>
    <t>Existential Counselling &amp; Psychotherapy in Practice</t>
  </si>
  <si>
    <t>van Deurzen, Emmy</t>
  </si>
  <si>
    <t>Family Therapy in Focus</t>
  </si>
  <si>
    <t>Rivett, Mark; Street, Eddy</t>
  </si>
  <si>
    <t>Counselling Older Clients</t>
  </si>
  <si>
    <t>Orbach, Ann</t>
  </si>
  <si>
    <t>Communicating Health and Illness</t>
  </si>
  <si>
    <t>Gwyn, Richard</t>
  </si>
  <si>
    <t>Counselling for Anxiety Problems</t>
  </si>
  <si>
    <t>Sanders, Diana J; Wills, Frank; Hallam, Richard S.</t>
  </si>
  <si>
    <t>Counselling for Depression</t>
  </si>
  <si>
    <t>Gilbert, Paul Raymond, Prof</t>
  </si>
  <si>
    <t>Regulating the Health Professions</t>
  </si>
  <si>
    <t>Allsop, Judith; Saks, Mike</t>
  </si>
  <si>
    <t>Therapeutic Work with Sexually Abused Children</t>
  </si>
  <si>
    <t>Wickham, Randall Easton; West, Janet</t>
  </si>
  <si>
    <t>Key Concepts in Medical Sociology</t>
  </si>
  <si>
    <t>Gabe, Jonathan; Bury, Michael; Elston, Mary</t>
  </si>
  <si>
    <t>Therapeutic Nursing : Improving Patient Care through Self-Awareness and Reflection</t>
  </si>
  <si>
    <t>Freshwater, Dawn</t>
  </si>
  <si>
    <t>A Short Introduction to Psychiatry</t>
  </si>
  <si>
    <t>Gask, Linda</t>
  </si>
  <si>
    <t>Health Care Ethics : Lessons from Intensive Care</t>
  </si>
  <si>
    <t>Melia, Kath</t>
  </si>
  <si>
    <t>Acute Mental Health Nursing : From Acute Concerns to the Capable Practitioner</t>
  </si>
  <si>
    <t>Harrison, Marc; Mitchell, Damian; Howard, David</t>
  </si>
  <si>
    <t>Brief Gestalt Therapy</t>
  </si>
  <si>
    <t>Houston, Gaie</t>
  </si>
  <si>
    <t>Health Policy for Health Care Professionals</t>
  </si>
  <si>
    <t>Bradshaw, Peter L; Bradshaw, Gwendolen</t>
  </si>
  <si>
    <t>Difference and Discrimination in Psychotherapy and Counselling : Difference and Discrimination in Psychotherapy and Counselling</t>
  </si>
  <si>
    <t>Marshall, Sue</t>
  </si>
  <si>
    <t>Madness at Home : The Psychiatrist, the Patient, and the Family in England, 1820-1860</t>
  </si>
  <si>
    <t>Suzuki, Akihito</t>
  </si>
  <si>
    <t>Neurocutaneous Disorders</t>
  </si>
  <si>
    <t>Roach, E. Steve; Miller, Van S.</t>
  </si>
  <si>
    <t>Schizophrenia, Culture, and Subjectivity : The Edge of Experience</t>
  </si>
  <si>
    <t>Jenkins, Janis Hunter; Barrett, Robert John; Harwood, Alan</t>
  </si>
  <si>
    <t>Essentials of Paediatric Intensive Care</t>
  </si>
  <si>
    <t>Greenwich Medical Media</t>
  </si>
  <si>
    <t>Stack, C. G.; Dobbs, P.</t>
  </si>
  <si>
    <t>Tracheostomy : A Multi-Professional Handbook</t>
  </si>
  <si>
    <t>Russell, Claudia; Matta, Basil</t>
  </si>
  <si>
    <t>Psoriasis - the 'at your fingertips' guide : The At Your Fingertips Guide</t>
  </si>
  <si>
    <t>Mitchell, Tim; Penzer, Rebecca</t>
  </si>
  <si>
    <t>Excema  - the 'at your fingertips' guide : The 'At Your Fingertips' Guide</t>
  </si>
  <si>
    <t>Mitchell, Tim; Hepplewhite, Alison</t>
  </si>
  <si>
    <t>Eating Well with Kidney Failure</t>
  </si>
  <si>
    <t>Jackson, Helena; Cassidy, Annie; James, Gavin</t>
  </si>
  <si>
    <t>Science; Home Economics; Science: Biology/Natural History</t>
  </si>
  <si>
    <t>Life of a Russian Woman Doctor : A Siberian Memoir, 1869-1954</t>
  </si>
  <si>
    <t>Bek, Anna; Rassweiler, Anne D; Lindenmeyr, Adele</t>
  </si>
  <si>
    <t>Clinical Intensive Care and Acute Medicine</t>
  </si>
  <si>
    <t>Hillman, Ken; Bishop, Gillian</t>
  </si>
  <si>
    <t>Bacterial Invasion of Host Cells</t>
  </si>
  <si>
    <t>Coates, Anthony; Curtis, Michael; Lamont, Richard J.</t>
  </si>
  <si>
    <t>Somatoform Disorders : A Medicolegal Guide</t>
  </si>
  <si>
    <t>Trimble, Michael</t>
  </si>
  <si>
    <t>Susceptibility to Infectious Diseases : The Importance of Host Genetics</t>
  </si>
  <si>
    <t>Coates, Anthony; Curtis, Michael; Bellamy, Richard</t>
  </si>
  <si>
    <t>Childhood Epilepsy : Language, Learning and Behavioural Complications</t>
  </si>
  <si>
    <t>Svoboda, William B.</t>
  </si>
  <si>
    <t>Women's Health in Mid-Life : A Primary Care Guide</t>
  </si>
  <si>
    <t>Rosenfeld, Jo Ann</t>
  </si>
  <si>
    <t>The Medico-Legal Back: An Illustrated Guide</t>
  </si>
  <si>
    <t>Dickson, Robert A.; Butt, W. Paul</t>
  </si>
  <si>
    <t>Health; Social Science; Law</t>
  </si>
  <si>
    <t>MCQs for the Final FRCA</t>
  </si>
  <si>
    <t>Elfituri, Khaled; Arthurs, Graham</t>
  </si>
  <si>
    <t>Ethics for Behavior Analysts : A Practical Guide to the Behavior Analyst Certification Board Guidelines for Responsible Conduct</t>
  </si>
  <si>
    <t>Bailey, Jon; Burch, Mary; Burch, Mary; Burch, Mary</t>
  </si>
  <si>
    <t>Core Topics in Perioperative Medicine</t>
  </si>
  <si>
    <t>Hudsmith, Jonathan; Wheeler, Dan; Gupta, Arun</t>
  </si>
  <si>
    <t>Food Safety : Thinking Globally Acting Locally</t>
  </si>
  <si>
    <t>von Holy, Alex; Lindsay, Denise</t>
  </si>
  <si>
    <t>NHS clinical governance support team : a five year focus</t>
  </si>
  <si>
    <t>Halligan, Professor Aidan; Cullen, Ron</t>
  </si>
  <si>
    <t>Plasma Diagnostics</t>
  </si>
  <si>
    <t>Cambridge International Science Publishing</t>
  </si>
  <si>
    <t>Ovsyannikov, A.A.; Zhukov, M.F.</t>
  </si>
  <si>
    <t>Science; Science: Physics</t>
  </si>
  <si>
    <t>The Vegetative State : Medical Facts, Ethical and Legal Dilemmas</t>
  </si>
  <si>
    <t>Jennett, Bryan</t>
  </si>
  <si>
    <t>Food in World History</t>
  </si>
  <si>
    <t>Pilcher, Jeffrey M.</t>
  </si>
  <si>
    <t>Home Economics; Health</t>
  </si>
  <si>
    <t>Fixing Health Systems</t>
  </si>
  <si>
    <t>International Development Research Centre</t>
  </si>
  <si>
    <t>Savigny, Don de; Kasale, Harun; Mbuya, Conrad; Reid, Graham ; de Savigny, D</t>
  </si>
  <si>
    <t>Health : An Ecosystem Approach</t>
  </si>
  <si>
    <t>Lebel, Jean; International Development Research Centre (Canada)</t>
  </si>
  <si>
    <t>Environmental Studies; Social Science; Health</t>
  </si>
  <si>
    <t>La réforme du système de santé</t>
  </si>
  <si>
    <t>de Savigny, Don; Kasale, Harun; Mbuya, Conrad</t>
  </si>
  <si>
    <t>La santé : Une approche écosystémique</t>
  </si>
  <si>
    <t>Lebel, Jean</t>
  </si>
  <si>
    <t>Health; Social Science; Environmental Studies</t>
  </si>
  <si>
    <t>Salud : Un enfoque ecosistémico</t>
  </si>
  <si>
    <t>Environmental Studies; Health; Social Science</t>
  </si>
  <si>
    <t>Quantum Theory and Symmetries : Proceedings of the 3rd International Symposeum</t>
  </si>
  <si>
    <t>Chang, Chawnshang</t>
  </si>
  <si>
    <t>Basic and New Aspects of Gastrointestinal Ultrasonography</t>
  </si>
  <si>
    <t>Odegaard, Svein; Gregersen, H.; Gilja, Odd Helge</t>
  </si>
  <si>
    <t>Deterministic and Stochastic Models of AIDS Epidemics and HIV Infections with Intervention</t>
  </si>
  <si>
    <t>Tan, W. Y; Wu, Hulin</t>
  </si>
  <si>
    <t>Health; Social Science; Juvenile Literature</t>
  </si>
  <si>
    <t>Stress, the Brain and Depression</t>
  </si>
  <si>
    <t>Praag, H. M. van; Kloet, E. R. de; Os, J. van</t>
  </si>
  <si>
    <t>Handbook of Women's Health : An Evidence-Based Approach</t>
  </si>
  <si>
    <t>Marijuana and Madness : Psychiatry and Neurobiology</t>
  </si>
  <si>
    <t>Castle, David; Murray, Robin</t>
  </si>
  <si>
    <t>Embryo and Fetal Pathology : Color Atlas with Ultrasound Correlation</t>
  </si>
  <si>
    <t>Gilbert-Barness, Enid; Debich-Spicer, Diane; Williams, Mark; Porter, Kathy B.; Guidi, Susan; Opitz, John M.</t>
  </si>
  <si>
    <t>Testosterone : Action, Deficiency, Substitution</t>
  </si>
  <si>
    <t>Nieschlag, E.; Behre, H. M.</t>
  </si>
  <si>
    <t>Prader-Willi Syndrome : Development and Manifestations</t>
  </si>
  <si>
    <t>Whittington, Joyce; Holland, Tony</t>
  </si>
  <si>
    <t>Atlas of Musculoskeletal Ultrasound Anatomy</t>
  </si>
  <si>
    <t>Bradley, Mike; O'Donnell, Paul</t>
  </si>
  <si>
    <t>Medicine; Science; Science: Anatomy/Physiology</t>
  </si>
  <si>
    <t>Legal and Ethical Aspects of Healthcare</t>
  </si>
  <si>
    <t>McLean, S. A. M.; Mason, J. K.; McLean, S. A. M.</t>
  </si>
  <si>
    <t>Applied Surgical Physiology Vivas</t>
  </si>
  <si>
    <t>Kanani, Mazyar; Elliott, Martin</t>
  </si>
  <si>
    <t>Operating Department Practice A-Z</t>
  </si>
  <si>
    <t>Smith, Brian; Williams, Tom</t>
  </si>
  <si>
    <t>Poor Families in America's Health Care Crisis</t>
  </si>
  <si>
    <t>Angel, Ronald J.; Lein, Laura; Henrici, Jane</t>
  </si>
  <si>
    <t>Melancholia : The Diagnosis, Pathophysiology and Treatment of Depressive Illness</t>
  </si>
  <si>
    <t>Taylor, Michael Alan; Fink, Max</t>
  </si>
  <si>
    <t>Measuring Efficiency in Health Care : Analytic Techniques and Health Policy</t>
  </si>
  <si>
    <t>Jacobs, Rowena; Smith, Peter C.; Street, Andrew</t>
  </si>
  <si>
    <t>Ovarian Hyperstimulation Syndrome : Epidemiology, Pathophysiology, Prevention and Management</t>
  </si>
  <si>
    <t>Rizk, Botros</t>
  </si>
  <si>
    <t>Psychology and the Natural Law of Reparation</t>
  </si>
  <si>
    <t>Alford, C. Fred</t>
  </si>
  <si>
    <t>Transformation of Healthcare with Information Technologies : Transformation of Healthcare with Information Technologies</t>
  </si>
  <si>
    <t>IOS Press</t>
  </si>
  <si>
    <t>M. Duplaga; K. Zieliński; D. Ingram</t>
  </si>
  <si>
    <t>E-Health : Current Situation and Examples of Implemented and Beneficial E-Health Applications</t>
  </si>
  <si>
    <t>Iakovidis, I.; Wilson, P.; Healy, J.C.</t>
  </si>
  <si>
    <t>Wearable eHealth Systems for Personalised Health Management : State of the Art and Future Challenges</t>
  </si>
  <si>
    <t>Lymberis, A.; de Rossi, D.</t>
  </si>
  <si>
    <t>Global Health Informatics Education : Global Health Informatics Education</t>
  </si>
  <si>
    <t>Hovenga, E.J.S.; Mantas, J.</t>
  </si>
  <si>
    <t>Desertification Combat and Food Safety : The Added Value of Camel Producers</t>
  </si>
  <si>
    <t>Esenov, P.; Faye, B.</t>
  </si>
  <si>
    <t>Agriculture</t>
  </si>
  <si>
    <t>Health Continuum and Data Exchange in Belgium and in the Netherlands : Proceedings of Medical Informatics Congress (MIC 2004) &amp; 5th Belgian e-Health Conference</t>
  </si>
  <si>
    <t>Roger France, F.H.; De Clercq, E.; De Moor, G.J.E.</t>
  </si>
  <si>
    <t>Radiation Inactivation of Bioterrorism Agents</t>
  </si>
  <si>
    <t>Gazsó, L.G.; Ponta, C.C.</t>
  </si>
  <si>
    <t>Engineering: Chemical; Social Science; Engineering; Health</t>
  </si>
  <si>
    <t>Medicine Meets Virtual Reality 13 : The Magical Next Becomes the Medical Now</t>
  </si>
  <si>
    <t>Westwood, J.D.; Haluck, R.S.; Hoffman, H.M.</t>
  </si>
  <si>
    <t>From Grid to Healthgrid : Proceedings of Healthgrid 2005</t>
  </si>
  <si>
    <t>Solomonides, T.; McClatchey, R.; Breton, V.</t>
  </si>
  <si>
    <t>Plaque Imaging : Pixel to Molecular Level</t>
  </si>
  <si>
    <t>S. Laxminarayan; J.S. Suri; D.L. Wilson</t>
  </si>
  <si>
    <t>Free Radicals and Diseases : Gene Expression, Cellular Metabolism and Pathophysiology</t>
  </si>
  <si>
    <t>T. Grune</t>
  </si>
  <si>
    <t>Medical and Care Compunetics 2 : Medical and Care Compunetics 2</t>
  </si>
  <si>
    <t>Bos, L.; Laxminarayan, S.; Marsh, A.</t>
  </si>
  <si>
    <t>Regional Health Economies and ICT Services : The PICNIC Experience</t>
  </si>
  <si>
    <t>K. Bernstein; D.G. Katehakis; D. Piggott; Tsiknakis, M. ; Bernstein, K.</t>
  </si>
  <si>
    <t>Eating Disorders and Obesity : How Drugs Can Help</t>
  </si>
  <si>
    <t>Silverstone, T.</t>
  </si>
  <si>
    <t>Developing Strategies to Deal with Trauma in Children : A Means of Ensuring Conflict Prevention, Security and Social Stability. Case Study: 12-15-Year-Olds in Serbia</t>
  </si>
  <si>
    <t>Donnelly, J.; Kovacova, A.; Osofsky, J.</t>
  </si>
  <si>
    <t>Connecting Medical Informatics and Bio-Informatics : Proceedings of MIE2005</t>
  </si>
  <si>
    <t>Engelbrecht, R.; Geissbuhler, A.; Lovis, C.; Mihalas, G.</t>
  </si>
  <si>
    <t>Emerging Biological Threat</t>
  </si>
  <si>
    <t>Berencsi, G.; Khan, A.S.; Haloužka, J.</t>
  </si>
  <si>
    <t>Personalised Health Management Systems : The Integration of Innovative Sensing, Textile, Information and Communication Technologies</t>
  </si>
  <si>
    <t>Nugent, C.; McCullagh, P.J.; McAdams, E.T.</t>
  </si>
  <si>
    <t>Future of Intelligent and Extelligent Health Environment : Future of Intelligent and Extelligent Health Environment</t>
  </si>
  <si>
    <t>Bushko, R.G.</t>
  </si>
  <si>
    <t>Medicine Meets Virtual Reality 14 : Accelerating Change in Healthcare: Next Medical Toolkit</t>
  </si>
  <si>
    <t>Promoting Independence for Older Persons with Disabilities : Selected Papers from the 2006 International Conference on Aging, Disability and Independence</t>
  </si>
  <si>
    <t>Helal, A.; Mann, W.C.</t>
  </si>
  <si>
    <t>Novel Approaches to the Diagnosis and Treatment of Posttraumatic Stress Disorder : Novel Approaches to the Diagnosis and Treatment of Posttraumatic Stress Disorder</t>
  </si>
  <si>
    <t>Roy, M.J.</t>
  </si>
  <si>
    <t>Palliative Neurology : A Practical Guide</t>
  </si>
  <si>
    <t>Maddocks, Ian; Brew, Bruce; Waddy, Heather; Williams, Ian</t>
  </si>
  <si>
    <t>A History of Nerve Functions : From Animal Spirits to Molecular Mechanisms</t>
  </si>
  <si>
    <t>Ochs, Sidney</t>
  </si>
  <si>
    <t>Public Health at the Crossroads : Achievements and Prospects</t>
  </si>
  <si>
    <t>Beaglehole, Robert; Bonita, Ruth</t>
  </si>
  <si>
    <t>Double Standards in Medical Research in Developing Countries</t>
  </si>
  <si>
    <t>Macklin, Ruth; McCall-Smith , Alexander</t>
  </si>
  <si>
    <t>Philosophy; Social Science; Health</t>
  </si>
  <si>
    <t>Acute and Transient Psychoses</t>
  </si>
  <si>
    <t>Marneros, Andreas; Pillmann, Frank</t>
  </si>
  <si>
    <t>Living and Dying with Cancer</t>
  </si>
  <si>
    <t>Armstrong-Coster, Angela</t>
  </si>
  <si>
    <t>The Anaesthesia Science Viva Book</t>
  </si>
  <si>
    <t>Bricker, Simon</t>
  </si>
  <si>
    <t>A-Z of Emergency Radiology</t>
  </si>
  <si>
    <t>Holmes, Erskine J.; Misra, Rakesh R.</t>
  </si>
  <si>
    <t>MCQs for the FRCR, Part 1</t>
  </si>
  <si>
    <t>Khanna, Monica; Menezes, Leon; Gallagher, David</t>
  </si>
  <si>
    <t>Imaging in SARS</t>
  </si>
  <si>
    <t>Ahuja, A. T.; Ooi, C. G. C.</t>
  </si>
  <si>
    <t>Forging Links for Health Research : Perspectives from the Council on Health Research for Development</t>
  </si>
  <si>
    <t>International Development Research Centre Staff; Neufeld, Victor; Johnson, Nancy</t>
  </si>
  <si>
    <t>Fatal Indifference : The G8, Africa, and Global Health</t>
  </si>
  <si>
    <t>Labonte, Ronald; Schrecker, Ted; Sanders, David; Meeus, Wilma</t>
  </si>
  <si>
    <t>Designing and Conducting Health Systems Research Projects : Volume I:Proposal Development and Fieldwork</t>
  </si>
  <si>
    <t>Corlien M. Varkevisser; Indra Pathmanathan; Ann Brownlee</t>
  </si>
  <si>
    <t>The Queen of Fats : Why Omega-3s Were Removed from the Western Diet and What We Can Do to Replace Them</t>
  </si>
  <si>
    <t>Allport, Susan</t>
  </si>
  <si>
    <t>New Model for Analyzing Antimicrobial Peptides with Biomedical Applications</t>
  </si>
  <si>
    <t>Beschin, A.; Bilej, M.; Cooper, E.L.</t>
  </si>
  <si>
    <t>Medicine; Science; Science: Zoology; Pharmacy</t>
  </si>
  <si>
    <t>Analysis, Design and Implementation of Secure and Interoperable Distributed Health Information Systems : Analysis, Design and Implementation for Secure and Interoperable Distributed Heal</t>
  </si>
  <si>
    <t>B. Blobel</t>
  </si>
  <si>
    <t>Business/Management; Medicine</t>
  </si>
  <si>
    <t>Cancer Genomics : Disease Markers</t>
  </si>
  <si>
    <t>Strausberg, R.L.</t>
  </si>
  <si>
    <t>Computer-based Support for Clinical Guidelines and Protocols : Proceedings of the Symposium on Computerized Guidelines and Protocols (CGP 2004)</t>
  </si>
  <si>
    <t>K. Kaiser; S. Miksch; S.W. Tu</t>
  </si>
  <si>
    <t>Cybertherapy : Internet and Virtual Reality as Assessment and Rehabitation Tools for Clinical Psychology and Neuroscience</t>
  </si>
  <si>
    <t>Botella, C.; Légeron, P.; Optale, G.; Optale, G</t>
  </si>
  <si>
    <t>Disease Markers in Exhaled Breath : Basic Mechanisms and Clinical Applications</t>
  </si>
  <si>
    <t>Marczin, N.; Yacoub, M.H.</t>
  </si>
  <si>
    <t>Drug Discovery and Design : Medical Aspects</t>
  </si>
  <si>
    <t>Matsoukas, J.; Mavromoustakos, T.</t>
  </si>
  <si>
    <t>Engaging the World : The Use of Empirical Research in Bioethics and the Regulation of Biotechnology</t>
  </si>
  <si>
    <t>Holm, S.; Jonas, M.F.</t>
  </si>
  <si>
    <t>Free Radicals, Nitric Oxide, and Inflammation : Molecular, Biochemical and Clinical Aspects</t>
  </si>
  <si>
    <t>Özben, T.; Skulachev, V.P.; Tomasi, A.; Ozben, T. ; et al,</t>
  </si>
  <si>
    <t>Future of Health Technology : Future of Health Technology</t>
  </si>
  <si>
    <t>R.G. Bushko</t>
  </si>
  <si>
    <t>Global Strategies for Disease Detection and Treatment : Proteomics</t>
  </si>
  <si>
    <t>Hanash, S.</t>
  </si>
  <si>
    <t>Heart Disease : Environment, Stress and Gender</t>
  </si>
  <si>
    <t>Kopp, M.S.; Kristenson, M.; Weidner, G.</t>
  </si>
  <si>
    <t>Musculoskeletal Disorders in Health-Related Occupations</t>
  </si>
  <si>
    <t>Reilly, T.</t>
  </si>
  <si>
    <t>Novel Targets in Breast Disease</t>
  </si>
  <si>
    <t>Lipkowitz, S.</t>
  </si>
  <si>
    <t>Parkinson's Disease</t>
  </si>
  <si>
    <t>Ronken, E.; Van Scharrenburg, G.J.M.</t>
  </si>
  <si>
    <t>Preparedness against Bioterrorism and Re-Emerging Infectious Diseases</t>
  </si>
  <si>
    <t>Janiak, J.; Kocik, J.; Negut, M.</t>
  </si>
  <si>
    <t>Prevention and Health Promotion for the Excluded and the Destitute in Europe</t>
  </si>
  <si>
    <t>Chauvin, P.; Contu, P.; Durieux, S.; DURIEUX, ; Lebas, J. ; et al,</t>
  </si>
  <si>
    <t>Research into Spinal Deformities 4 : Research into Spinal Deformities 4</t>
  </si>
  <si>
    <t>T.B. Grivas</t>
  </si>
  <si>
    <t>Growth Plate</t>
  </si>
  <si>
    <t>Boyan, B.D.; Shapiro, I.M.; et al,</t>
  </si>
  <si>
    <t>Thiol Metabolism and Redox Regulation of Cellular Functions</t>
  </si>
  <si>
    <t>Bánhegyi, G.; Pompella, A.; Wellman-Rousseau, M.</t>
  </si>
  <si>
    <t>Toxicogenomics and Proteomics</t>
  </si>
  <si>
    <t>Valdes, J.J.</t>
  </si>
  <si>
    <t>Can We Say No? : The Challenge of Rationing Health Care</t>
  </si>
  <si>
    <t>Brookings Institution Press</t>
  </si>
  <si>
    <t>Aaron, Henry; Schwartz, William B.; Cox, Melissa</t>
  </si>
  <si>
    <t>Medical and Care Compunetics 3 : Medical and Care Compunetics 3</t>
  </si>
  <si>
    <t>Bos, L.; Roa, L.; Yogesan, K.</t>
  </si>
  <si>
    <t>Consumer-Centered Computer-Supported Care for Healthy People : Proceedings of NI2006</t>
  </si>
  <si>
    <t>Park, H.-A.; Murray, P.J.; Delaney, C.</t>
  </si>
  <si>
    <t>Smart Homes and Beyond : ICOST 2006</t>
  </si>
  <si>
    <t>Nugent, C.; Augusto, J.C.</t>
  </si>
  <si>
    <t>Social Science; Engineering; Engineering: Manufacturing</t>
  </si>
  <si>
    <t>Differential Diagnosis in Neurology</t>
  </si>
  <si>
    <t>Schwartzman, R.J.</t>
  </si>
  <si>
    <t>Research into Spinal Deformities 5 : Research into Spinal Deformities 5</t>
  </si>
  <si>
    <t>Dangerfield, P.H.; Uyttendaele, D.</t>
  </si>
  <si>
    <t>The Politics of Personalised Medicine : Pharmacogenetics in the Clinic</t>
  </si>
  <si>
    <t>Hedgecoe, Adam; Rose, Nikolas; Rabinow, Paul; Bateson, Patrick; Billinge, Paul; Morange, Michel; Richards, Martin</t>
  </si>
  <si>
    <t>Debility and the Moral Imagination in Botswana : Disability, Chronic Illness, and Aging</t>
  </si>
  <si>
    <t>Livingston, Julie</t>
  </si>
  <si>
    <t>Distance Writing and Computer-Assisted Interventions in Psychiatry and Mental Health</t>
  </si>
  <si>
    <t>Greenwood Publishing Group</t>
  </si>
  <si>
    <t>L'Abate, Luciano; Snyder, Douglas K.</t>
  </si>
  <si>
    <t>From Clinic to Classroom : Medical Ethics and Moral Education</t>
  </si>
  <si>
    <t>Radest, Howard</t>
  </si>
  <si>
    <t>Children Surviving Persecution : An International Study of Trauma and Healing</t>
  </si>
  <si>
    <t>Kestenberg, Judith; Kahn, Charlotte; Kahn, Charlotte; Kahn, Charlotte</t>
  </si>
  <si>
    <t>New Directions in Progressive Relaxation Training : A Guidebook for Helping Professionals</t>
  </si>
  <si>
    <t>Bernstein, Douglas; Borkovec, Thomas D.; Hazlett-Stevens, Holly; Hazlett-Stevens, Holly; Hazlett-Stevens, Holly</t>
  </si>
  <si>
    <t>Relating in Psychotherapy : The Application of a New Theory</t>
  </si>
  <si>
    <t>Birtchnell, John</t>
  </si>
  <si>
    <t>Death of Psychotherapy : From Freud to Alien Abductions</t>
  </si>
  <si>
    <t>Eisner, Donald; Dineen, Tana</t>
  </si>
  <si>
    <t>Writing Clinical Research Protocols : Ethical Considerations</t>
  </si>
  <si>
    <t>DeRenzo, Evan; Moss, Joel</t>
  </si>
  <si>
    <t>Early Intervention for Autism Spectrum Disorders : A Critical Analysis</t>
  </si>
  <si>
    <t>Matson, Johnny L.; Minshawi, Noha F.</t>
  </si>
  <si>
    <t>Thought Suppression</t>
  </si>
  <si>
    <t>Rassin, Eric</t>
  </si>
  <si>
    <t>The Skin in Systemic Autoimmune Diseases</t>
  </si>
  <si>
    <t>Sarzi-Puttini, Piercarlo; Doria, Andrea; Kuhn, Annegret; Asherson, Ronald; Asherson, Ronald; Girolomoni, Giampietro</t>
  </si>
  <si>
    <t>Atlas of Ambulatory EEG</t>
  </si>
  <si>
    <t>Schachter, Steven C.; Schomer, Donald L.; Chang, Bernard S.</t>
  </si>
  <si>
    <t>Essentials of Medical Geology : Impacts of the Natural Environment on Public Health</t>
  </si>
  <si>
    <t>Selinus, O.; Alloway, B. J.</t>
  </si>
  <si>
    <t>Computer-Graphic Facial Reconstruction</t>
  </si>
  <si>
    <t>Marks, Murray K.; Clement, John G.</t>
  </si>
  <si>
    <t>Social Science; Health; Computer Science/IT</t>
  </si>
  <si>
    <t>Molecular Medicine : An Introductory Text</t>
  </si>
  <si>
    <t>Trent, R. J.</t>
  </si>
  <si>
    <t>Encyclopedia of Heart Diseases</t>
  </si>
  <si>
    <t>Khan, M. Gabriel</t>
  </si>
  <si>
    <t>Architect's Pocket Book of Kitchen Design</t>
  </si>
  <si>
    <t>Baden-Powell, Charlotte</t>
  </si>
  <si>
    <t>Fine Arts; Home Economics</t>
  </si>
  <si>
    <t>Cognitive Systems : Information Processing Meets Brain Science</t>
  </si>
  <si>
    <t>Morris, Richard; Tarassenko, Lionel; Kenward, Michael</t>
  </si>
  <si>
    <t>Science; Computer Science/IT</t>
  </si>
  <si>
    <t>Landmark Papers in Clinical Chemistry</t>
  </si>
  <si>
    <t>Rocco, Richard M.; Rocco, Richard M</t>
  </si>
  <si>
    <t>Spine Technology Handbook</t>
  </si>
  <si>
    <t>Kurtz, Steven M.; Edidin, Avram Allan</t>
  </si>
  <si>
    <t>Science: Anatomy/Physiology; Medicine; Science</t>
  </si>
  <si>
    <t>The Nobel Prize Winning Discoveries in Infectious Diseases</t>
  </si>
  <si>
    <t>Rifkind, David; Freeman, Geraldine L.</t>
  </si>
  <si>
    <t>Handbook of Biosurveillance</t>
  </si>
  <si>
    <t>Wagner, Michael M.; Moore, Andrew W.; Aryel, Ron M.; Aryel, Ron M</t>
  </si>
  <si>
    <t>Reproductive and Hormonal Aspects of Systemic Autoimmune Diseases</t>
  </si>
  <si>
    <t>Branch, D. Ware; Lockshin, Michael</t>
  </si>
  <si>
    <t>A Crisis of Meaning : How Gay Men Are Making Sense of AIDS</t>
  </si>
  <si>
    <t>Schwartzberg, Steven S.</t>
  </si>
  <si>
    <t>Historical Dictionary of Psychiatry</t>
  </si>
  <si>
    <t>Shorter, Edward</t>
  </si>
  <si>
    <t>Able-Bodied Womanhood : Personal Health and Social Change in Nineteenth-Century Boston</t>
  </si>
  <si>
    <t>Verbrugge, Martha H.</t>
  </si>
  <si>
    <t>Accidental Logics : The Dynamics of Change in the Health Care Arena in the United States, Britain, and Canada</t>
  </si>
  <si>
    <t>Tuohy, Carolyn H.</t>
  </si>
  <si>
    <t>Adversity, Stress, and Psychopathology</t>
  </si>
  <si>
    <t>Dohrenwend, Bruce P.</t>
  </si>
  <si>
    <t>Am I Crazy, or Is It My Shrink?</t>
  </si>
  <si>
    <t>Beutler, Larry E.; Bongar, Bruce; Shurkin, Joel N.</t>
  </si>
  <si>
    <t>American Medical Schools and the Practice of Medicine : A History</t>
  </si>
  <si>
    <t>Rothstein, William G.</t>
  </si>
  <si>
    <t>"Epidemic" of Adolescent Pregnancy? : Some Historical and Policy Considerations</t>
  </si>
  <si>
    <t>Vinovskis, Maris A.</t>
  </si>
  <si>
    <t>Anxiety, Depression, and Emotion</t>
  </si>
  <si>
    <t>Davidson, Richard J.</t>
  </si>
  <si>
    <t>Asbestos and Other Fibrous Materials : Mineralogy, Crystal Chemistry, and Health Effects</t>
  </si>
  <si>
    <t>Skinner, H. Catherine W.; Ross, Malcolm; Frondel, Clifford; Frondel, Clifford</t>
  </si>
  <si>
    <t>Engineering; Social Science; Engineering: Civil</t>
  </si>
  <si>
    <t>Atlas of Electromyography</t>
  </si>
  <si>
    <t>Leis, A. Arturo; Trapani, Vicente C.</t>
  </si>
  <si>
    <t>Autonomy and Intervention : Parentalism in the Caring Life</t>
  </si>
  <si>
    <t>Kultgen, John</t>
  </si>
  <si>
    <t>Bad Boys, Bad Men : Confronting Antisocial Personality Disorder</t>
  </si>
  <si>
    <t>Black, Donald W.; Larson, C. Lindon</t>
  </si>
  <si>
    <t>Becoming Ecological : An Expedition into Community Psychology</t>
  </si>
  <si>
    <t>Kelly, James G.</t>
  </si>
  <si>
    <t>Brain and Memory : Modulation and Mediation of Neuroplasticity</t>
  </si>
  <si>
    <t>Lynch, Gary; McGaugh, James L.; Weinberger, Norman M.</t>
  </si>
  <si>
    <t>Central Regulation of Autonomic Functions</t>
  </si>
  <si>
    <t>Loewy, Arthur D.; Spyer, K. Michael</t>
  </si>
  <si>
    <t>Cerebral Reorganization of Function after Brain Damage</t>
  </si>
  <si>
    <t>Levin, Harvey S.; Grafman, Jordan</t>
  </si>
  <si>
    <t>Children without Language : From Dysphasia to Autism</t>
  </si>
  <si>
    <t>Danon-Boileau, Laurent; Grieve, James</t>
  </si>
  <si>
    <t>Claiming Power in Doctor-Patient Talk</t>
  </si>
  <si>
    <t>Ainsworth-Vaughn, Nancy</t>
  </si>
  <si>
    <t>Cognitive Neuropsychology in Clinical Practice</t>
  </si>
  <si>
    <t>Margolin, David Ira</t>
  </si>
  <si>
    <t>Cognitive Rehabilitation in Old Age</t>
  </si>
  <si>
    <t>Hill, Robert D.; Backman, Lars; Stigsdotter-Neely, Anna</t>
  </si>
  <si>
    <t>Coherence in Psychotic Discourse</t>
  </si>
  <si>
    <t>Ribeiro, Branca T.</t>
  </si>
  <si>
    <t>Conversation and Brain Damage</t>
  </si>
  <si>
    <t>Goodwin, Charles</t>
  </si>
  <si>
    <t>Darwinian Psychiatry</t>
  </si>
  <si>
    <t>McGuire, Michael; Troisi, Alfonso</t>
  </si>
  <si>
    <t>Demystifying Anorexia Nervosa : An Optimistic Guide to Understanding and Healing</t>
  </si>
  <si>
    <t>Lucas, Alexander R.</t>
  </si>
  <si>
    <t>Diagnosis and Management of Peripheral Nerve Disorders</t>
  </si>
  <si>
    <t>Mendell, Jerry R.; Kissel, John T.; Cornblath, David R.</t>
  </si>
  <si>
    <t>Diseases of the Spine and Spinal Cord</t>
  </si>
  <si>
    <t>Benzel, Edward C.; Byrne, Thomas N.; Waxman, Stephen G.</t>
  </si>
  <si>
    <t>Drug Delivery : Engineering Principles for Drug Therapy</t>
  </si>
  <si>
    <t>Saltzman, W. Mark</t>
  </si>
  <si>
    <t>Ecological Dynamics of Tick-Borne Zoonoses</t>
  </si>
  <si>
    <t>Sonenshine, Daniel E.; Mather, Thomas N.</t>
  </si>
  <si>
    <t>Electrodiagnosis in Diseases of Nerve and Muscle : Principles and Practice</t>
  </si>
  <si>
    <t>Kimura, Jun</t>
  </si>
  <si>
    <t>Emergency Department Treatment of the Psychiatric Patient : Policy Issues and Legal Requirements</t>
  </si>
  <si>
    <t>Jenkins, Philip</t>
  </si>
  <si>
    <t>Emotions, Stress, and Health</t>
  </si>
  <si>
    <t>Zautra, Alex J.</t>
  </si>
  <si>
    <t>Engineering the Human Germline : An Exploration of the Science and Ethics of Altering the Genes We Pass to Our Children</t>
  </si>
  <si>
    <t>Stock, Gregory; Campbell, John H.</t>
  </si>
  <si>
    <t>Engineering: Chemical; Engineering; Medicine</t>
  </si>
  <si>
    <t>Enhancing Sexuality : A Problem-Solving Approach Therapist Guide</t>
  </si>
  <si>
    <t>Wincze, John P.; Barlow, David H.</t>
  </si>
  <si>
    <t>Ethical Issues in the Psychotherapies</t>
  </si>
  <si>
    <t>Lakin, Martin</t>
  </si>
  <si>
    <t>Ethics and Research with Children : A Case-Based Approach</t>
  </si>
  <si>
    <t>Smith, Roy C.; Kodish, Eric</t>
  </si>
  <si>
    <t>Fat : Fighting the Obesity Epidemic</t>
  </si>
  <si>
    <t>Pool, Robert</t>
  </si>
  <si>
    <t>Fears, Phobias and Rituals : Panic, Anxiety, and Their Disorders</t>
  </si>
  <si>
    <t>Marks, Isaac M.</t>
  </si>
  <si>
    <t>Foundations of Evidence-Based Social Work Practice : Process and Practice in Action</t>
  </si>
  <si>
    <t>Roberts, Albert R.; Yeager, Kenneth R.</t>
  </si>
  <si>
    <t>Social Science; Architecture</t>
  </si>
  <si>
    <t>Fractured Minds : A Case-Study Approach to Clinical Neuropsychology</t>
  </si>
  <si>
    <t>Ogden, Jenni A.</t>
  </si>
  <si>
    <t>Guidelines for the Systematic Treatment of the Depressed Patient</t>
  </si>
  <si>
    <t>Beutler, Larry E.; Clarkin, John F.; Bongar, Bruce Michael; Bongar, Bruce</t>
  </si>
  <si>
    <t>Hypochondriasis : Modern Perspectives on an Ancient Malady</t>
  </si>
  <si>
    <t>Starcevic, Vladan; Lipsitt, Don R.; Starcevic, Vladen; Lipsitt, Don R.</t>
  </si>
  <si>
    <t>Insight and Psychosis</t>
  </si>
  <si>
    <t>Amador, Xavier F.; David, Anthony S.</t>
  </si>
  <si>
    <t>Intellectual Disability : Understanding Its Development, Causes, Classification, Evaluation, and Treatment</t>
  </si>
  <si>
    <t>Lee, Dai Gil; Harris, James C.</t>
  </si>
  <si>
    <t>Is Menstruation Obsolete?</t>
  </si>
  <si>
    <t>Coutinho, Elsimar M.; Segal, Sheldon J.</t>
  </si>
  <si>
    <t>Ischemic Cerebrovascular Disease</t>
  </si>
  <si>
    <t>Adams, Harold P., Jr.; Hachinski, Vladimir C.; Norris, John W.</t>
  </si>
  <si>
    <t>Sinus Surgery : Endoscopic and Microscopic Approaches</t>
  </si>
  <si>
    <t>Thieme Medical Publishers, Incorporated</t>
  </si>
  <si>
    <t>Levine, Howard L.; Clemente, M. Pais</t>
  </si>
  <si>
    <t>Facial Plastic and Reconstructive Surgery</t>
  </si>
  <si>
    <t>Papel, Ira D.; Frodel, John; Holt, G. Richard</t>
  </si>
  <si>
    <t>Controversies in Otolaryngology</t>
  </si>
  <si>
    <t>Pensak, Myles L.</t>
  </si>
  <si>
    <t>Otolaryngology : Basic Science and Clinical Review</t>
  </si>
  <si>
    <t>Van De Water, Thomas R.; Staecker, Hinrich</t>
  </si>
  <si>
    <t>Atlas of Orthopaedic Surgical Exposures</t>
  </si>
  <si>
    <t>Jordan, Christopher; Mirzabeigi, Edwin</t>
  </si>
  <si>
    <t>Beasley's Surgery of the Hand</t>
  </si>
  <si>
    <t>Beasley, Robert W.</t>
  </si>
  <si>
    <t>Clinical Pathways in Glaucoma</t>
  </si>
  <si>
    <t>Zimmerman, Thom J.; Kooner, Karanjit S.</t>
  </si>
  <si>
    <t>Glaucoma : Science and Practice</t>
  </si>
  <si>
    <t>Morrison, John C.; Pollack, Irvin P.</t>
  </si>
  <si>
    <t>Minimally Invasive Techniques of Oculofacial Rejuvenation</t>
  </si>
  <si>
    <t>Bosniak, Stephen; Cantisano-Zilkha, Marian; Cantisano-Zilkha, Marian</t>
  </si>
  <si>
    <t>Mastery of Your Anxiety and Worry : Therapist Guide</t>
  </si>
  <si>
    <t>Gheissari, Ali; Barlow, David H.; Craske, Michelle G.; Zinbarg, Richard E.</t>
  </si>
  <si>
    <t>Measuring Stress : A Guide for Health and Social Scientists</t>
  </si>
  <si>
    <t>Cohen, Sheldon; Kessler, Ronald C.; Gordon, Lynn Underwood</t>
  </si>
  <si>
    <t>Medicine; History</t>
  </si>
  <si>
    <t>Medicinal Chemistry : A Molecular and Biochemical Approach</t>
  </si>
  <si>
    <t>Nogrady, Thomas; Weaver, Donald F.</t>
  </si>
  <si>
    <t>Neurodevelopmental Disorders : Diagnosis and Treatment</t>
  </si>
  <si>
    <t>Hagerman, Randi Jenssen</t>
  </si>
  <si>
    <t>Neuropsychological Management of Mild Traumatic Brain Injury</t>
  </si>
  <si>
    <t>Raskin, Sarah A.; Mateer, Catherine A.</t>
  </si>
  <si>
    <t>On the Take : How Medicine's Complicity with Big Business Can Endanger Your Health</t>
  </si>
  <si>
    <t>Kassirer, Jerome P.</t>
  </si>
  <si>
    <t>Overcoming Secondary Stress in Medical and Nursing Practice : A Guide to Professional Resilience and Personal Well-Being</t>
  </si>
  <si>
    <t>Wicks, Robert J.</t>
  </si>
  <si>
    <t>Overcoming the Trauma of Your Motor Vehicle Accident : A Cognitive-Behavioral Treatment Program Therapist Guide</t>
  </si>
  <si>
    <t>Hickling, Edward J.; Blanchard, Edward B.</t>
  </si>
  <si>
    <t>Overcoming the Trauma of Your Motor Vehicle Accident : A Cognitive-Behavioral Treatment Program Workbook</t>
  </si>
  <si>
    <t>Benston, George J.; Bromwich, Michael; Blanchard, Edward B.; Hickling, Edward J.</t>
  </si>
  <si>
    <t>Principles of Neuropsychological Rehabilitation</t>
  </si>
  <si>
    <t>Prigatano, George P.</t>
  </si>
  <si>
    <t>Psychosocial Effects of Screening for Disease Prevention and Detection</t>
  </si>
  <si>
    <t>Croyle, Robert T.</t>
  </si>
  <si>
    <t>Social Science; Health; Psychology</t>
  </si>
  <si>
    <t>Psychotherapy for Children and Adolescents : Directions for Research and Practice</t>
  </si>
  <si>
    <t>Kazdin, Alan E.</t>
  </si>
  <si>
    <t>Rehabilitation for Traumatic Brain Injury</t>
  </si>
  <si>
    <t>High, Walter M.; Sander, Angelle M.; Struchen, Margaret A.; Hart, Karen A.</t>
  </si>
  <si>
    <t>Seeing Spatial Form</t>
  </si>
  <si>
    <t>Regan, D.; Harris, Laurence R.; Jenkin, Michael</t>
  </si>
  <si>
    <t>Science; Psychology; Science: Biology/Natural History</t>
  </si>
  <si>
    <t>Sex, Religion, and the Making of Modern Madness : The Eberbach Asylum and German Society, 1815-1849</t>
  </si>
  <si>
    <t>Goldberg, Ann</t>
  </si>
  <si>
    <t>Starving for Salvation : The Spiritual Dimensions of Eating Problems among American Girls and Women</t>
  </si>
  <si>
    <t>Lelwica, Michelle Mary</t>
  </si>
  <si>
    <t>Terrors of the Table : The Curious History of Nutrition</t>
  </si>
  <si>
    <t>Gratzer, W. B.</t>
  </si>
  <si>
    <t>Clinical Care of the Aged Person : An Interdisciplinary Perspective</t>
  </si>
  <si>
    <t>Satin, David G.; Blakeney, Barbara A.; Bottomley, Jennifer M.</t>
  </si>
  <si>
    <t>The Cost of Competence : Why Inequality Causes Depression, Eating Disorders, and Illness in Women</t>
  </si>
  <si>
    <t>Silverstein, Brett; Perlick, Deborah</t>
  </si>
  <si>
    <t>The Developmental Psychopathology of Anxiety</t>
  </si>
  <si>
    <t>Vasey, Michael W.; Dadds, Mark R.</t>
  </si>
  <si>
    <t>The Fundamentals of Clinical Neuropsychiatry</t>
  </si>
  <si>
    <t>Taylor, Michael Alan</t>
  </si>
  <si>
    <t>Neurology of Vision</t>
  </si>
  <si>
    <t>Trobe, Jonathan D.; Leonello, Tanya K.</t>
  </si>
  <si>
    <t>The Psychiatric Mental Status Examination</t>
  </si>
  <si>
    <t>Trzepacz, Paula T.; Baker, Robert W.</t>
  </si>
  <si>
    <t>Theory-Based Assessment, Treatment, and Prevention of Sexual Aggression</t>
  </si>
  <si>
    <t>Hall, Gordon C. Nagayama</t>
  </si>
  <si>
    <t>Trauma and Memory : Clinical and Legal Controversies</t>
  </si>
  <si>
    <t>Applebaum, Paul S.; Elin, Mark R.; Uyehara, Lisa A.</t>
  </si>
  <si>
    <t>Tuberous Sclerosis Complex</t>
  </si>
  <si>
    <t>Gomez, Manuel R.; Sampson, Julian R.; Whittemore, Vicky Holets</t>
  </si>
  <si>
    <t>Understanding Anger Disorders</t>
  </si>
  <si>
    <t>Kohn, Livia; DiGiuseppe, Raymond; Tafrate, Raymond Chip</t>
  </si>
  <si>
    <t>Understanding the Medical Diagnosis of Child Maltreatment : A Guide for Nonmedical Professionals</t>
  </si>
  <si>
    <t>American Humane Association Staff; Brittain, Charmaine R.</t>
  </si>
  <si>
    <t>Vanity, Vitality, and Virility : The Science behind the Products You Love to Buy</t>
  </si>
  <si>
    <t>Emsley, John</t>
  </si>
  <si>
    <t>Science: Chemistry; Science</t>
  </si>
  <si>
    <t>Viral Sex : The Nature of AIDS</t>
  </si>
  <si>
    <t>Goudsmit, Jaap</t>
  </si>
  <si>
    <t>Health; Medicine; Science; Science: Biology/Natural History</t>
  </si>
  <si>
    <t>Vital Circuits : On Pumps, Pipes, and the Workings of Circulatory Systems</t>
  </si>
  <si>
    <t>Vogel, Steven; Calvert, Rosemary Anne</t>
  </si>
  <si>
    <t>Globalizing Tobacco Control : Anti-smoking Campaigns in California, France, and Japan</t>
  </si>
  <si>
    <t>Reid, Roddey</t>
  </si>
  <si>
    <t>Handbook on Animal-Assisted Therapy : Theoretical Foundations and Guidelines for Practice</t>
  </si>
  <si>
    <t>Friedman, Jacob E.; Fine, Aubrey H.</t>
  </si>
  <si>
    <t>Hearing : Anatomy, Physiology, and Disorders of the Auditory System</t>
  </si>
  <si>
    <t>Sharma, K. K.; Moller, Aage R.</t>
  </si>
  <si>
    <t>Medicine; Science; Science: Physics</t>
  </si>
  <si>
    <t>Hutchinson Trends in Science - Medicine and Health Science : Medicine and Health Science</t>
  </si>
  <si>
    <t>Helicon Publishing</t>
  </si>
  <si>
    <t>Gerd : Reflux to Esophageal Adenocarcinoma</t>
  </si>
  <si>
    <t>Chandrasoma, Parakrama T.; DeMeester, Tom R.; DeMeester, Tom R.</t>
  </si>
  <si>
    <t>Ubiquity - Technologies for Better Health in Aging Societies : Proceedings of MIE2006</t>
  </si>
  <si>
    <t>Hasman, A.; Haux, R.; Lei, J. Van der; France, F.H. Roger</t>
  </si>
  <si>
    <t>Dynamics of Speech Production and Perception</t>
  </si>
  <si>
    <t>Divenyi, P.L.; Greenberg, S.; Meyer, G.</t>
  </si>
  <si>
    <t>Psychology; Language/Linguistics</t>
  </si>
  <si>
    <t>Inescapable Ecologies : A History of Environment, Disease, and Knowledge</t>
  </si>
  <si>
    <t>Nash, Linda</t>
  </si>
  <si>
    <t>Workaholism in organizations, Volume 11, Issue 5 : New research directions</t>
  </si>
  <si>
    <t>Snir, Raphael; Harpaz, Itzhak; Burke, Ronald; Burke, Ronald</t>
  </si>
  <si>
    <t>Trust in Health Care Organizations, Volume 20, Issue 5</t>
  </si>
  <si>
    <t>Calnan, Michael; Rowe, Rosemary; Rowe, Rosemary</t>
  </si>
  <si>
    <t>Migraine and other Headaches : Answers at Your Fingertips</t>
  </si>
  <si>
    <t>Fontebasso, Manuela</t>
  </si>
  <si>
    <t>Menopause : Answers at Your Fingertips</t>
  </si>
  <si>
    <t>Currie, Heather</t>
  </si>
  <si>
    <t>Food : A Dictionary of Literal and Nonliteral Terms</t>
  </si>
  <si>
    <t>Palmatier, Robert A.</t>
  </si>
  <si>
    <t>Under the Banyan Tree : A Population Scientist's Odyssey</t>
  </si>
  <si>
    <t>Davis, Rowland H.</t>
  </si>
  <si>
    <t>Hormone Use in Menopause and Male Andropause : A Choice for Women and Men</t>
  </si>
  <si>
    <t>Segal, Sheldon J.; Mastroianni, Luigi</t>
  </si>
  <si>
    <t>Calm Energy : How People Regulate Mood with Food and Exercise</t>
  </si>
  <si>
    <t>Thayer, Robert E.</t>
  </si>
  <si>
    <t>Doctoring : The Nature of Primary Care Medicine</t>
  </si>
  <si>
    <t>Beating the Blues : New Approaches to Overcoming Dysthymia and Chronic Mild Depression</t>
  </si>
  <si>
    <t>Suskin, Steven; Lang, Susan S.; Thase, Michael E.</t>
  </si>
  <si>
    <t>Conduct Unbecoming a Woman : Medicine on Trial in Turn-of-the-century Brooklyn</t>
  </si>
  <si>
    <t>Morantz-Sanchez, Regina</t>
  </si>
  <si>
    <t>Medicine; Fiction</t>
  </si>
  <si>
    <t>Better Than Prozac : Creating the Next Generation of Psychiatric Drugs</t>
  </si>
  <si>
    <t>Barondes, Samuel H.</t>
  </si>
  <si>
    <t>Responsible Conduct of Research</t>
  </si>
  <si>
    <t>Shamoo, Adil E.; Resnik, David B.</t>
  </si>
  <si>
    <t>How Much Risk? : A Guide to Understanding Environmental Health Hazards</t>
  </si>
  <si>
    <t>Goldstein, Inge F.; Goldstein, Martin</t>
  </si>
  <si>
    <t>Nature Cures : The History of Alternative Medicine in America</t>
  </si>
  <si>
    <t>McClatchie, Stephen; Whorton, James C.</t>
  </si>
  <si>
    <t>Polio : An American Story</t>
  </si>
  <si>
    <t>Oshinsky, David</t>
  </si>
  <si>
    <t>All About Osteoarthritis : The Definitive Resource for Arthritis Patients and Their Families</t>
  </si>
  <si>
    <t>Lane, Nancy E.; Wallace, Daniel J.</t>
  </si>
  <si>
    <t>Poisoned Weed : Plants Toxic to Skin</t>
  </si>
  <si>
    <t>Crosby, Donald G.</t>
  </si>
  <si>
    <t>Merciful End : The Euthanasia Movement in Modern America</t>
  </si>
  <si>
    <t>Dowbiggin, Ian R.</t>
  </si>
  <si>
    <t>It's Not Just Growing Pains : A Guide to Childhood Muscle, Bone and Joint Pain, Rheumatic Diseases and the Latest Treatments</t>
  </si>
  <si>
    <t>Lehman, Thomas J. A.</t>
  </si>
  <si>
    <t>No One Was Turned Away : The Role of Public Hospitals in New York City Since 1900</t>
  </si>
  <si>
    <t>Opdycke, Sandra</t>
  </si>
  <si>
    <t>Psychotherapist's Own Psychotherapy : Patient and Clinician Perspectives</t>
  </si>
  <si>
    <t>Geller, Jesse D.; Norcross, John C.; Orlinsky, David E.</t>
  </si>
  <si>
    <t>Mind-Altering Drugs : The Science of Subjective Experience</t>
  </si>
  <si>
    <t>Earleywine, Mitch</t>
  </si>
  <si>
    <t>Managed Care Services : Policy, Programs and Research</t>
  </si>
  <si>
    <t>Veeder, Nancy; Peebles-Wilkins, Wilma; Callahan, James J.</t>
  </si>
  <si>
    <t>Zahrzewski; Zakrzewski, Sigmund F.</t>
  </si>
  <si>
    <t>Handbook of Community-Based Clinical Practice</t>
  </si>
  <si>
    <t>Lightburn, Anita; Sessions, Phebe</t>
  </si>
  <si>
    <t>Psychologists' Desk Reference</t>
  </si>
  <si>
    <t>Koocher, Gerald P.; Norcross, John C.; Hill, Sam S.</t>
  </si>
  <si>
    <t>Handbook of Psychotherapy Integration</t>
  </si>
  <si>
    <t>Norcross, John C.; Goldfried, Marvin R.</t>
  </si>
  <si>
    <t>Excitatory Amino Acid Transmission in Health and Disease</t>
  </si>
  <si>
    <t>Cotman, Carl W.; Bridges, Richard J.; Cotman, Carl W.; Bridges, Richard J.; Cotman, Cherlyn A.</t>
  </si>
  <si>
    <t>An Illustrated Chinese Materia Medica</t>
  </si>
  <si>
    <t>Wiebe, Phillip H.</t>
  </si>
  <si>
    <t>Cells, Aging, and Human Disease</t>
  </si>
  <si>
    <t>Fossel, Michael; Fossel, Michael B.</t>
  </si>
  <si>
    <t>Endocrine Disruption : Biological Bases for Health Effects in Wildlife and Humans</t>
  </si>
  <si>
    <t>Norris, David O.; Carr, James A.</t>
  </si>
  <si>
    <t>Science: Biology/Natural History; Social Science; Health; Science</t>
  </si>
  <si>
    <t>Tissue Engineering : Engineering Principles for the Design of Replacement Organs and Tissues</t>
  </si>
  <si>
    <t>Clinical Pathways in Neuro-Ophthalmology : An Evidence-Based Approach</t>
  </si>
  <si>
    <t>Lee, Andrew G.; Brazis, Paul W.</t>
  </si>
  <si>
    <t>MasterCases in Hand and Wrist Surgery : Hand and Wrist Surgery</t>
  </si>
  <si>
    <t>Plancher, Kevin D.; Luke, Timothy; Plancher, Kevin</t>
  </si>
  <si>
    <t>Key Techniques in Orthopaedic Surgery</t>
  </si>
  <si>
    <t>Stern, Steven H.</t>
  </si>
  <si>
    <t>Ocular Trauma : Principles and Practice</t>
  </si>
  <si>
    <t>Kuhn, Ferenc; Pieramici, Dante J.</t>
  </si>
  <si>
    <t>Endometriosis - A Practical Guide : Ein Wegweiser für die Praxis</t>
  </si>
  <si>
    <t>De Gruyter, Inc.</t>
  </si>
  <si>
    <t>Ebert, Andreas</t>
  </si>
  <si>
    <t>Hippocrates in Context : Papers Read at the XIth International Hippocrates Colloquium  (University of Newcastle upon Tyne, 27-31 August 2002)</t>
  </si>
  <si>
    <t>van der Eijk, Philip J.</t>
  </si>
  <si>
    <t>Hippocrates On Ancient Medicine : Translated with Introduction and Commentary</t>
  </si>
  <si>
    <t>Schiefsky, Mark J.</t>
  </si>
  <si>
    <t>Jean Fernel's On the Hidden Causes of Things : Forms, Souls, and Occult Diseases in Renaissance Medicine</t>
  </si>
  <si>
    <t>Forrester, John M.; Henry, Jon</t>
  </si>
  <si>
    <t>Pilgrims in Medicine - Conscience, Legalism and Human Rights : An Allegory of Medical Humanities, Foundational Virtues, Ethical Principles, Law and Human Rights in Medical Personal and Professional Development</t>
  </si>
  <si>
    <t>Faunce, Thomas Alured</t>
  </si>
  <si>
    <t>Alzheimer's Disease : A Century of Scientific and Clinical Research</t>
  </si>
  <si>
    <t>Perry, G.; Avila, J.; Kinoshita, J.</t>
  </si>
  <si>
    <t>Remote Cardiology Consultations Using Advanced Medical Technology : Applications for NATO Operations</t>
  </si>
  <si>
    <t>Klapan, I.; Poropatich, R.</t>
  </si>
  <si>
    <t>Fat Politics : The Real Story Behind America's Obesity Epidemic</t>
  </si>
  <si>
    <t>Nichols, Shaun</t>
  </si>
  <si>
    <t>Healthy, Wealthy, and Fair : Health Care and the Good Society</t>
  </si>
  <si>
    <t>Jacobsen, Douglas; Jacobsen, Rhonda Hustedt; Jacobs, Lawrence R.; Morone, James A.</t>
  </si>
  <si>
    <t>Norcross, John C.; Goldfried, Marvin R.; Norcross, John C.</t>
  </si>
  <si>
    <t>Phobic and Anxiety Disorders in Children and Adolescents : A Clinician's Guide to Effective Psychosocial and Pharmacological Interventions</t>
  </si>
  <si>
    <t>Glancy, Jennifer A.; March, John S.; Ollendick, Thomas H.</t>
  </si>
  <si>
    <t>Qualitative Research for Tobacco Control : A How-to Introductory Manual for Researchers and Development Practitioners</t>
  </si>
  <si>
    <t>Mathie, Alison; Carnozzi, Anne</t>
  </si>
  <si>
    <t>One Nation, Uninsured : Why the U. S. Has No National Health Insurance</t>
  </si>
  <si>
    <t>Appiah, Kwame Anthony</t>
  </si>
  <si>
    <t>Fibromyalgia : An Essential Guide for Patients and Their Families</t>
  </si>
  <si>
    <t>Wallace, Daniel J.; Wallace, J. B.</t>
  </si>
  <si>
    <t>Harvey Cushing : A Life in Surgery</t>
  </si>
  <si>
    <t>Bhatt, Ela R.; Bliss, Michael</t>
  </si>
  <si>
    <t>Healing in the History of Christianity</t>
  </si>
  <si>
    <t>Kimbel, William H.; Rak, Yoel</t>
  </si>
  <si>
    <t>Religion</t>
  </si>
  <si>
    <t>Identifying and Understanding the Narcissistic Personality</t>
  </si>
  <si>
    <t>Ronningstam, Elsa F.</t>
  </si>
  <si>
    <t>Behavioral Neurology</t>
  </si>
  <si>
    <t>Pincus, Jonathan H.; Tucker, Gary J.</t>
  </si>
  <si>
    <t>Rethinking Risk Assessment : The MacArthur Study of Mental Disorder and Violence</t>
  </si>
  <si>
    <t>Monahan, John; Appelbaum, Paul S.; Banks, Steven; Robbins, Pamela Clark; Grisso, Thomas; Mulvey, Edward P.; Roth, Loren H.; Silver, Eric; Steadman, Henry J.</t>
  </si>
  <si>
    <t>Community Interventions and AIDS : Targeting the Community Context</t>
  </si>
  <si>
    <t>Russell, Jeffrey Burton; Pequegnat, Willo; Trickett, Edison J.</t>
  </si>
  <si>
    <t>Matter of Mind : A Neurologist's Vie</t>
  </si>
  <si>
    <t>Heilman, Kenneth M.</t>
  </si>
  <si>
    <t>Clinical Assessment and Diagnosis in Social Work Practice</t>
  </si>
  <si>
    <t>Corcoran, Jacqueline; Walsh, Joseph</t>
  </si>
  <si>
    <t>Expanding the Boundaries of Health and Social Science : Case Studies in Interdisciplinary Innovation</t>
  </si>
  <si>
    <t>Seters, John Van; Anderson, Norman; Kessel, Frank; Rosenfield, Patricia</t>
  </si>
  <si>
    <t>Psychotherapy Relationships That Work : Therapist Contributions and Responsiveness to Patients</t>
  </si>
  <si>
    <t>Norcross, John C.</t>
  </si>
  <si>
    <t>Reinventing Depression : A History of the Treatment of Depression in Primary Care, 1940-2004</t>
  </si>
  <si>
    <t>Callahan, Christopher M.; Berrios, German E.</t>
  </si>
  <si>
    <t>Parent Management Training : Treatment for Oppositional, Aggressive, and Antisocial Behavior in Children and Adolescents</t>
  </si>
  <si>
    <t>Brainerd, C. J.; Kazdin, Alan E.</t>
  </si>
  <si>
    <t>Anxiety Disorders in Adults : A Clinical Guide</t>
  </si>
  <si>
    <t>Starcevic, Vladan</t>
  </si>
  <si>
    <t>Electroconvulsive Therapy</t>
  </si>
  <si>
    <t>Abrams, Richard</t>
  </si>
  <si>
    <t>Exploring the History of Neuropsychology : Selected Papers</t>
  </si>
  <si>
    <t>Benton, Arthur Lester; Adams, Kenneth M.</t>
  </si>
  <si>
    <t>Nonverbal Behavior in Clinical Settings</t>
  </si>
  <si>
    <t>Philippot, Pierre; Feldman, Robert S.; Coats, Erik J.</t>
  </si>
  <si>
    <t>Mechanisms of Synaptic Transmission : Bridging the Gaps (1890-1990)</t>
  </si>
  <si>
    <t>Robinson, Joseph D.</t>
  </si>
  <si>
    <t>Religion and Healing in America</t>
  </si>
  <si>
    <t>Barnes, Linda L.; Sered, Susan Starr</t>
  </si>
  <si>
    <t>Peripheral Neurology : Case Studies</t>
  </si>
  <si>
    <t>Liveson, Jay Allan</t>
  </si>
  <si>
    <t>Comprehensive Handbook of Childhood Cancer and Sickle Cell Disease : A Biopsychosocial Approach</t>
  </si>
  <si>
    <t>Bedau, Hugo Adam; Brown, Ronald T.</t>
  </si>
  <si>
    <t>Migraine : Manifestations, Pathogenesis and Management</t>
  </si>
  <si>
    <t>Davidoff, R.A.</t>
  </si>
  <si>
    <t>Principles of Behavioral and Cognitive Neurology</t>
  </si>
  <si>
    <t>Mesulam, M. -Marsel</t>
  </si>
  <si>
    <t>Wolff's Headache and Other Head Pain</t>
  </si>
  <si>
    <t>Wolff, Harold G.; Lipton, Richard B.; Dalessio, Donald J.</t>
  </si>
  <si>
    <t>Principles of Frontal Lobe Function</t>
  </si>
  <si>
    <t>Stuss, Donald T.; Knight, Robert T.</t>
  </si>
  <si>
    <t>Clinical Neurophysiology</t>
  </si>
  <si>
    <t>Daube, Jasper R.</t>
  </si>
  <si>
    <t>Human Brain Anatomy in Computerized Images</t>
  </si>
  <si>
    <t>Damasio, Hanna</t>
  </si>
  <si>
    <t>Pediatric Psychopharmacology : Principles and Practice</t>
  </si>
  <si>
    <t>Martin, Andres; Scahill, Lawrence; Charney, Dennis S.</t>
  </si>
  <si>
    <t>Neurobiology of Mental Illness</t>
  </si>
  <si>
    <t>Nestler, Eric J.; Nestler, Eric J.</t>
  </si>
  <si>
    <t>A Pharmacology Primer : Theory, Applications, and Methods</t>
  </si>
  <si>
    <t>Kenakin, Terry</t>
  </si>
  <si>
    <t>Appetite and Body Weight : Integrative Systems and the Development of Anti-Obesity Drugs</t>
  </si>
  <si>
    <t>Kirkham, Tim; Cooper, Steven J.; Cooper, Steven J</t>
  </si>
  <si>
    <t>Hospital Preparation for Bioterror : A Medical and Biomedical Systems Approach</t>
  </si>
  <si>
    <t>McIsaac, Joseph H.; McIsaac, Joseph H , III</t>
  </si>
  <si>
    <t>Platelets</t>
  </si>
  <si>
    <t>Michelson, Alan D.; Michelson, Alan D.</t>
  </si>
  <si>
    <t>Principles of Clinical Pharmacology</t>
  </si>
  <si>
    <t>Atkinson, Arthur J., Jr.; Daniels, Charles E.; Dedrick, Robert; Markey, Sanford P.; Markey, Sanford P.; Dedrick, Robert; Markey, Sanford P</t>
  </si>
  <si>
    <t>Psychiatric Rehabilitation</t>
  </si>
  <si>
    <t>Pratt, Carlos W.; Gill, Kenneth J.; Barrett, Nora M.; Roberts, Melissa M.</t>
  </si>
  <si>
    <t>Research Funding in Neuroscience : A Profile of the Mcknight Endowment Fund</t>
  </si>
  <si>
    <t>Strobel, Gabrielle; Lindman, Sylvia</t>
  </si>
  <si>
    <t>Respiratory Syncytial Virus</t>
  </si>
  <si>
    <t>Cane, Patricia; Cane, Patricia</t>
  </si>
  <si>
    <t>Science: Biology/Natural History; Medicine; Science</t>
  </si>
  <si>
    <t>Statistical Parametric Mapping : The Analysis of Functional Brain Images</t>
  </si>
  <si>
    <t>Friston, Karl J.; Ashburner, John T.; Kiebel, Stefan J.; Nichols, Thomas E.; Penny, William D.; Nichols, Thomas E</t>
  </si>
  <si>
    <t>Target Validation in Drug Discovery</t>
  </si>
  <si>
    <t>Metcalf, Brian W.; Dillon, Susan; Dillon, Susan</t>
  </si>
  <si>
    <t>Toxic Legacy : Synthetic Toxins in the Food, Water and Air of American Cities</t>
  </si>
  <si>
    <t>Sullivan, Patrick; Clark, James J. J.; Agardy, Franklin J.; Rosenfeld, Paul E.</t>
  </si>
  <si>
    <t>Healthcare Facilities Management</t>
  </si>
  <si>
    <t>Emerald Group</t>
  </si>
  <si>
    <t>Healthcare in the Electronic Age</t>
  </si>
  <si>
    <t>Stress Management</t>
  </si>
  <si>
    <t>Type 1 Diabetes in children, adolescents and young adults</t>
  </si>
  <si>
    <t>Hanas, Ragnar</t>
  </si>
  <si>
    <t>Autism, Art and Children : The Stories We Draw</t>
  </si>
  <si>
    <t>Kellman, Julia</t>
  </si>
  <si>
    <t>The MCAT Biology Book : with Verbal Reasoning</t>
  </si>
  <si>
    <t>Nova Press</t>
  </si>
  <si>
    <t>Morvillo, Nancy; Schmidt, Matthew</t>
  </si>
  <si>
    <t>Clinical Decision Support : The Road Ahead</t>
  </si>
  <si>
    <t>Greenes, Robert A.</t>
  </si>
  <si>
    <t>Drugs and the Future : Brain Science, Addiction and Society</t>
  </si>
  <si>
    <t>Nutt, David J.; Robbins, Trevor W.; Stimson, Gerald V.; Ince, Martin; Jackson, Andrew</t>
  </si>
  <si>
    <t>Signal Processing for Neuroscientists : Introduction to the Analysis of Physiological Signals</t>
  </si>
  <si>
    <t>Drongelen, Wim van; Drongelen, Wim van</t>
  </si>
  <si>
    <t>Handbook of Exposure Therapies</t>
  </si>
  <si>
    <t>Richard, David C. S.; Lauterbach, Dean; Richard, David C S</t>
  </si>
  <si>
    <t>Rubella Viruses</t>
  </si>
  <si>
    <t>Banatvala, Jangu; Peckham, Catherine</t>
  </si>
  <si>
    <t>Emerging Viruses in Human Populations</t>
  </si>
  <si>
    <t>Tabor, Edward</t>
  </si>
  <si>
    <t>Outcome Prediction in Cancer</t>
  </si>
  <si>
    <t>Taktak, Azzam F. G.; Fisher, Anthony C.; Taktak, Azzam F G</t>
  </si>
  <si>
    <t>Atlas of Heart Disease and Stroke</t>
  </si>
  <si>
    <t>World Health Organization</t>
  </si>
  <si>
    <t>Mackay, Judith; Mensah, George</t>
  </si>
  <si>
    <t>Adherence to Long-term Therapies : Evidence for Action</t>
  </si>
  <si>
    <t>Mental Health Policy, Plans and Programmes : Mental Health Policy and Service Guidance Package</t>
  </si>
  <si>
    <t>Health; Political Science; Social Science</t>
  </si>
  <si>
    <t>Key Policy Issues in Long Term Care</t>
  </si>
  <si>
    <t>Brodsky, J; Hirschfeld, M; Habib, J</t>
  </si>
  <si>
    <t>TB/HIV : A Clinical Manual</t>
  </si>
  <si>
    <t>Harries, Anthony D.; Maher, Dermot; Graham, Stephen M.</t>
  </si>
  <si>
    <t>Effective Drug Regulation : A Multicountry Study</t>
  </si>
  <si>
    <t>Ratanawijitrasin, S.; Wondemagegnebu, E.</t>
  </si>
  <si>
    <t>Medicine; Health; Pharmacy; Social Science</t>
  </si>
  <si>
    <t>Evaluation of Certain Mycotoxins in Food, No. 906 : Technical Report Series, No 906</t>
  </si>
  <si>
    <t>Fifty-sixth Report of the Joint FAO/WHO Committee on Food Additives</t>
  </si>
  <si>
    <t>Engineering; Social Science; Health; Engineering: Chemical</t>
  </si>
  <si>
    <t>Mental Health Financing : Mental Health Policy and Service Guidance Package</t>
  </si>
  <si>
    <t>Keep Fit for Life : Meeting the Nutritional Needs of Older Persons</t>
  </si>
  <si>
    <t>European Health Report 2002 : WHO Regional Publications. European Series No 97</t>
  </si>
  <si>
    <t>World Health Organization Regional Office for Europe</t>
  </si>
  <si>
    <t>Policy Tools for Allocative Efficiency of Health Services</t>
  </si>
  <si>
    <t>Liu, X.</t>
  </si>
  <si>
    <t>Health Systems Confront Poverty : Public Health Case Studies, No. 1</t>
  </si>
  <si>
    <t>Turner, S.; Ziglio, E.; Barbosa, R.; Ziglio, Erio</t>
  </si>
  <si>
    <t>Healthy Villages : A Guide for Communities and Community Health Workers</t>
  </si>
  <si>
    <t>Howard, G.; etc., ; World Health Organization, ; World Health Organization,</t>
  </si>
  <si>
    <t>Preventing Disease through Healthy Environments : Towards an Estimate of the Environmental Burden of Disease</t>
  </si>
  <si>
    <t>Prüss-Ustün, Annette; Corvalán, C.</t>
  </si>
  <si>
    <t>How to Develop and Implement a National Drug Policy</t>
  </si>
  <si>
    <t>Safe Abortion : Technical and Policy Guidance for Health Systems</t>
  </si>
  <si>
    <t>Macroeconomics and Health - Investing in Health for Economic Development : Report of the Commission on Macroeconomics and Health</t>
  </si>
  <si>
    <t>Innovative Care for Chronic Conditions - Building Blocks for Action : Global Report</t>
  </si>
  <si>
    <t>Local Environmental Health Planning - Guidance for Local and National Authorities : WHO Regional Publications. European Series No 95</t>
  </si>
  <si>
    <t>MacArthur, Ian</t>
  </si>
  <si>
    <t>Surgical Care at the District Hospital</t>
  </si>
  <si>
    <t>Advocacy for Mental Health : Mental Health Policy and Service Guidance Package</t>
  </si>
  <si>
    <t>Mental Health Legislation and Human Rights : Mental Health Policy and Service Guidance Package</t>
  </si>
  <si>
    <t>Orqanization of Services for Mental Health : Mental Health Policy and Service Guidance Package</t>
  </si>
  <si>
    <t>Guide to Producing National Health Accounts : With Special Applications for Low-income and Middle-income Countries</t>
  </si>
  <si>
    <t>Health; Social Science; Business/Management</t>
  </si>
  <si>
    <t>Neuroscience of Psychoactive Substance Use and Dependence</t>
  </si>
  <si>
    <t>National Cancer Control Programmes : Policies and Managerial Guidelines</t>
  </si>
  <si>
    <t>Prevention and Management of Osteoporosis : Report of a WHO Scientific Group</t>
  </si>
  <si>
    <t>Atlas Psychiatric Education and Training across the World 2005 : Psychiatric Education and Training Across the World 2005</t>
  </si>
  <si>
    <t>World Psychiatric Association; World Psychiatric Association</t>
  </si>
  <si>
    <t>Quality Improvement for Mental Health : Mental Health Policy and Service Guidance Package</t>
  </si>
  <si>
    <t>Making Choices in Health - WHO Guide to Cost Effectiveness Analysis : WHO Guide to Cost-Effectiveness Analysis</t>
  </si>
  <si>
    <t>Baltussen, Rob; M. Adam, Taghreed; Tan-Torres Edejer, Tessa; Evans, D. ; Hutubessy, R. ; Murray, Christopher J. L. ; Tan Torres, T.</t>
  </si>
  <si>
    <t>Social Science; Health; Business/Management; Economics</t>
  </si>
  <si>
    <t>Guidelines for the Inpatient Treatment of Severely Malnourished Children</t>
  </si>
  <si>
    <t>Ashworth, Ann; Khanum, S.; Jackson, A.</t>
  </si>
  <si>
    <t>Kangaroo Mother Care : A Practical Guide</t>
  </si>
  <si>
    <t>International travel and health 2005 : situation as on 1 January 2005</t>
  </si>
  <si>
    <t>health of the people : the African regional health report</t>
  </si>
  <si>
    <t>Integrated Management of Cardiovascular Risk : Report of a WHO Meeting</t>
  </si>
  <si>
    <t>Vitamin and Mineral Requirements in Human Nutrition : Report of a Joint FAO/WHO Expert Consultation</t>
  </si>
  <si>
    <t>Terrorist Threats to Food : Guidance for Establishing and Strengthening Prevention and Response Systems</t>
  </si>
  <si>
    <t>Planning and Budgeting to Deliver Services for Mental Health : Mental Health Policy and Service Guidance Package</t>
  </si>
  <si>
    <t>Public Health - Innovation and Intellectual Property Rights : Report of the Commission on Intellectual Property Rights, Innovation and Public Health</t>
  </si>
  <si>
    <t>World Report on Knowledge for Better Health : strengthening health systems</t>
  </si>
  <si>
    <t>Acupuncture : Review and Analysis of Reports on Controlled Clinical Trial</t>
  </si>
  <si>
    <t>WHO-CVD Risk Management Package for Low- and Medium-Resource Settings</t>
  </si>
  <si>
    <t>WHO Model Formulary</t>
  </si>
  <si>
    <t>World Health Organization; Mehta, Dinesh K</t>
  </si>
  <si>
    <t>Atlas - country resources for neurological disorders 2004 : results of a collaborative study of the World Health Organization and the World Federation of Neurology</t>
  </si>
  <si>
    <t>Cancer Control : Planning</t>
  </si>
  <si>
    <t>World Health Report 2002 : World Health Report : Reducing Risks to Health Noncommunicable Diseases</t>
  </si>
  <si>
    <t>World Health Report 2003 : A Vision for Global Health. Shaping the Future</t>
  </si>
  <si>
    <t>Helminth Control in School-Age Children : A Guide for Managers of Control Programmes</t>
  </si>
  <si>
    <t>Savioli, L.; Montresor, A.; Crompton, D.W.T ; Gyorkos, T.W.</t>
  </si>
  <si>
    <t>Reproductive Health Indicators : Guidelines for their Generation, Interpretation and Analysis for Global Monitoring</t>
  </si>
  <si>
    <t>Avoiding heart attacks and strokes : don't be a victim - protect yourself</t>
  </si>
  <si>
    <t>Communicable disease control in emergencies : a field manual</t>
  </si>
  <si>
    <t>Connolly, Maire A</t>
  </si>
  <si>
    <t>Malaria Control in Complex Emergencies : an inter-agency field handbook</t>
  </si>
  <si>
    <t>Mental Health Context : Mental Health Policy and Service Guidance Package</t>
  </si>
  <si>
    <t>Global Tuberculosis Control - Surveillance, Planning, Financing, 2004 : WHO report 2004</t>
  </si>
  <si>
    <t>State of the World's Vaccines and Immunization, 2003</t>
  </si>
  <si>
    <t>Davey, Sheila; Geyer, Mick</t>
  </si>
  <si>
    <t>Basic Laboratory Procedures in Clinical Bacteriology</t>
  </si>
  <si>
    <t>Vandepitte, Jozef; Engbaek, Kraesten; Piot, Peter; Rohner, P. ; Vandepitte, J. ; Heuck, C C</t>
  </si>
  <si>
    <t>Improving access and use of psychotropic medicines : Mental Health Policy and Service Guidance Package</t>
  </si>
  <si>
    <t>Guidelines for the Management of Sexually Transmitted Infections</t>
  </si>
  <si>
    <t>Pocket book of hospital care for children : guidelines for the management of common illnesses with limited resources</t>
  </si>
  <si>
    <t>Blood Cold Chain : Guide to the Selection and Procurement of Equipment and Accessories</t>
  </si>
  <si>
    <t>World Health Organization; World Health Organization, ; UNAIDS,</t>
  </si>
  <si>
    <t>Building Blocks for Tobacco Control - A Handbook : Tools for Advancing Tobacco Control in the 21st Century</t>
  </si>
  <si>
    <t>WHO Tobacco Free Initiative; David, Annette</t>
  </si>
  <si>
    <t>Cervical Cancer Screening in developing countries : report of a WHO consultation</t>
  </si>
  <si>
    <t>WTO Agreements and Public Health : A Joint Study by the WHO and the WTO Secretariat</t>
  </si>
  <si>
    <t>Koivisto, Tellervo; etc.,</t>
  </si>
  <si>
    <t>Business/Management; Health; Social Science</t>
  </si>
  <si>
    <t>Diet, Nutrition and the Prevention of Chronic Diseases : Report of a Joint WHO/FAO Expert Consultation</t>
  </si>
  <si>
    <t>Medicine; Health; Pharmacy</t>
  </si>
  <si>
    <t>Control of Chagas Disease : Technical Report Series, No 905</t>
  </si>
  <si>
    <t>WHO Expert Committee</t>
  </si>
  <si>
    <t>WHO Expert Committee on Specifications for Pharmaceutical Preparations : Fortieth Report</t>
  </si>
  <si>
    <t>Selection and Use of Essential Medicines : Technical Report Series, No 914</t>
  </si>
  <si>
    <t>Social Science; Medicine; Health; Pharmacy</t>
  </si>
  <si>
    <t>Neonatal and Perinatal Mortality</t>
  </si>
  <si>
    <t>Ecosystems and Human Well-being - Health Synthesis : a report of the Millennium Ecosystem Assessment</t>
  </si>
  <si>
    <t>Hales, Simon; McMichael, Anthony J.; Butler, Colin</t>
  </si>
  <si>
    <t>Global Tuberculosis Control - Surveillance, Planning, Financing, 2006 : WHO report 2006</t>
  </si>
  <si>
    <t>World Health Organization. Global Partnership to Roll Back Malaria.</t>
  </si>
  <si>
    <t>Atlas of Health in Europe</t>
  </si>
  <si>
    <t>World Health Organization; World Health Organization,; Who Regional Office for Europe,; Who Regional Office for Europe,</t>
  </si>
  <si>
    <t>Health Systems Performance Assessment : Debates, Methods and Empiricism</t>
  </si>
  <si>
    <t>Murray, C.J.L.</t>
  </si>
  <si>
    <t>Health and the Millennium Development Goals</t>
  </si>
  <si>
    <t>25 questions and answers on health and human rights : Health and Human Rights Publication Series no. 1</t>
  </si>
  <si>
    <t>Burden of Musculoskeletal Diseases at the Start of the Millennium : Technical Report Series Report of a WHO Scientific Report</t>
  </si>
  <si>
    <t>World Report on Violence and Health</t>
  </si>
  <si>
    <t>World Health Organization; Dahlberg, Linda L.; Mercy, James A.; World Health Organization,</t>
  </si>
  <si>
    <t>WHO Monographs on Selected Medicinal Plants, Volume 2</t>
  </si>
  <si>
    <t>Global Strategy for Infant and Young Child Feeding</t>
  </si>
  <si>
    <t>World Health Organization. UNICEF.; World Health Organization, ; UNAIDS, ; World Health Organization,</t>
  </si>
  <si>
    <t>Summary Measures of Population Health : Concepts, Ethics, Measurement and Applications</t>
  </si>
  <si>
    <t>Murray, C.; Lopez, A.</t>
  </si>
  <si>
    <t>HIV/AIDS in Europe : moving from death sentence to chronic disease management</t>
  </si>
  <si>
    <t>Matic, Srdan; Lazarus, Jeffrey; Donoghoe, Martin</t>
  </si>
  <si>
    <t>Preventing HIV/AIDS in Young People : Evidence from Developing Countries WHO Technical Report Series, No 938</t>
  </si>
  <si>
    <t>Ross, David A.; Dick, Bruce; Ferguson, Jane; UNAIDS, ; World Health Organization,</t>
  </si>
  <si>
    <t>Inheriting the world : the atlas of children's health and the environment</t>
  </si>
  <si>
    <t>Gordon, Bruce; Rehfuess, Eva</t>
  </si>
  <si>
    <t>Guidance on the Development of Educational and Training Curricula : WHO Regional Publications, European Series No 84</t>
  </si>
  <si>
    <t>Fitzpatrick, Martin; Bonnefoy, Xavier</t>
  </si>
  <si>
    <t>Water Quality : Guidelines, Standards and Health. Assessment of Risk and Risk Management for Water-related Infectious Diseases</t>
  </si>
  <si>
    <t>Fewtrel, L.; Bartram, J.; World Health Organization, ; Bartram, Jamie</t>
  </si>
  <si>
    <t>Health; Engineering; Social Science; Environmental Studies; Engineering: Environmental</t>
  </si>
  <si>
    <t>Toman's Tuberculosis : case detection, treatment, and monitoring : questions and answers</t>
  </si>
  <si>
    <t>Toman, Kurt; Frieden, Thomas R.</t>
  </si>
  <si>
    <t>Social Determinants of Health - The Solid Facts</t>
  </si>
  <si>
    <t>Wilkinson, R.; Marmot, M.</t>
  </si>
  <si>
    <t>Transport, Environment and Health : WHO Regional Publications, European Series No 89</t>
  </si>
  <si>
    <t>Dora, C.; Phillips, M.; World Health Organization</t>
  </si>
  <si>
    <t>AIDS Epidemic Update December 2003</t>
  </si>
  <si>
    <t>UNAIDS</t>
  </si>
  <si>
    <t>Joint United Nations Programme on HIV AI</t>
  </si>
  <si>
    <t>Evaluation of Certain Food Additives and Contaminants, No. 909 : Technical Report Series, No 909</t>
  </si>
  <si>
    <t>57th Report</t>
  </si>
  <si>
    <t>Addressing Poverty in TB Control : Options for National TB Control Programmes</t>
  </si>
  <si>
    <t>Ahn, Dong Il; World Health Organization, ; UNAIDS, ; World Health Organization,</t>
  </si>
  <si>
    <t>Medical Device Regulations : Global Overview and Guiding Principles</t>
  </si>
  <si>
    <t>Cheng, Michael</t>
  </si>
  <si>
    <t>Health, Hazards and Public Debate : Lessons for Risk communication from the BSE/CJD Saga</t>
  </si>
  <si>
    <t>Dora, Carlos</t>
  </si>
  <si>
    <t>WHO Child Growth Standards - Length/Height-for-age, Weight-for-age, Weight-for-length, Weight-for-height and Body Mass Index-for age : Methods and Development</t>
  </si>
  <si>
    <t>Editor/add. author: De Onis, Mercedes</t>
  </si>
  <si>
    <t>Injury Surveillance Guidelines</t>
  </si>
  <si>
    <t>Holder, Y.</t>
  </si>
  <si>
    <t>Medicine; Business/Management</t>
  </si>
  <si>
    <t>Feeding and Nutrition of Infants and Young Children : Guidelines for the WHO European Region with Emphasis on the Former Soviet Countries</t>
  </si>
  <si>
    <t>Michaelsen, Kim Fleischer</t>
  </si>
  <si>
    <t>HIV transmission through breastfeeding : A Review of Available Evidence</t>
  </si>
  <si>
    <t>Newell, Marie-Louise</t>
  </si>
  <si>
    <t>Water Recreation and Disease : plausibility of associated infections: acute effects, sequelae and mortality</t>
  </si>
  <si>
    <t>Pond, Kathy</t>
  </si>
  <si>
    <t>AIDS Epidemic Update, December 2002</t>
  </si>
  <si>
    <t>Ancient Remedies, New Disease : Involving Traditional Healers in Increasing Access and AIDS Care and Prevention in East Africa</t>
  </si>
  <si>
    <t>HIV/AIDS Counselling, Just a Phone Call Away : Four Case Studies of Telephone Hotline/Helpline Projects</t>
  </si>
  <si>
    <t>Reaching Out, Scaling up : Eight Case Studies of Home and Community Care for and by People with HIV/AIDS</t>
  </si>
  <si>
    <t>Private Sector Responds to the Epidemic : Debswana - A Global Benchmark</t>
  </si>
  <si>
    <t>WHO Expert Committee on Biological Standardization : fifty-second report</t>
  </si>
  <si>
    <t>WHO Expert Committee on Biological Standardization</t>
  </si>
  <si>
    <t>Health; Social Science; Pharmacy; Medicine</t>
  </si>
  <si>
    <t>Research on reproductive health at WHO : pushing the frontiers of knowledge</t>
  </si>
  <si>
    <t>Science; Science: Anatomy/Physiology; Science: Biology/Natural History; Science: Zoology</t>
  </si>
  <si>
    <t>AIDS Epidemic Update 2004</t>
  </si>
  <si>
    <t>Comprehensive Cervical Cancer Control : A Guide to Essential Practice</t>
  </si>
  <si>
    <t>World Health Organization; World Health Organization, ; UNAIDS, ; World Health Organization,</t>
  </si>
  <si>
    <t>Eliminating Measles and Rubella and Preventing Congenital Rubella Infection</t>
  </si>
  <si>
    <t>Environmental Health in Emergencies and Disasters : A Practical Guide</t>
  </si>
  <si>
    <t>World Health Organization; Adams,  J.</t>
  </si>
  <si>
    <t>Evaluation of Certain Food Contaminants : Sixty-fourth Report of the Joint FAO/WHO Expert Committee on Food Additives</t>
  </si>
  <si>
    <t>Guidelines for the Treatment of Malaria</t>
  </si>
  <si>
    <t>Malaria Vector Control and Personal Protection : report of a WHO study group</t>
  </si>
  <si>
    <t>Manual on the management, maintenance and use of blood cold chain equipment : Safe blood and blood products.</t>
  </si>
  <si>
    <t>Maternal Mortality in 2000 : estimates developed by WHO, UNICEF and UNFPA</t>
  </si>
  <si>
    <t>Mental Health - Facing the Challenges, Building Solutions : report from the WHO European Ministerial Conference</t>
  </si>
  <si>
    <t>Report on the Global HIV/AIDS epidemic / UNAIDS</t>
  </si>
  <si>
    <t>Report on the Global HIV/AIDS Epidemic 2006 : A UNAIDS 10th Anniversary Special Edition</t>
  </si>
  <si>
    <t>Rheumatic fever and rheumatic heart disease : report of a WHO expert consultation, Geneva, 20 October - 1 November 2001</t>
  </si>
  <si>
    <t>SEX-RAR : The Rapid Assessment and Response Guide on Psychoactive Substance Use and Sexual Risk Behaviour</t>
  </si>
  <si>
    <t>Injury Chart Book : A Graphical Overview of the Global Burden of Injuries</t>
  </si>
  <si>
    <t>Selection and Use of Essential Medicines : Report of the WHO Expert Committee, 2003(including the 13th Model List of Essential Medicines)</t>
  </si>
  <si>
    <t>WHO Expert Committee on Biological Standardization : fifty-fourth report</t>
  </si>
  <si>
    <t>WHO Expert Committee on Specifications for Pharmaceutical Preparations, Thirty-ninth Report : 39th Report</t>
  </si>
  <si>
    <t>WHO Expert Committee on Specifications for Pharmaceutical Preparations, Thirty-seventh Report : 37th Report</t>
  </si>
  <si>
    <t>Medicine; Health; Social Science; Pharmacy</t>
  </si>
  <si>
    <t>WHO Expert Consultation on Rabies : First report</t>
  </si>
  <si>
    <t>World Health Report 2000 : Health Systems: Improving Performance</t>
  </si>
  <si>
    <t>World Health Report 2001 : Mental Health: New Understanding, New Hope</t>
  </si>
  <si>
    <t>Handbook IMCI Integrated Management of Childhood Illness</t>
  </si>
  <si>
    <t>World Health Organization. Dept. of Child and Adolescent Health and Development; World Health Organization, ; UNAIDS,</t>
  </si>
  <si>
    <t>Skinny Boy : A Young Man's Battle and Triumph Over Anorexia</t>
  </si>
  <si>
    <t>American Legacy Media</t>
  </si>
  <si>
    <t>Grahl, Gary A.</t>
  </si>
  <si>
    <t>Children and yuong people</t>
  </si>
  <si>
    <t>Insight, Emerald</t>
  </si>
  <si>
    <t>Making and sustaining a difference</t>
  </si>
  <si>
    <t>Haslam, Jonathan; Cowan, Jane; Cowan, Jane</t>
  </si>
  <si>
    <t>Sustainable Quality Services in the Healthcare Industry</t>
  </si>
  <si>
    <t>Lee, Pui-Mun; Khong, PohWah; Ghista, Dhanjoo N; Ghista, Dhanjoo N</t>
  </si>
  <si>
    <t>Forensic DNA Typing : Biology, Technology, and Genetics of STR Markers</t>
  </si>
  <si>
    <t>Butler, John M.</t>
  </si>
  <si>
    <t>Science; Social Science; Health; Science: Biology/Natural History</t>
  </si>
  <si>
    <t>Introduction to Forensic Psychology : Issues and Controversies in Crime and Justice</t>
  </si>
  <si>
    <t>Arrigo, Bruce A.; Shipley, Stacey L.</t>
  </si>
  <si>
    <t>Numerical Methods in Biomedical Engineering</t>
  </si>
  <si>
    <t>Dunn, Stanley Martin; Constantinides, Alkis; Moghe, Prabhas V.</t>
  </si>
  <si>
    <t>Principles of Molecular Virology</t>
  </si>
  <si>
    <t>Cann, Alan J.</t>
  </si>
  <si>
    <t>The Bone and Mineral Manual : A Practical Guide</t>
  </si>
  <si>
    <t>Kleerekoper, Michael; Siris, Ethel S.; McClung, Michael; McClung, Michael</t>
  </si>
  <si>
    <t>AIDS Epidemic Update, December 2006 : UNAIDS Publication</t>
  </si>
  <si>
    <t>Les Déterminants sociaux de la santé - Les Faits : Deuxième édition</t>
  </si>
  <si>
    <t>Diagnostics for Tuberculosis - Global Demand and Market Potential : Nonserial Publication</t>
  </si>
  <si>
    <t>Disease Control Priorities Related to Mental, Neurological, Developmental and Substance Abuse Disorders</t>
  </si>
  <si>
    <t>Dollars, DALYs and Decisions - Economic Aspects of the Mental Health System : Nonserial Publication</t>
  </si>
  <si>
    <t>Chilsholm, D.; Saxena, S.; Van Ommeren, M.</t>
  </si>
  <si>
    <t>Effective Media Communication during Public Health Emergencies : A WHO Handbook Nonserial Publication</t>
  </si>
  <si>
    <t>Hyer, Randall N.; Covello, V. T.</t>
  </si>
  <si>
    <t>Enterobacter Sakazakii and Salmonella in Powdered Infant Formula. : Microbiological Risk Assessment Series, No. 10 Nonserial PublicationJoint FAO/WHO Technical Meeting. Rome, Italy</t>
  </si>
  <si>
    <t>Social Science; Science: Biology/Natural History; Science</t>
  </si>
  <si>
    <t>Evaluation of certain food additives and contaminants : Sixty-first report of the Joint FAO/WHO Expert Committee on Food Additives</t>
  </si>
  <si>
    <t>Evaluation of Certain Veterinary Drug Residues in Food, No 939 : WHO Technical Report Series, No 939</t>
  </si>
  <si>
    <t>Health; Engineering; Social Science; Engineering: Chemical</t>
  </si>
  <si>
    <t>Fluoride in Drinking-water</t>
  </si>
  <si>
    <t>Fawell, J.; Bailey, K.; Chilton, J.</t>
  </si>
  <si>
    <t>Social Science; Health; Engineering; Engineering: Environmental</t>
  </si>
  <si>
    <t>Frequently Asked Clinical Questions about Medical Abortion : Conclusions of an International Consensus Conference on Medical Abortion in Early First Trimester, Bellagio, Italy</t>
  </si>
  <si>
    <t>Health and Economic Development in South-eastern Europe : EURO Nonserial Publication</t>
  </si>
  <si>
    <t>World Health Organization; Who Regional Office for Europe,; World Health Organisation,</t>
  </si>
  <si>
    <t>Health; Engineering; Engineering: General; Social Science</t>
  </si>
  <si>
    <t>Helping Ourselves - Community Responses to AIDS in Swaziland : UNAIDS Publication</t>
  </si>
  <si>
    <t>Informe sobre la salud en el mundo 2006 : Colaboremos por la salud, Publicación oficial</t>
  </si>
  <si>
    <t>Salud, Organizacion Mundial de la</t>
  </si>
  <si>
    <t>Obstetric Fistula : Guiding Principles for Clinical Management and Programme Development Documents</t>
  </si>
  <si>
    <t>Lewis, G.; De Bernis, L.</t>
  </si>
  <si>
    <t>Pesticide Residues in Food - 2004 : Evaluations 2004, Part II - Toxicological Pesticide Residues in Food, No 20</t>
  </si>
  <si>
    <t>Physical Activity and Health in Europe</t>
  </si>
  <si>
    <t>Cavill, N.; Kahlmeier, S.; Racioppi, F.</t>
  </si>
  <si>
    <t>Le Point sur l'épidémie de SIDA - Décembre 2006 : Annual Report</t>
  </si>
  <si>
    <t>ONUSIDA</t>
  </si>
  <si>
    <t>Preventive Chemotherapy in Human Helminthiasis : Coordinated Use of Anthelminthic Drugs in Control Interventions- A Manual for Health Professionals and Programme Managers</t>
  </si>
  <si>
    <t>Medicine; Language/Linguistics</t>
  </si>
  <si>
    <t>Principles of Characterizing and Applying Human Exposure Models : IPCS Harmonization Project Document, No. 3; International Programme on Chemical Safety.</t>
  </si>
  <si>
    <t>Rapport sur la santé dans le monde 2006 : Travailler ensemble pour la santé</t>
  </si>
  <si>
    <t>Reglamento sanitario internacional (2005) : Nonserial Publication</t>
  </si>
  <si>
    <t>Medicine; Law</t>
  </si>
  <si>
    <t>Situación de la epidemia de SIDA Diciembre de 2006 : Annual Report</t>
  </si>
  <si>
    <t>solid facts - promoting physical activity and active living in urban environments - the role of local governments : WHO Regional Publications, European Series No 89</t>
  </si>
  <si>
    <t>Wilkinson, R.; Tsouros, Agis</t>
  </si>
  <si>
    <t>WHO Expert Committee on Drug Dependence : Thirty-fourth Report Technical Report Series, No 942</t>
  </si>
  <si>
    <t>Medicine; Science: General; Pharmacy; Social Science</t>
  </si>
  <si>
    <t>Medicine Meets Virtual Reality 15 : Medicine Meets Virtual Reality 15</t>
  </si>
  <si>
    <t>Traditional Rating of Noise Versus Physiological Costs of Sound Exposures to the Hearing</t>
  </si>
  <si>
    <t>Strasser, H.</t>
  </si>
  <si>
    <t>Science; Science: Biology/Natural History; Environmental Studies</t>
  </si>
  <si>
    <t>Virtual ADMET Assessment in Target Selection and Maturation</t>
  </si>
  <si>
    <t>Testa, B.; Turski, L.</t>
  </si>
  <si>
    <t>Cardiovascular Benefits of Omega-3 Polyunsaturated Fatty Acids</t>
  </si>
  <si>
    <t>Maisch, B.; Oelze, R.</t>
  </si>
  <si>
    <t>Pharmacy; Medicine; Health</t>
  </si>
  <si>
    <t>Thinking about Cognition : Concepts, Targets and Therapeutics</t>
  </si>
  <si>
    <t>Kruse, C.G.; Meltzer, H.Y.; Sennef, C.</t>
  </si>
  <si>
    <t>Attachment Narrative Therapy</t>
  </si>
  <si>
    <t>McGraw-Hill Education</t>
  </si>
  <si>
    <t>Dallos, Rudi</t>
  </si>
  <si>
    <t>Comparative Health Policy in the Asia-Pacific</t>
  </si>
  <si>
    <t>Gauld, Robin</t>
  </si>
  <si>
    <t>Counselling Skills for Nurses, Midwives and Health Visitors</t>
  </si>
  <si>
    <t>Culture and Cancer Care</t>
  </si>
  <si>
    <t>Dein, Simon</t>
  </si>
  <si>
    <t>Economic evaluation</t>
  </si>
  <si>
    <t>Fox-Rushby, Julia; Cairns, John</t>
  </si>
  <si>
    <t>Economics; Business/Management; Social Science; Health</t>
  </si>
  <si>
    <t>Evidence-Based Research : Dilemmas and Debates in Health Care Inquiry</t>
  </si>
  <si>
    <t>Brown, Brian; Crawford, Paul; Hicks, Carolyn; et al.,</t>
  </si>
  <si>
    <t>Handbook of Health Research Methods : Investigation, Measurement and Analysis</t>
  </si>
  <si>
    <t>Bowling, Ann; Ebrahim, Shah</t>
  </si>
  <si>
    <t>Human Resources for Health in Europe</t>
  </si>
  <si>
    <t>Dubois, Carl-Ardy; Nolte, Ellen</t>
  </si>
  <si>
    <t>Loss, Change and Bereavement in Palliative Care</t>
  </si>
  <si>
    <t>Firth, Pam; Luff, Gill; Oliviere, David</t>
  </si>
  <si>
    <t>Managing health services</t>
  </si>
  <si>
    <t>Goodwin, Nick; Gruen, Reinhold; Iles, Valerie</t>
  </si>
  <si>
    <t>Medical Education : Developing a Curriculum for Practice</t>
  </si>
  <si>
    <t>Fish, Della; Coles, Colin</t>
  </si>
  <si>
    <t>Models of Psychopathology</t>
  </si>
  <si>
    <t>Davies, Davies &amp; Dilys; Bhugra, Dinesh</t>
  </si>
  <si>
    <t>Predicting Health Behavior</t>
  </si>
  <si>
    <t>Conner, Mark; Norman, Paul</t>
  </si>
  <si>
    <t>Purchasing to Improve Health Systems Performance</t>
  </si>
  <si>
    <t>Figueras, Josep; Robinson, Ray; Jakubowski, Elke</t>
  </si>
  <si>
    <t>Researching Psychotherapy and Counselling</t>
  </si>
  <si>
    <t>Dallos, Rudi; Vetere, Arlene</t>
  </si>
  <si>
    <t>Restructuring the Medical Profession : The Intraprofessional Relations of GPS and Hospital Consultants</t>
  </si>
  <si>
    <t>Baeza, Juan</t>
  </si>
  <si>
    <t>Rethinking Experiences of Childhood Cancer</t>
  </si>
  <si>
    <t>Dixon-Woods, Mary; Young, Bridget; Heney, David</t>
  </si>
  <si>
    <t>Risk, Communication and Health Psycology</t>
  </si>
  <si>
    <t>Berry, Dianne</t>
  </si>
  <si>
    <t>Social Theory and Applied Health Research</t>
  </si>
  <si>
    <t>Dyson, Simon; Brown, Brian</t>
  </si>
  <si>
    <t>Economics; Social Science; Health</t>
  </si>
  <si>
    <t>European Patient of the Future</t>
  </si>
  <si>
    <t>Coulter, Angela; Magee, Helen</t>
  </si>
  <si>
    <t>New Primary Care</t>
  </si>
  <si>
    <t>Dowling, Bernard; Glendinning, Caroline</t>
  </si>
  <si>
    <t>Understanding Health Services</t>
  </si>
  <si>
    <t>Black, Nick; Gruen, Reinhold</t>
  </si>
  <si>
    <t>Therapist's Guide to Evidence-Based Relapse Prevention</t>
  </si>
  <si>
    <t>Witkiewitz, Katie; Marlatt, G. Alan; Marlatt, Department of Psychology G Alan</t>
  </si>
  <si>
    <t>Viral Pathogenesis and Immunity</t>
  </si>
  <si>
    <t>Ahmed, Rafi; Nathanson, Neal</t>
  </si>
  <si>
    <t>Functional Analysis in Clinical Treatment</t>
  </si>
  <si>
    <t>Sturmey, Peter; Sturmey, Peter</t>
  </si>
  <si>
    <t>Psychiatric and Behavioural Disorders in Intellectual and Developmental Disabilities</t>
  </si>
  <si>
    <t>Bouras, Nick; Holt, Geraldine</t>
  </si>
  <si>
    <t>The Behavioral and Cognitive Neurology of Stroke</t>
  </si>
  <si>
    <t>Godefroy, Olivier; Bogousslavsky, Julien</t>
  </si>
  <si>
    <t>Core Topics in Operating Department Practice : Anaesthesia and Critical Care</t>
  </si>
  <si>
    <t>Smith, Brian; Rawling, Paul; Wicker, Paul; Jones, Chris</t>
  </si>
  <si>
    <t>Fearing Others : The Nature and Treatment of Social Phobia</t>
  </si>
  <si>
    <t>Stravynski, Ariel</t>
  </si>
  <si>
    <t>Polycystic Ovary Syndrome</t>
  </si>
  <si>
    <t>Kovacs, Gabor T.; Norman, Robert</t>
  </si>
  <si>
    <t>Neurogenic Language Disorders in Children</t>
  </si>
  <si>
    <t>Fabbro, Franco</t>
  </si>
  <si>
    <t>Molecular Diagnostics</t>
  </si>
  <si>
    <t>Patrinos, George; Ansorge, Wilhelm</t>
  </si>
  <si>
    <t>Primer on the Autonomic Nervous System</t>
  </si>
  <si>
    <t>Robertson, David; Low, Phillip A.; Polinsky, Ronald J.; Low, Phillip A; Robertson, David; Paton, Julian F R</t>
  </si>
  <si>
    <t>Development of the Nervous System</t>
  </si>
  <si>
    <t>Sanes, Dan H.; Reh, Thomas A.; Harris, William A.; Harris, William A</t>
  </si>
  <si>
    <t>Sensory Evaluation Practices</t>
  </si>
  <si>
    <t>Stone, Herbert; Sidel, Joel L.</t>
  </si>
  <si>
    <t>Basic Neurochemistry : Molecular, Cellular and Medical Aspects</t>
  </si>
  <si>
    <t>Siegel, George; Albers, R. Wayne; Brady, Scott; Price, Donald; Brady, Scott</t>
  </si>
  <si>
    <t>Integrated Food Safety and Veterinary Public Health</t>
  </si>
  <si>
    <t>CABI</t>
  </si>
  <si>
    <t>Buncic, S.</t>
  </si>
  <si>
    <t>Engineering: Chemical; Health; Engineering; Social Science</t>
  </si>
  <si>
    <t>Psychology of Food Choice : Volume 3 in the 'Frontiers in Nutritional Sciences' series</t>
  </si>
  <si>
    <t>Shepherd, R.; Raats, M.</t>
  </si>
  <si>
    <t>Toxocara : The Enigmatic Parasites</t>
  </si>
  <si>
    <t>Holland, C.V; Smith, H.V</t>
  </si>
  <si>
    <t>Glycaemic Index : A Physiological Classification of Dietary Carbohydrate</t>
  </si>
  <si>
    <t>Wolever, T.M.S.</t>
  </si>
  <si>
    <t>Health; Science; Science: Biology/Natural History</t>
  </si>
  <si>
    <t>Olive Oil and Health</t>
  </si>
  <si>
    <t>Quiles, J.L.; Ramirez-Tortosa, C.; Yaqoob, P.</t>
  </si>
  <si>
    <t>Science: Biology/Natural History; Health; Science</t>
  </si>
  <si>
    <t>Protective Effects of Tea on Human Health</t>
  </si>
  <si>
    <t>Jain, N.K.; Siddiqi, M.; Weisburger, J.</t>
  </si>
  <si>
    <t>Home Parenteral Nutrition</t>
  </si>
  <si>
    <t>Bozetti, F.; Staun, M.; van Gossum, A.</t>
  </si>
  <si>
    <t>Alternative Medicine and Rehabilitation : A Guide for Practitioners</t>
  </si>
  <si>
    <t>Springer Publishing Company</t>
  </si>
  <si>
    <t>Fast, Avital, Dr., MD; Wainapel, Stanley F., Dr., MD, MPH</t>
  </si>
  <si>
    <t>Amyotrophic Lateral Sclerosis</t>
  </si>
  <si>
    <t>Demos Medical Publishing</t>
  </si>
  <si>
    <t>Miller, Robert G.; Gelinas , Deborah; O'Connor , Patricia</t>
  </si>
  <si>
    <t>Complementary and Alternative Therapies for Epilepsy</t>
  </si>
  <si>
    <t>Devinsky, Orrin, MD; Pacia, Steven V., MD; Shachter, Steven C., MD</t>
  </si>
  <si>
    <t>Comprehensive Nursing Care in Multiple Sclerosis, 2nd Edition</t>
  </si>
  <si>
    <t>Halper, June; Holland, Nancy J.</t>
  </si>
  <si>
    <t>Dietary Supplements and Multiple Sclerosis : A Health Professional's Guide</t>
  </si>
  <si>
    <t>Allen C. Bowling,; Stewart, Thomas M.</t>
  </si>
  <si>
    <t>Dystonia</t>
  </si>
  <si>
    <t>Jankovic, Joseph, Dr., MD</t>
  </si>
  <si>
    <t>Epilepsy : Global Issues for the Practicing Neurologist</t>
  </si>
  <si>
    <t>Engel, Jerome, MD, PhD; Birbeck, Gretchen; Diop, Amadou Gallo</t>
  </si>
  <si>
    <t>Fundamentals of Neurologic Disease</t>
  </si>
  <si>
    <t>Davis, Larry E.; King , Molly K.; Schultz , Jessica L.</t>
  </si>
  <si>
    <t>Imitators of Epilepsy, 2nd Edition</t>
  </si>
  <si>
    <t>Kaplan, Peter W.; Fisher, Robert S.</t>
  </si>
  <si>
    <t>Migraine and Other Headaches</t>
  </si>
  <si>
    <t>Young, William B.; Silberstein, Stephen D.</t>
  </si>
  <si>
    <t>Multiple Sclerosis : Psychosocial and Vocational Interventions</t>
  </si>
  <si>
    <t>Bennett, Francie, Dr., MSW; Clemmons, David C., Dr., PhD; Fraser, Robert T., Dr., PhD</t>
  </si>
  <si>
    <t>Multiple Sclerosis : The History of a Disease</t>
  </si>
  <si>
    <t>Murray, T. Jock; McDonald, W. Ian</t>
  </si>
  <si>
    <t>Multiple Sclerosis : Immunology, Pathology and Pathophysiology</t>
  </si>
  <si>
    <t>Herndon, Robert M, MD</t>
  </si>
  <si>
    <t>Neurologic Disease in Women, 2nd Edition</t>
  </si>
  <si>
    <t>NINDS at 50 : Celebrating 50 Years of Brain Research</t>
  </si>
  <si>
    <t>Rowland, Lewis P., Dr., MD</t>
  </si>
  <si>
    <t>Pain Management in Rehabilitation</t>
  </si>
  <si>
    <t>Grabois, Martin, Dr., MD; Monga, Trilok, Dr., MD</t>
  </si>
  <si>
    <t>Plagues &amp; Poxes : The Impact of Human History on Epidemic Disease</t>
  </si>
  <si>
    <t>Bollet, Alfred Jay</t>
  </si>
  <si>
    <t>Spinal Cord Medicine : Principles and Practice</t>
  </si>
  <si>
    <t>Lin, Vernon; Cardenas, Diana D.; Cutter, Nancy C.</t>
  </si>
  <si>
    <t>Stroke</t>
  </si>
  <si>
    <t>Caplan, Louis R.</t>
  </si>
  <si>
    <t>Quality improvement : implications for health care professionals and managers</t>
  </si>
  <si>
    <t>Guo, Kiristinal</t>
  </si>
  <si>
    <t>Global Supply Chains Standards and the Poor : How the Globalization of Food Systems and Standards Affects Rural Development and Poverty</t>
  </si>
  <si>
    <t>Swinnen, J.F.M.</t>
  </si>
  <si>
    <t>Economic Analysis for Management and Policy</t>
  </si>
  <si>
    <t>Jan, Steven; Hanson, Kara; Kumarayanake, Lilani; Archibald, Kate</t>
  </si>
  <si>
    <t>Health; Business/Management; Social Science; Economics</t>
  </si>
  <si>
    <t>Financial Management in Health Services</t>
  </si>
  <si>
    <t>Gruen, Reinhold; Howarth, Ann</t>
  </si>
  <si>
    <t>Exact Mind : An Artist with Asperger Syndrome</t>
  </si>
  <si>
    <t>Jessica Kingsley Publishers</t>
  </si>
  <si>
    <t>Baron-Cohen, Simon; Myers, Peter; Wheelwright, Sally</t>
  </si>
  <si>
    <t>Communication Issues in Autism and Asperger Syndrome : Do We Speak the Same Language?</t>
  </si>
  <si>
    <t>Bogdashina, Olga</t>
  </si>
  <si>
    <t>Parent to Parent : Information and Inspiration for Parents Dealing with Autism and Asperger's Syndrome</t>
  </si>
  <si>
    <t>Boushéy, Ann</t>
  </si>
  <si>
    <t>A Practical Art Therapy</t>
  </si>
  <si>
    <t>Buchalter, Susan I.</t>
  </si>
  <si>
    <t>Tics and Tourette Syndrome : A Handbook for Parents and Professionals</t>
  </si>
  <si>
    <t>Chowdhury, Uttom; Heyman, Isobel</t>
  </si>
  <si>
    <t>Children with Emotional and Behavioural Difficulties and Communication Problems : There Is Always a Reason</t>
  </si>
  <si>
    <t>Cross, Melanie</t>
  </si>
  <si>
    <t>Children and Behavioural Problems : Anxiety, Aggression, Depression and Adhd - a Biopsychological Model with Guidelines for Diagnostics and Treatment</t>
  </si>
  <si>
    <t>Delfos, Martine F.</t>
  </si>
  <si>
    <t>Promoting the Emotional Well Being of Children and Adolescents and Preventing Their Mental Ill Health : A Handbook</t>
  </si>
  <si>
    <t>Vostanis, Panos; Dwivedi, Kedar Nath; Harper, Peter Brinley; Vostanis, Panos</t>
  </si>
  <si>
    <t>Deliberate Self-Harm in Adolescence</t>
  </si>
  <si>
    <t>Fox, Claudine; Hawton, Keith; Fox, Claudine</t>
  </si>
  <si>
    <t>The Feeling's Unmutual : Growing up with Asperger Syndrome (Undiagnosed)</t>
  </si>
  <si>
    <t>Hadcroft, Will</t>
  </si>
  <si>
    <t>A Toss of the Dice : Stories from a Pediatrician's Practice</t>
  </si>
  <si>
    <t>Hays, Natasha T.</t>
  </si>
  <si>
    <t>Guide to Mental Health for Families and Carers of People with Intellectual Disabilities</t>
  </si>
  <si>
    <t>Joyce, Theresa; Spiller, Mary Jane; Hardy, Steve; Holt, Geraldine; Gratsa, Anastasia; Bouras, Nick</t>
  </si>
  <si>
    <t>Dementia and Social Inclusion : Marginalised Groups and Marginalised Areas of Dementia Research, Care and Practice</t>
  </si>
  <si>
    <t>Bowes, Alison; Manthorpe, Jill; Innes, Anthea; Archibald, Carole; Murphy, Charlie</t>
  </si>
  <si>
    <t>Working Therapeutically with Women in Secure Mental Health Settings</t>
  </si>
  <si>
    <t>Jeffcote, Nikki; Watson, Tessa; Murray, Jenni</t>
  </si>
  <si>
    <t>Being Mindful, Easing Suffering : Reflections on Palliative Care</t>
  </si>
  <si>
    <t>Johns, Christopher</t>
  </si>
  <si>
    <t>Managing with Asperger Syndrome : A Practical Guide for White Collar Professionals</t>
  </si>
  <si>
    <t>Johnson, Malcolm</t>
  </si>
  <si>
    <t>Adolescent with Developmental Co-Ordination Disorder (DCD)</t>
  </si>
  <si>
    <t>Kirby, Amanda; Sugden, David</t>
  </si>
  <si>
    <t>Principles and Practice of Expressive Arts Therapy : Toward a Therapeutic Aesthetics</t>
  </si>
  <si>
    <t>Knill, Paolo J.; Levine, Ellen G.; Levine, Stephen K.</t>
  </si>
  <si>
    <t>Asperger Syndrome in Young Children : A Developmental Approach for Parents and Professionals</t>
  </si>
  <si>
    <t>Leventhal-Belfer, Laurie; Coe, Cassandra</t>
  </si>
  <si>
    <t>Different Minds : Gifted Children with Ad/Hd, Asperger Syndrome and Other Learning Deficits</t>
  </si>
  <si>
    <t>Lovecky, Deirdre V.</t>
  </si>
  <si>
    <t>Communicating Partners : 30 Years of Building Responsive Relationships with Late Talking Children Including Autism, Asperger's Syndrome (Asd), down Syndrome, and Typical Devel</t>
  </si>
  <si>
    <t>MacDonald, James D.</t>
  </si>
  <si>
    <t>Perspectives on Rehabilitation and Dementia</t>
  </si>
  <si>
    <t>Cahill, Suzanne; Clare, Linda; Gibson, Faith; Marshall, Mary</t>
  </si>
  <si>
    <t>Mental Health Services for Minority Ethnic Children and Adolescents</t>
  </si>
  <si>
    <t>Malek, Mhemooda; Joughin, Carol; Dwivedi, Kedar Nath</t>
  </si>
  <si>
    <t>Asperger Syndrome, Adolescence, and Identity : Looking Beyond the Label</t>
  </si>
  <si>
    <t>Molloy, Harvey; Vasil, Latika</t>
  </si>
  <si>
    <t>Add and Me : Forty Years in a Fog</t>
  </si>
  <si>
    <t>Patterson, Ken</t>
  </si>
  <si>
    <t>Good Practice in Adult Mental Health</t>
  </si>
  <si>
    <t>Hewitt, David; Ryan, Tony; Pritchard, Jacki</t>
  </si>
  <si>
    <t>Can You Read Me? : Creative Writing with Child and Adult Victims of Abuse</t>
  </si>
  <si>
    <t>Pritchard, Jacki; Sainsbury, Eric</t>
  </si>
  <si>
    <t>Homeschooling the Child with Asperger Syndrome : Real Help for Parents Anywhere and on Any Budget</t>
  </si>
  <si>
    <t>Pyles, Lise</t>
  </si>
  <si>
    <t>Medicine; Education</t>
  </si>
  <si>
    <t>The Child's Own Story : Life Story Work with Traumatized Children</t>
  </si>
  <si>
    <t>Rose, Richard; Philpot, Terry; Walsh, Mary</t>
  </si>
  <si>
    <t>Storytelling with Children in Crisis : Take Just One Star - How Impoverished Children Heal Through Stories</t>
  </si>
  <si>
    <t>Salans, Molly</t>
  </si>
  <si>
    <t>Creative Writing in Health and Social Care</t>
  </si>
  <si>
    <t>Sampson, Fiona; Patterson, Christina</t>
  </si>
  <si>
    <t>The Healing Flow - Artistic Expression in Therapy : Creative Arts and the Process of Healing: an Image/Word Approach Inquiry</t>
  </si>
  <si>
    <t>Schnetz, Martina; Darroch-Lozowski, V.; Wright, David</t>
  </si>
  <si>
    <t>Little Windows into Art Therapy : Small Openings for Beginning Therapists</t>
  </si>
  <si>
    <t>Schroder, Deborah</t>
  </si>
  <si>
    <t>Autism - The Eighth Colour of the Rainbow : Learn to Speak Autistic</t>
  </si>
  <si>
    <t>Stone, Florica</t>
  </si>
  <si>
    <t>Therapeutic Approaches in Work with Traumatised Children and Young People : Theory and Practice</t>
  </si>
  <si>
    <t>Tomlinson, Patrick; Heeswyk, Paul Van</t>
  </si>
  <si>
    <t>Adam's Alternative Sports Day : An Asperger Story</t>
  </si>
  <si>
    <t>Welton, Jude</t>
  </si>
  <si>
    <t>Medicine; Literature; Juvenile Literature</t>
  </si>
  <si>
    <t>The Development of Autism : A Self-Regulatory Perspective</t>
  </si>
  <si>
    <t>Whitman, Thomas L.; Whitman, Thomas L</t>
  </si>
  <si>
    <t>Everyday Heaven : Journeys Beyond the Stereotypes of Autism</t>
  </si>
  <si>
    <t>Williams, Donna</t>
  </si>
  <si>
    <t>How to Live with Autism and Asperger Syndrome : Practical Strategies for Parents and Professionals</t>
  </si>
  <si>
    <t>Williams, Chris; Brayshaw, Joanne; Young, Olive; Young, Olive</t>
  </si>
  <si>
    <t>Encouraging Appropriate Behavior for Children on the Autism Spectrum : Frequently Asked Questions</t>
  </si>
  <si>
    <t>Richman, Shira</t>
  </si>
  <si>
    <t>People with Autism Behaving Badly : Helping People with ASD Move on from Behavioral and Emotional Challenges</t>
  </si>
  <si>
    <t>Clements, John; Grant, John</t>
  </si>
  <si>
    <t>Succeeding with Autism : Hear My Voice</t>
  </si>
  <si>
    <t>Cohen, Judith H.; Grandin, Temple</t>
  </si>
  <si>
    <t>A Bolt from the Blue : Coping with Disasters and Acute Traumas</t>
  </si>
  <si>
    <t>Saari, Salli; Silver, Annira; Silver, Annira</t>
  </si>
  <si>
    <t>Transfer Boy : Perspectives on Asperger Syndrome</t>
  </si>
  <si>
    <t>Vuletic, Ljiljana; Mihail, Teodor; Ferrari, Michel</t>
  </si>
  <si>
    <t>Pre-Schoolers with Autism : An Education and Skills Training Programme for Parents - Manual for Clinicians</t>
  </si>
  <si>
    <t>Brereton, Avril; Tonge, Bruce</t>
  </si>
  <si>
    <t>Pre-Schoolers with Autism : An Education and Skills Training Programme for Parents</t>
  </si>
  <si>
    <t>Brereton, Avril V.; Tonge, Bruce J.</t>
  </si>
  <si>
    <t>Dancing with Dementia : My Story of Living Positively with Dementia</t>
  </si>
  <si>
    <t>Bryden, Christine</t>
  </si>
  <si>
    <t>The Simplicity of Dementia : A Guide for Family and Carers</t>
  </si>
  <si>
    <t>Buijssen, Huub; Buijssen, H P J</t>
  </si>
  <si>
    <t>Washing My Life Away : Surviving Obsessive-Compulsive Disorder</t>
  </si>
  <si>
    <t>Deane, Ruth</t>
  </si>
  <si>
    <t>Social Perspectives in Mental Health : Developing Social Models to Understand and Work with Mental Distress</t>
  </si>
  <si>
    <t>Beresford, Peter; Carr, Sarah; Webber, Martin; Tew, Jerry; Webber, Martin</t>
  </si>
  <si>
    <t>An Introduction to Medical Dance/Movement Therapy : Health Care in Motion</t>
  </si>
  <si>
    <t>Goodill, Sharon W.; Graham-Pole, John</t>
  </si>
  <si>
    <t>Counselling and Psychotherapy with Refugees</t>
  </si>
  <si>
    <t>Blackwell, Dick</t>
  </si>
  <si>
    <t>Mental Health Aspects of Autism and Asperger Syndrome</t>
  </si>
  <si>
    <t>Ghaziuddin, Mohammad</t>
  </si>
  <si>
    <t>Laughter and Tears : A Family's Journey to Understanding the Autism Spectrum</t>
  </si>
  <si>
    <t>Hewetson, Ann</t>
  </si>
  <si>
    <t>Brain Injury and Returning to Employment : A Guide for Practitioners</t>
  </si>
  <si>
    <t>Japp, James</t>
  </si>
  <si>
    <t>Sex, Sexuality and the Autism Spectrum</t>
  </si>
  <si>
    <t>Lawson, Wendy; Jones, Glenys</t>
  </si>
  <si>
    <t>Risk and Risk Taking in Health and Social Welfare</t>
  </si>
  <si>
    <t>Titterton, Mike</t>
  </si>
  <si>
    <t>Personal Hygiene? What's That Got to Do with Me?</t>
  </si>
  <si>
    <t>Crissey, Pat; Crissey, Noah</t>
  </si>
  <si>
    <t>My Son Fred--Living with Autism : How Could You Manage? I Couldn't, I Did It Anyway</t>
  </si>
  <si>
    <t>Deckmar, Maud; Wulkan, Ewa</t>
  </si>
  <si>
    <t>How to Understand Autism - The Easy Way</t>
  </si>
  <si>
    <t>Durig, Alexander</t>
  </si>
  <si>
    <t>Surviving Fears in Health and Social Care : The Terrors of Night and the Arrows of Day</t>
  </si>
  <si>
    <t>Smith, Martin</t>
  </si>
  <si>
    <t>Children, Youth and Adults with Asperger Syndrome : Integrating Multiple Perspectives</t>
  </si>
  <si>
    <t>Aquilla, Paula; Burke, Lillian; Dakin, Chris J.; Epstein, Trina; Schormans, Ann Fudge; Hawkins, Gail; Henault, Isabelle; Holden, Jeanette J. A.; Jansen, Peter; Stoddart, Kevin P.</t>
  </si>
  <si>
    <t>Asparagus Dreams</t>
  </si>
  <si>
    <t>Peers, Jessica; Kingsley, Jessica</t>
  </si>
  <si>
    <t>Standing on His Own Two Feet : A Diary of Dying</t>
  </si>
  <si>
    <t>Grant, Sue</t>
  </si>
  <si>
    <t>Screening for Perinatal Depression</t>
  </si>
  <si>
    <t>Henshaw, Carol; Elliott, Sandra</t>
  </si>
  <si>
    <t>Passionate Medicine : Making the Transition from Conventional Medicine to Homeopathy</t>
  </si>
  <si>
    <t>Owen, David; Shohet, Robin</t>
  </si>
  <si>
    <t>Assessing and Developing Communication and Thinking Skills in People with Autism and Communication Difficulties : A Toolkit for Parents and Professionals</t>
  </si>
  <si>
    <t>Silver, Kate; Dobson, Paul</t>
  </si>
  <si>
    <t>Self-Healing Through Visual and Verbal Art Therapy</t>
  </si>
  <si>
    <t>Simon, R. M.; Simon, David; Graham, S. A.</t>
  </si>
  <si>
    <t>Conduct Disorder and Behavioural Parent Training : Research and Practice</t>
  </si>
  <si>
    <t>Sheldon, Brian; O'Reilly, Dermot</t>
  </si>
  <si>
    <t>Depression in Later Life</t>
  </si>
  <si>
    <t>Manthorpe, Jill; Iliffe, Steve</t>
  </si>
  <si>
    <t>Reducing Stress-Related Behaviours in People with Dementia : Care-based Therapy</t>
  </si>
  <si>
    <t>Bonner, Chris</t>
  </si>
  <si>
    <t>Revealing the Hidden Social Code : Social Stories for People with Autistic Spectrum Disorders</t>
  </si>
  <si>
    <t>Howley, Marie; Arnold, Eileen; Gray, Carol</t>
  </si>
  <si>
    <t>A Safe Place for Caleb : An Interactive Book for Kids, Teens, and Adults with Issues of Attachment, Grief and Loss, or Early Trauma</t>
  </si>
  <si>
    <t>Chara, Kathleen A.; Chara, Paul J.; Berns, J. M.</t>
  </si>
  <si>
    <t>Understanding How Asperger Children and Adolescents Think and Learn : Creating Manageable Environments for as Students</t>
  </si>
  <si>
    <t>Jacobsen, Paula</t>
  </si>
  <si>
    <t>Education; Medicine</t>
  </si>
  <si>
    <t>Understanding Sensory Dysfunction : Learning, Development and Sensory Dysfunction in Autism Spectrum Disorders, ADHD, Learning Disabilities and Bipolar Disorder</t>
  </si>
  <si>
    <t>Emmons, Polly Godwin; Anderson, Liz McKendry</t>
  </si>
  <si>
    <t>Relationship Development Intervention with Young Children : Social and Emotional Development Activities for Asperger Syndrome, Autism, PDD and NLD</t>
  </si>
  <si>
    <t>Gutstein, Steven E.; Sheely, Rachelle K.</t>
  </si>
  <si>
    <t>Ageing with a Lifelong Disability : A Guide to Practice, Program and Policy Issues for Human Services Professionals</t>
  </si>
  <si>
    <t>Bigby, Christine; Grant, Gordon</t>
  </si>
  <si>
    <t>Art Therapy and AD/HD : Diagnostic and Therapeutic Approaches</t>
  </si>
  <si>
    <t>Safran, Diane Stein</t>
  </si>
  <si>
    <t>Cracked : Recovering after Traumatic Brain Injury</t>
  </si>
  <si>
    <t>Calderwood, Lynsey; McCabe, R.</t>
  </si>
  <si>
    <t>Developmental Coordination Disorder : Hints and Tips for the Activities of Daily Living</t>
  </si>
  <si>
    <t>Ball, Morven F.</t>
  </si>
  <si>
    <t>The House Next Door to Trauma : Learning from Holocaust Survivors How to Respond to Atrocity</t>
  </si>
  <si>
    <t>Hassan, Judith; Weisel, Elie</t>
  </si>
  <si>
    <t>Living and Loving with Asperger Syndrome : Family Viewpoints</t>
  </si>
  <si>
    <t>Mccabe, Estelle; McCabe, Jared; McCabe, Patrick</t>
  </si>
  <si>
    <t>Alzheimer : A Journey Together</t>
  </si>
  <si>
    <t>Caracciolo, Federica; Bartorelli, Luisa</t>
  </si>
  <si>
    <t>Asperger's Syndrome and Sexuality : From Adolescence Through Adulthood</t>
  </si>
  <si>
    <t>Henault, Isabelle; Attwood, Tony; Attwood, Tony</t>
  </si>
  <si>
    <t>Constructive Campaigning for Autism Services : The PACE Parents' Handbook</t>
  </si>
  <si>
    <t>Wason, Armorer; Pace Staff; Thomas, Su</t>
  </si>
  <si>
    <t>Creative Expressive Activities and Asperger's Syndrome : Social and Emotional Skills and Positive Life Goals for Adolescents and Young Adults</t>
  </si>
  <si>
    <t>Martinovich, Judith</t>
  </si>
  <si>
    <t>Finding You Finding Me : Using Intensive Interaction to Get in Touch with People Whose Severe Learning Disabilities Are Combined with Autistic Spectrum Disorder</t>
  </si>
  <si>
    <t>Caldwell, Phoebe</t>
  </si>
  <si>
    <t>Inner Journeying Through Art-Journaling : Learning to See and Record Your Life as a Work of Art</t>
  </si>
  <si>
    <t>Hieb, Marianne</t>
  </si>
  <si>
    <t>Rebels with a Cause : Working with Adolescents Using Action Techniques</t>
  </si>
  <si>
    <t>Cossa, Mario; Moreno, Zerka T.</t>
  </si>
  <si>
    <t>Seeing Through New Eyes : Changing the Lives of Children with Autism, Asperger Syndrome and Other Developmental Disabilities Through Vision Therapy</t>
  </si>
  <si>
    <t>Kaplan, Melvin; Edelson, Stephen M.</t>
  </si>
  <si>
    <t>Survival Strategies for People on the Autism Spectrum</t>
  </si>
  <si>
    <t>Fleisher, Marc</t>
  </si>
  <si>
    <t>Realizing the College Dream with Autism or Asperger Syndrome : A Parent's Guide to Student Success</t>
  </si>
  <si>
    <t>Palmer, Ann</t>
  </si>
  <si>
    <t>Theory of Mind and the Triad of Perspectives on Autism and Asperger Syndrome : A View from the Bridge</t>
  </si>
  <si>
    <t>Autism, Brain, and Environment</t>
  </si>
  <si>
    <t>Lathe, Richard</t>
  </si>
  <si>
    <t>Shattered Lives : Children Who Live with Courage and Dignity</t>
  </si>
  <si>
    <t>Batmanghelidjh, Camila</t>
  </si>
  <si>
    <t>Profiles of Play : Assessing and Observing Structure and Process in Play Therapy</t>
  </si>
  <si>
    <t>Chazan, Saralea E.</t>
  </si>
  <si>
    <t>Group Action : Dynamics of Groups in Therapeutic Educational and Corporate Settings</t>
  </si>
  <si>
    <t>Ringer, T. Martin; Neri, Claudio; Pines, Malcolm</t>
  </si>
  <si>
    <t>Clayworks in Art Therapy : Plying a Sacred Circle</t>
  </si>
  <si>
    <t>Henley, David</t>
  </si>
  <si>
    <t>Can't Eat, Won't Eat : Dietary Difficulties and the Autism Spectrum</t>
  </si>
  <si>
    <t>Legge, Brenda</t>
  </si>
  <si>
    <t>Students' Mental Health Needs : Problems and Responses</t>
  </si>
  <si>
    <t>Wade, Jim, Jr.; Stanley, Nicky; Manthorpe, Jill</t>
  </si>
  <si>
    <t>Asperger Marriage</t>
  </si>
  <si>
    <t>Slater-Walker, Christopher; Slater-Walker, Gisela; Attwood, Tony; Attwood, Tony</t>
  </si>
  <si>
    <t>Rehabilitation Counselling in Physical and Mental Health</t>
  </si>
  <si>
    <t>Bryant-Jefferies, Richard; Segal, Julia; Thomas, Gillian; Etherington, Kim</t>
  </si>
  <si>
    <t>Relationship Development Intervention with Children, Adolescents and Adults : Social and Emotional Development Activities for Asperger Syndrome, Autism, PDD and NDL</t>
  </si>
  <si>
    <t>Journeys Into Palliative Care : Roots and Reflections</t>
  </si>
  <si>
    <t>Bolton, Gillie; Heyse-Moore, Louis; Mason, Christina</t>
  </si>
  <si>
    <t>Printmaking As Therapy : Frameworks for Freedom</t>
  </si>
  <si>
    <t>White, Lucy Mueller</t>
  </si>
  <si>
    <t>Racism and Mental Health : Prejudice and Suffering</t>
  </si>
  <si>
    <t>Bhugra, Dinesh; McKenzie, Kwame; Bhui, Kamaldeep</t>
  </si>
  <si>
    <t>Sand, Water, Silence : The Embodiment of Spirit:Explorations in Matter and Psyche</t>
  </si>
  <si>
    <t>Markell, Mary Jane</t>
  </si>
  <si>
    <t>Dangerous Encounters - Avoiding Perilous Situations with Autism : A Streetwise Guide for All Emergency Responders, Retailers, and Parents</t>
  </si>
  <si>
    <t>Davis, Bill; Schunick, Wendy</t>
  </si>
  <si>
    <t>The Story So Far : Play Therapy Narratives</t>
  </si>
  <si>
    <t>Autism : From Research to Individualized Practice</t>
  </si>
  <si>
    <t>Gabriels, Robin L.; Hill, Dina E.; Mesibov, Gary B.</t>
  </si>
  <si>
    <t>I'm Not Naughty - I'm Autistic : Jodi's Journey</t>
  </si>
  <si>
    <t>Shaw, Jean</t>
  </si>
  <si>
    <t>Non-Verbal Learning Disabilities : Characteristics, Diagnosis, and Treatment Within an Educational Setting</t>
  </si>
  <si>
    <t>Molenaar-Klumper, Marieke</t>
  </si>
  <si>
    <t>Dreams in Group Psychotherapy : Theory and Technique</t>
  </si>
  <si>
    <t>Neri, Claudio; Friedman, Robi; Pines, Malcolm</t>
  </si>
  <si>
    <t>Exposure Anxiety--The Invisible Cage : An Exploration of Self-Protection Responses In the Autism Spectrum</t>
  </si>
  <si>
    <t>The Pits and the Pendulum : A Life with Bipolar Disorder</t>
  </si>
  <si>
    <t>Adams, Brian</t>
  </si>
  <si>
    <t>Narratives in Psychiatry</t>
  </si>
  <si>
    <t>Greenberg, Maurice; Shergill, Sukhi; Szmukler, George; Tantam, Digby</t>
  </si>
  <si>
    <t>Explorations in Dementia : Theoretical and Research Studies into the Experience of Remediable and Enduring Cognitive Losses</t>
  </si>
  <si>
    <t>Bender, Michael</t>
  </si>
  <si>
    <t>Strengthening Emotional Ties Through Parent-Child Dyad Art Therapy : Interventions with Infants and Preschoolers</t>
  </si>
  <si>
    <t>Proulx, Lucille</t>
  </si>
  <si>
    <t>Hidden Self-Harm : Narratives from Psychotherapy</t>
  </si>
  <si>
    <t>Turp, Maggie</t>
  </si>
  <si>
    <t>Demystifying the Autistic Experience : A Humanistic Introduction for Parents Caregivers and Educators</t>
  </si>
  <si>
    <t>Stillman, William</t>
  </si>
  <si>
    <t>Dragons of Autism : Autism as a Source of Wisdom</t>
  </si>
  <si>
    <t>Holland, Olga</t>
  </si>
  <si>
    <t>Gender Issues in Art Therapy</t>
  </si>
  <si>
    <t>Liebmann, Marian; Slater, Nancy; Hogan, Susan</t>
  </si>
  <si>
    <t>Expressive Body In Life, Art and Therapy : Working with Movement, Metaphor and Meaning</t>
  </si>
  <si>
    <t>Halprin, Daria; Weller, Jack E.</t>
  </si>
  <si>
    <t>A Life Well Lived : Maxwell Jones, a Memoir</t>
  </si>
  <si>
    <t>Briggs, Dennie</t>
  </si>
  <si>
    <t>Personality Disorder : Temperament or Trauma?</t>
  </si>
  <si>
    <t>Castillo, Heather</t>
  </si>
  <si>
    <t>The Social Unconscious : Selected Papers</t>
  </si>
  <si>
    <t>Hopper, Earl; Pines, Malcolm</t>
  </si>
  <si>
    <t>Living the Good Life with Autism</t>
  </si>
  <si>
    <t>Schneider, Edgar</t>
  </si>
  <si>
    <t>Relational Group Psychotherapy : From Basic Assumptions to Passion</t>
  </si>
  <si>
    <t>Billow, Richard M.; Pines, Malcolm; Pines, Malcolm</t>
  </si>
  <si>
    <t>Build Your Own Life : A Self-Help Guide for Individuals with Asperger Syndrome</t>
  </si>
  <si>
    <t>Lawson, Wendy</t>
  </si>
  <si>
    <t>Trauma, Attachment and Family Permanence : Fear Can Stop You Loving</t>
  </si>
  <si>
    <t>Burnell, Alan; Archer, Caroline; Hughes, Daniel; Burnell, Alan</t>
  </si>
  <si>
    <t>Working with People with Learning Disabilities : Theory and Practice</t>
  </si>
  <si>
    <t>Thomas, David; Woods, Honor</t>
  </si>
  <si>
    <t>Asperger Syndrome in Adolescent : Living with the Ups, the Downs and Things in Between</t>
  </si>
  <si>
    <t>Attwood, Tony; Gutstein, Steven; Shore, Stephen; Debbaudt, Dennis; Henault, Isabelle; Hyatt-Foley, DeAnn; Jackson, Jacqui; Moyes, Rebecca; Willey, Liane Holliday; Jackson, Luke</t>
  </si>
  <si>
    <t>Congratulations! It's Asperger's Syndrome</t>
  </si>
  <si>
    <t>Birch, Jen</t>
  </si>
  <si>
    <t>Aspergers in Love</t>
  </si>
  <si>
    <t>Aston, Maxine; Slater-Walker, Christopher; Slater-Walker, Gisela</t>
  </si>
  <si>
    <t>Ethical Issues in Forensic Mental Health Research</t>
  </si>
  <si>
    <t>Adshead, Gwen; Brown, Chris; Adshead, Gwen; Brown, Chris</t>
  </si>
  <si>
    <t>Snapshots of Autism : A Family Album</t>
  </si>
  <si>
    <t>Overton, Jennifer</t>
  </si>
  <si>
    <t>From Goals to Data and Back Again : Adding Backbone to Developmental Intervention for Children with Autism</t>
  </si>
  <si>
    <t>Lehman, Jill Fain; Klaw, Rebecca</t>
  </si>
  <si>
    <t>Writing My Way Through Cancer</t>
  </si>
  <si>
    <t>Schneider, Myra</t>
  </si>
  <si>
    <t>Inclusive Research with People with Learning Disabilities : Past, Present and Futures</t>
  </si>
  <si>
    <t>Walmsley, Jan; Johnson, Kelley</t>
  </si>
  <si>
    <t>Running with Walker : A Memoir</t>
  </si>
  <si>
    <t>Hughes, Robert</t>
  </si>
  <si>
    <t>Understanding Autism Spectrum Disorders : Frequently Asked Questions</t>
  </si>
  <si>
    <t>Yapko, Diane</t>
  </si>
  <si>
    <t>Boys Who Have Abused : Psychoanalytic Psychotherapy with Victim/Perpetrators of Sexual Abuse</t>
  </si>
  <si>
    <t>Woods, John; Bentovim, Arnon</t>
  </si>
  <si>
    <t>Making Sense of the Unfeasible : My Life Journey with Asperger Syndrome</t>
  </si>
  <si>
    <t>How to Help a Clumsy Child : Strategies for Young Children with Developmental Motor Concerns</t>
  </si>
  <si>
    <t>Kurtz, Lisa A.</t>
  </si>
  <si>
    <t>Calling the Shots : Childhood Vaccination - One Family's Journey</t>
  </si>
  <si>
    <t>Alexander, Mary</t>
  </si>
  <si>
    <t>Large Group Re-Visited : The Herd, Primal Horde, Crowds and Masses</t>
  </si>
  <si>
    <t>Berke, Joseph; Hopper, Earl; Lipgar, Robert; Schneider, Stanley; Weinberg, Haim; Pines, Malcolm</t>
  </si>
  <si>
    <t>Divorcing Children : Children's Experience of Their Parents' Divorce</t>
  </si>
  <si>
    <t>Butler, Ian; Douglas, Gillian; Murch, Mervyn; Robinson, Margaret G.; Scanlan, Lesley</t>
  </si>
  <si>
    <t>Parenting a Child with Asperger Syndrome : 200 Tips and Strategies</t>
  </si>
  <si>
    <t>Boyd, Brenda</t>
  </si>
  <si>
    <t>Asperger Syndrome and Adults... : Is Anyone Listening? - Essays and Poems by Spouses, Partners and Parents of Adults with Asperger Syndrome</t>
  </si>
  <si>
    <t>Rodman, Karen E.; Attwood, Tony; Attwood, Tony</t>
  </si>
  <si>
    <t>A Culture of Enquiry : Research Evidence and the Therapeutic Community</t>
  </si>
  <si>
    <t>De Leon, George; Norton, Kingsley; Rawlings, Barbara; Yates, Rowdy; Lees, Jan; Manning, Nick; Menzies, Diana; Rawlings, Barbara</t>
  </si>
  <si>
    <t>Wishing on the Midnight Star : My Asperger Brother</t>
  </si>
  <si>
    <t>Ogaz, Nancy</t>
  </si>
  <si>
    <t>Literature; Juvenile Literature</t>
  </si>
  <si>
    <t>Operative Groups : The Latin-American Approach to Group Analysis</t>
  </si>
  <si>
    <t>Tubert-Oklander, Juan; Hernandez de Tubert, Reyna; Pines, Malcolm</t>
  </si>
  <si>
    <t>Multicoloured Mayhem : Parenting the Many Shades of Adolescence, Autism, Asperger Syndrome and Ad/Hd</t>
  </si>
  <si>
    <t>Jackson, Jacqui</t>
  </si>
  <si>
    <t>Creative Therapies with Traumatised Children</t>
  </si>
  <si>
    <t>Bannister, Anne</t>
  </si>
  <si>
    <t>Third Party Assisted Conception Across Cultures : Social, Legal and Ethical Perspectives</t>
  </si>
  <si>
    <t>Chan, Cecilia; Chan Hoi Yan, Celia; Thorn, Petra; Blyth, Eric; Landau, Ruth</t>
  </si>
  <si>
    <t>Voices from the Spectrum : Parents, Grandparents, Siblings, People with Autism, and Professionals Share Their Wisdom</t>
  </si>
  <si>
    <t>Ariel, Cindy N.; Naseef, Robert A.</t>
  </si>
  <si>
    <t>Genius! : Nurturing the Spirit of the Wild, Odd, and Oppositional Child</t>
  </si>
  <si>
    <t>Lynn, George T.; Lynn, Joanne Barrie</t>
  </si>
  <si>
    <t>Coming Out Asperger : Diagnosis, Disclosure and Self-Confidence</t>
  </si>
  <si>
    <t>Attwood, Tony; Debbaudt, Dennis; Jackson, Jacqui; Lawson, Wendy; Overton, Jennifer; Shore, Stephen; Willey, Liane Holliday; Murray, Dinah</t>
  </si>
  <si>
    <t>Asperger's Syndrome and High Achievement : Some Very Remarkable People</t>
  </si>
  <si>
    <t>James, Ioan</t>
  </si>
  <si>
    <t>Understanding the Nature of Autism and Asperger's Disorder : Forty Years of Clinical Practice and Pioneering Research</t>
  </si>
  <si>
    <t>Ritvo, Edward R.; Attwood, Tony; Attwood, Tony</t>
  </si>
  <si>
    <t>Applied Behaviour Analysis and Autism : Building a Future Together</t>
  </si>
  <si>
    <t>Keenan, Michael; Dillenburger, Karola; Henderson, Mary; Kerr, Ken P.; Keenan, Mickey</t>
  </si>
  <si>
    <t>Cutting It Out : A Journey Through Psychotherapy and Self-harm</t>
  </si>
  <si>
    <t>Smith, Carolyn; Turp, Maggie</t>
  </si>
  <si>
    <t>Group Analytic Art Therapy</t>
  </si>
  <si>
    <t>McNeilly, Gerry; Pines, Malcolm</t>
  </si>
  <si>
    <t>Achieving Best Behavior for Children with Developmental Disabilities : A Step-By-Step Workbook for Parents and Carers</t>
  </si>
  <si>
    <t>Lewis, Pamela Faith</t>
  </si>
  <si>
    <t>Sambadrama : The Arena of Brazilian Psychodrama</t>
  </si>
  <si>
    <t>Figusch, Zoltan; Blatner, Adam; Figusch, Zoltán; Fonesca, Jose</t>
  </si>
  <si>
    <t>The Jumbled Jigsaw : An Insider's Approach to the Treatment of Autistic Spectrum 'Fruit Salads'</t>
  </si>
  <si>
    <t>Reaching the Vulnerable Child : Therapy with Traumatized Children</t>
  </si>
  <si>
    <t>Rymaszewska, Janie; Philpot, Terry; Walsh, Mary</t>
  </si>
  <si>
    <t>Different Like Me : My Book of Autism Heroes</t>
  </si>
  <si>
    <t>Elder, Jennifer; Thomas, Marc; Thomas, Marc</t>
  </si>
  <si>
    <t>Different Croaks for Different Folks : All about Children with Special Learning Needs</t>
  </si>
  <si>
    <t>Ochiai, Midori; Fujiwara, Hiroko; Sanders, Esther; Fujiwara, Hiroko; Sanders, Esther</t>
  </si>
  <si>
    <t>Finding a Different Kind of Normal : Misadventures with Asperger Syndrome</t>
  </si>
  <si>
    <t>Purkis, Jeannette; Williams, Donna</t>
  </si>
  <si>
    <t>Grief Unseen : Healing Pregnancy Loss Through the Arts</t>
  </si>
  <si>
    <t>Seftel, Laura; Ilse, Sherokee</t>
  </si>
  <si>
    <t>Succeeding with Interventions for Asperger Syndrome Adolescents : A Guide to Communication and Socialisation in Interaction Therapy</t>
  </si>
  <si>
    <t>Harpur, John; Lawlor, Maria; Fitzgerald, Michael</t>
  </si>
  <si>
    <t>Homespun Remedies : Strategies in the Home and Community for Children with Autism Spectrum and Other Disorders</t>
  </si>
  <si>
    <t>Betts, Dion E.; Patrick, Nancy J.</t>
  </si>
  <si>
    <t>Asylum to Action : Paddington Day Hospital, Therapeutic Communities, and Beyond</t>
  </si>
  <si>
    <t>Spandler, Helen; Haigh, Rex; Lees, Jan</t>
  </si>
  <si>
    <t>Touch and Go Joe : An Adolescent's Experiences of OCD</t>
  </si>
  <si>
    <t>Wells, Joe</t>
  </si>
  <si>
    <t>Children with Seizures : A Guide for Parents, Teachers, and Other Professionals</t>
  </si>
  <si>
    <t>Kutscher, Martin L.; Holmes, Gregory L.</t>
  </si>
  <si>
    <t>Why Do You Do That? : A Book about Tourette Syndrome for Children and Young People</t>
  </si>
  <si>
    <t>Chowdhury, Uttom; Robertson, Mary M.; Whallett, Liz</t>
  </si>
  <si>
    <t>Sexuality and Fertility Issues in Ill Health and Disability : From Early Adolescence to Adulthood</t>
  </si>
  <si>
    <t>Balen, Adam; Balen, Rachel; Crawshaw, Marilyn</t>
  </si>
  <si>
    <t>Talking about Spirituality in Health Care Practice : A Resource for the Multi-Professional Health Care Team</t>
  </si>
  <si>
    <t>White, Gillian</t>
  </si>
  <si>
    <t>Social Capital and Mental Health</t>
  </si>
  <si>
    <t>McKenzie, Kwame; Harpham, Trudy; Wilkinson, Richard</t>
  </si>
  <si>
    <t>The Truth Is Longer Than a Lie : Children's Experiences of Abuse and Professional Interventions</t>
  </si>
  <si>
    <t>Mudaly, Neerosh; Goddard, Chris</t>
  </si>
  <si>
    <t>Disorganized Children : A Guide for Parents and Professionals</t>
  </si>
  <si>
    <t>Chilvers, Rebecca; Stein, Samuel; Chowdhury, Uttom; Stein, Samuel M.; Chowdhury, Uttom</t>
  </si>
  <si>
    <t>Yoga for Children with Autism Spectrum Disorders : Parents and Caregivers</t>
  </si>
  <si>
    <t>Betts, Dion E.; Betts, Stacey W.; Goldberg, Louise</t>
  </si>
  <si>
    <t>Expressive and Creative Arts Methods for Trauma Survivors</t>
  </si>
  <si>
    <t>Carey, Lois</t>
  </si>
  <si>
    <t>Psychodrama : A Beginner's Guide</t>
  </si>
  <si>
    <t>Djuric, Zoran; Veljkovic, Jasna; Tomic, Miomir</t>
  </si>
  <si>
    <t>Baj and the Word Launcher : Space Age Asperger Adventures in Communication</t>
  </si>
  <si>
    <t>Victor, Pamela</t>
  </si>
  <si>
    <t>Medicine; Juvenile Literature</t>
  </si>
  <si>
    <t>The Madness of Our Lives : Experiences of Mental Breakdown and Recovery</t>
  </si>
  <si>
    <t>Gray, Penny; Campbell, Peter</t>
  </si>
  <si>
    <t>Visual Perception Problems in Children with AD/HD, Autism, and Other Learning Disabilities : A Guide for Parents and Professionals</t>
  </si>
  <si>
    <t>Parenting Across the Autism Spectrum : Unexpected Lessons We Have Learned</t>
  </si>
  <si>
    <t>Morrell, Maureen F.; Palmer, Ann</t>
  </si>
  <si>
    <t>Good Practice in Brain Injury Case Management</t>
  </si>
  <si>
    <t>Parker, Jackie; Price, David J.</t>
  </si>
  <si>
    <t>Dealing with Death : Practices and Procedures</t>
  </si>
  <si>
    <t>Green, Jennifer; Green, Michael</t>
  </si>
  <si>
    <t>Managing Men Who Sexually Abuse</t>
  </si>
  <si>
    <t>Briggs, David; Kennington, Roger</t>
  </si>
  <si>
    <t>Intimate and Personal Care with People with Learning Disabilities</t>
  </si>
  <si>
    <t>Hatzidimitriadou, Eleni; James, Neil; Mallett, Angela; McCarthy, Michelle; Milne, Alisoun; Shah, Robina; Wheeler, Paul; Carnaby, Steven; Cambridge, Paul</t>
  </si>
  <si>
    <t>The Importance of Food and Mealtimes in Dementia Care : The Table Is Set</t>
  </si>
  <si>
    <t>Berg, Grethe; Nygård, Aase-Marit</t>
  </si>
  <si>
    <t>The Social Play Record : A Toolkit for Assessing and Developing Social Play from Infancy to Adolescence</t>
  </si>
  <si>
    <t>White, Chris</t>
  </si>
  <si>
    <t>Social Skills Groups for Children and Adolescents with Asperger's Syndrome : A Step-By-Step Program</t>
  </si>
  <si>
    <t>Painter, Kim Kiker</t>
  </si>
  <si>
    <t>The Overweight Patient : A Psychological Approach to Understanding and Working with Obesity</t>
  </si>
  <si>
    <t>Leach, Kathy</t>
  </si>
  <si>
    <t>Video Modelling and Behaviour Analysis : A Guide for Teaching Social Skills to Children with Autism</t>
  </si>
  <si>
    <t>Nikopoulos, Christos; Keenan, Mickey; Hobbs, Sandy</t>
  </si>
  <si>
    <t>Friendships : The Aspie Way</t>
  </si>
  <si>
    <t>Lawson, Wendy; Wall, Emma</t>
  </si>
  <si>
    <t>Talking to My Mum : A Picture Workbook for Workers, Mothers and Children Affected by Domestic Abuse</t>
  </si>
  <si>
    <t>Humphreys, Cathy; Mullender, Audrey; Skamballis, Agnes; Thiara, Ravi</t>
  </si>
  <si>
    <t>An Introduction to Dyslexia for Parents and Professionals</t>
  </si>
  <si>
    <t>Hultquist, Alan M.</t>
  </si>
  <si>
    <t>By Their Own Young Hand : Deliberate Self-Harm and Suicidal Ideas in Adolescents</t>
  </si>
  <si>
    <t>Hawton, Keith; Rodham, Karen</t>
  </si>
  <si>
    <t>Making Sense of Spirituality in Nursing and Health Care Practice : An Interactive Approach</t>
  </si>
  <si>
    <t>McSherry, Wilfred; Cash, Keith</t>
  </si>
  <si>
    <t>Counselling Adult Survivors of Child Sexual Abuse : Third Edition</t>
  </si>
  <si>
    <t>Sanderson, Christiane</t>
  </si>
  <si>
    <t>Talking about Domestic Abuse : A Photo Activity Workbook to Develop Communication Between Mothers and Young People</t>
  </si>
  <si>
    <t>Humphreys, Cathy; Mullender, Audrey; Skamballis, Agnes; Thiara, Ravi K.</t>
  </si>
  <si>
    <t>Crystalline Lifetime : Fragments of Asperger Syndrome</t>
  </si>
  <si>
    <t>Jackson, Luke</t>
  </si>
  <si>
    <t>Dementia Care Training Manual for Staff Working in Nursing and Residential Settings</t>
  </si>
  <si>
    <t>Walsh, Danny</t>
  </si>
  <si>
    <t>The Handbook of Gestalt Play Therapy : Practical Guidelines for Child Therapists</t>
  </si>
  <si>
    <t>Blom, Rinda; Schoeman, Hannie</t>
  </si>
  <si>
    <t>That's Life with Autism : Tales and Tips for Families with Autism</t>
  </si>
  <si>
    <t>Ross, Donna Satterlee; Jolly, Kelly Ann</t>
  </si>
  <si>
    <t>Do You Understand Me? : My Life, My Thoughts, My Autism Spectrum Disorder</t>
  </si>
  <si>
    <t>Koborg Brøsen, Sofie; Koborg Brosen, Sofie</t>
  </si>
  <si>
    <t>Drawing from Within : Using Art to Treat Eating Disorders</t>
  </si>
  <si>
    <t>Hinz, Lisa D.</t>
  </si>
  <si>
    <t>Living with Dyspraxia : A Guide for Adults with Developmental Dyspraxia</t>
  </si>
  <si>
    <t>Colley, Mary; Biggs, Victoria; Kirby, Amanda</t>
  </si>
  <si>
    <t>Understanding Attachment and Attachment Disorders : Theory, Evidence and Practice</t>
  </si>
  <si>
    <t>Prior, Vivien; Glaser, Danya</t>
  </si>
  <si>
    <t>Dyslexia and Alternative Therapies</t>
  </si>
  <si>
    <t>Chivers, Maria</t>
  </si>
  <si>
    <t>Writing Works : A Resource Handbook for Therapeutic Writing Workshops and Activities</t>
  </si>
  <si>
    <t>Bolton, Gillie; Field, Victoria; Thompson, Kate; Morrison, Blake</t>
  </si>
  <si>
    <t>Asperger Syndrome and Psychotherapy : Understanding Asperger Perspectives</t>
  </si>
  <si>
    <t>Choosing Assistive Devices : A Guide for Users and Professionals</t>
  </si>
  <si>
    <t>Pain, Helen; Pain, Helen; Gore, Sally</t>
  </si>
  <si>
    <t>Traumatic Experience in the Unconscious Life of Groups : The Fourth Basic Assumption: Incohesion: Aggregation/Massification or (Ba) I: A/M</t>
  </si>
  <si>
    <t>Hopper, Earl; Billow, Richard; Kibel, Howard; Schermer, Victor; Pines, Malcolm</t>
  </si>
  <si>
    <t>The Time of the Therapeutic Communities : People, Places and Events</t>
  </si>
  <si>
    <t>Trauma, the Body and Transformation : A Narrative Inquiry</t>
  </si>
  <si>
    <t>Bolton, Gillie; Etherington, Kim</t>
  </si>
  <si>
    <t>Health, the Individual, and Integrated Medicine : Revisiting an Aesthetic of Health Care</t>
  </si>
  <si>
    <t>Aldridge, David</t>
  </si>
  <si>
    <t>Simultaneous Treatment of Parent and Child : Second Edition</t>
  </si>
  <si>
    <t>Health Care and the Autism Spectrum : A Guide for Health Professionals, Parents and Carers</t>
  </si>
  <si>
    <t>Morton-Cooper, Alison</t>
  </si>
  <si>
    <t>Complementary and Alternative Medicine for Older Adults : A Guide to Holistic Approaches to Healthy Aging</t>
  </si>
  <si>
    <t>MacKenzie, Elizabeth R.; Birgit, M.D. Rakel</t>
  </si>
  <si>
    <t>Counseling Adults in Transition : Linking Practices with Theory</t>
  </si>
  <si>
    <t>Goodman, Jane; Schlossberg, Nancy K.; Anderson, Mary L.</t>
  </si>
  <si>
    <t>Dictionary of Health Insurance and Managed Care</t>
  </si>
  <si>
    <t>Marcinko, David E.</t>
  </si>
  <si>
    <t>Evidence-based Behavioral Health Practices for Older Adults : A Guide to Implementation</t>
  </si>
  <si>
    <t>Levkoff, Sue E.; Chen, Hongtu; Fisher, Jane E.; McIntyre, John</t>
  </si>
  <si>
    <t>Geropsychological Interventions in Long-term Care</t>
  </si>
  <si>
    <t>Hyer, Lee; Intrieri, Robert C.</t>
  </si>
  <si>
    <t>Aging Network : Programs and Services</t>
  </si>
  <si>
    <t>Gelfand, Donald E.</t>
  </si>
  <si>
    <t>The Encyclopedia of Aging : Fourth Edition, 2-Volume Set</t>
  </si>
  <si>
    <t>Noelker, Linda S., PhD; Rockwood, Kenneth, MD, FRCPC; Sprott, Richard L., Ph.D.; Schulz, Richard, PhD</t>
  </si>
  <si>
    <t>Modells Essential Drugs : In Current Use and New Drugs</t>
  </si>
  <si>
    <t>Fernandez, Milagros; Calix, Lydia</t>
  </si>
  <si>
    <t>Advanced Practice Nursing : Core Concepts for Professional Role Development</t>
  </si>
  <si>
    <t>Jansen, Michaelene P.; Zwygart-Stauffacher, Mary; Jansen, Michaelene P. Mirr</t>
  </si>
  <si>
    <t>Complementary/Alternative Therapies in Nursing</t>
  </si>
  <si>
    <t>Snyder, Mariah; Lindquist, Ruth</t>
  </si>
  <si>
    <t>Conduct Disorders : A Practitioner's Guide to Comparative Treatments</t>
  </si>
  <si>
    <t>Nelson, W. M.; Finch, A.J.; Hart, K.J.</t>
  </si>
  <si>
    <t>Distance Education in Nursing, Second Edition : Second Edition</t>
  </si>
  <si>
    <t>Novotny, Jeanne M., PhD, RN, FAAN; Davis, Robert H, BSN, RN</t>
  </si>
  <si>
    <t>Encyclopedia of Nursing Research</t>
  </si>
  <si>
    <t>Fitzpatrick, Joyce J.; Wallace, Meredith</t>
  </si>
  <si>
    <t>Geriatric Nursing : Growth of a Specialty</t>
  </si>
  <si>
    <t>Ebersole, Priscilla; Touhy, Theris A.</t>
  </si>
  <si>
    <t>Nursing Excellence for Children and Families</t>
  </si>
  <si>
    <t>Craft-Rosenberg, Martha; Krajicek, Marilyn</t>
  </si>
  <si>
    <t>Nursing Theories : Conceptual and Philosophical Foundations, Second Edition</t>
  </si>
  <si>
    <t>Kim, Hesook Suzie, PhD, RN; Kollak, Ingrid, PhD, RN</t>
  </si>
  <si>
    <t>Teaching Cultural Competence in Nursing and Health Care : Inquiry, Action, and Innovation</t>
  </si>
  <si>
    <t>Jeffreys, Marianne R.</t>
  </si>
  <si>
    <t>The Role of the Preceptor : A Guide for Nurse Educators, Clinicians, and Managers, 2nd Edition</t>
  </si>
  <si>
    <t>Flynn, Jean Pieri, EdD, RN; Stack, Madonna C. C., MA, MPA, RN</t>
  </si>
  <si>
    <t>Anger-related Disorders : A Practitioner's Guide to Comparative Treatments</t>
  </si>
  <si>
    <t>Feindler, Eva L.</t>
  </si>
  <si>
    <t>Consumer Voice and Choice in Long-term Care</t>
  </si>
  <si>
    <t>Kunkel, Suzanne R.; Wellin, Valerie</t>
  </si>
  <si>
    <t>Critical Thinking for Addiction Professionals</t>
  </si>
  <si>
    <t>Taleff, Michael J.</t>
  </si>
  <si>
    <t>Healing Crisis and Trauma with Mind, Body, and Spirit</t>
  </si>
  <si>
    <t>Wainrib, Barbara Rubin</t>
  </si>
  <si>
    <t>Psychologies in Religion : Working with the Religious Client</t>
  </si>
  <si>
    <t>Dowd, E. Thomas; Nielsen, Stevan Lars</t>
  </si>
  <si>
    <t>Psychology; Religion</t>
  </si>
  <si>
    <t>Women's Group Therapy : Creative Challenges and Options</t>
  </si>
  <si>
    <t>Maass, Vera Sonja</t>
  </si>
  <si>
    <t>Psychology; Social Science</t>
  </si>
  <si>
    <t>Meals to Come : A History of the Future of Food</t>
  </si>
  <si>
    <t>Belasco, Warren</t>
  </si>
  <si>
    <t>When Bodies Remember : Experiences and Politics of Aids In South Africa</t>
  </si>
  <si>
    <t>Fassin, Didier</t>
  </si>
  <si>
    <t>Quality then, quality now : A 20 year retrospective</t>
  </si>
  <si>
    <t>Hurst, Keith; Downey Ennis, Kay</t>
  </si>
  <si>
    <t>Engineering; Social Science; Health; Engineering: General</t>
  </si>
  <si>
    <t>Dogs, Zoonoses and Public Health</t>
  </si>
  <si>
    <t>Meslin, F.X.; Wandeler, A.I.; Macpherson, C.N.L.</t>
  </si>
  <si>
    <t>Enzymes in Farm Animal Nutrition</t>
  </si>
  <si>
    <t>Bedford, M.; Partridge, G.</t>
  </si>
  <si>
    <t>Forage Evaluation in Ruminant Nutrition</t>
  </si>
  <si>
    <t>Givens, D.I.; Owen, E.; Omed, H.M.</t>
  </si>
  <si>
    <t>Modelling Nutrient Utilization in Farm Animals</t>
  </si>
  <si>
    <t>McNamara, J.P.; France, J.; Beever, D.E.</t>
  </si>
  <si>
    <t>Salmonella in Domestic Animals</t>
  </si>
  <si>
    <t>Wray, C.; Wray, A.</t>
  </si>
  <si>
    <t>Biology of Animal Stress : Basic Principles and Implications for Animal Welfare</t>
  </si>
  <si>
    <t>Moberg, G.; Mench, J.A.</t>
  </si>
  <si>
    <t>Agriculture; Science; Science: Biology/Natural History</t>
  </si>
  <si>
    <t>Encyclopedia of Farm Animal Nutrition</t>
  </si>
  <si>
    <t>Fuller, M.F.</t>
  </si>
  <si>
    <t>Genetics of the Horse</t>
  </si>
  <si>
    <t>Bowling, A.T.; Ruvinsky, A.</t>
  </si>
  <si>
    <t>Controlling Communicable Disease</t>
  </si>
  <si>
    <t>Noah, Norman D.</t>
  </si>
  <si>
    <t>Counselling Skills for Complementary Therapists</t>
  </si>
  <si>
    <t>March-Smith, Rosie</t>
  </si>
  <si>
    <t>Cultures for Performance in Health Care</t>
  </si>
  <si>
    <t>Mannion, Russell; Davies, Huw; McLeod, John</t>
  </si>
  <si>
    <t>Health Policy and European Union Enlargement</t>
  </si>
  <si>
    <t>Mckee, Martin; MacLehose, Laura; Nolte, Ellen</t>
  </si>
  <si>
    <t>Leading a Support Group</t>
  </si>
  <si>
    <t>Nichols, K.; Jenkinson, John</t>
  </si>
  <si>
    <t>Partnerships In Family Care : Understanding the Caregiving Career</t>
  </si>
  <si>
    <t>Nolan, Mike; Grant, Gordon; Keady, John</t>
  </si>
  <si>
    <t>Psychological Care for Ill and Injured People : A Clinical Guide</t>
  </si>
  <si>
    <t>Nichols, Keith A.</t>
  </si>
  <si>
    <t>Nursing; Psychology</t>
  </si>
  <si>
    <t>Regulating Pharmaceuticals in Europe : Striving for Efficiency, Equity and Quality</t>
  </si>
  <si>
    <t>Mossialos, Elias; Mrazek, Monique; Walley, Tom</t>
  </si>
  <si>
    <t>Thinking Nursing</t>
  </si>
  <si>
    <t>Whitehead, Elizabeth</t>
  </si>
  <si>
    <t>Reconstructive Facial Plastic Surgery : A Problem-Solving Manual</t>
  </si>
  <si>
    <t>Weerda, Hilko</t>
  </si>
  <si>
    <t>Shock Wave Applications in Musculoskeletal Disorders</t>
  </si>
  <si>
    <t>Rompe, Jan Dirk</t>
  </si>
  <si>
    <t>Chinese Nutrition Therapy : Dietetics in Traditional Chinese Medicine (TCM)</t>
  </si>
  <si>
    <t>Kastner, Jorg</t>
  </si>
  <si>
    <t>Manual of Endoscopic Sinus Surgery : and its Extended Applications</t>
  </si>
  <si>
    <t>Simmen, Daniel; Jones, Nick S.</t>
  </si>
  <si>
    <t>Clinical Endodontics : A Textbook</t>
  </si>
  <si>
    <t>Tronstad, Leif</t>
  </si>
  <si>
    <t>Middle Ear Surgery : Recent Advances and Future Directions</t>
  </si>
  <si>
    <t>Jahnke, Klaus</t>
  </si>
  <si>
    <t>Therapeutic Endoscopy : Color Atlas of Operative Techniques for the Gastrointestinal Tract</t>
  </si>
  <si>
    <t>Soehendra, N.; Binmoeller, Kenneth F.; Seifert, Hans; Schreiber, Hans; Soehendra, N</t>
  </si>
  <si>
    <t>Endoscopy of the Upper GI Tract : A Training Manual</t>
  </si>
  <si>
    <t>Block, Berthold; Schachschal, Guido; Schmidt, Hartmut</t>
  </si>
  <si>
    <t>Pediatric Fractures and Dislocations</t>
  </si>
  <si>
    <t>von Laer, Lutz</t>
  </si>
  <si>
    <t>Temporal Bone : A Manual for Dissection and Surgical Approaches</t>
  </si>
  <si>
    <t>Sanna, Mario; Khrais, Tarek; Maurizio, Falcioni; Russo, Alessandra; Taibah, Abdelkader; Caruso, Antonio</t>
  </si>
  <si>
    <t>Atlas of Colonoscopy : Examination Techniques and Diagnosis</t>
  </si>
  <si>
    <t>Messmann, H.; Barnert, Jürgen; Bittinger, Max; Eberl, Thomas; Fleischmann, Reinhard; Jechart, Gertrud</t>
  </si>
  <si>
    <t>The Blood Group Antigen FactsBook</t>
  </si>
  <si>
    <t>Reid, Marion E.; Lomas-Francis, Christine; Lomas-Francis, Christine</t>
  </si>
  <si>
    <t>Clinical Engineering Handbook</t>
  </si>
  <si>
    <t>Dyro, Joseph; Iadanza, Ernesto</t>
  </si>
  <si>
    <t>Food Safety and International Competitiveness : The Case of Beef</t>
  </si>
  <si>
    <t>Spriggs, J.; Isaac, G.E.; Spriggs, J.</t>
  </si>
  <si>
    <t>Grassland Ecophysiology and Grazing Ecology</t>
  </si>
  <si>
    <t>Lemaire, G.; Hodgson, J.; Moraes, A.; Cavarho, P. ; Nabinger, C.</t>
  </si>
  <si>
    <t>Agriculture; Science: Biology/Natural History; Science</t>
  </si>
  <si>
    <t>Poultry Feedstuffs : Supply, Composition and Nutritive Value</t>
  </si>
  <si>
    <t>McNab, J.; Boorman, N.</t>
  </si>
  <si>
    <t>Trypanosomiases</t>
  </si>
  <si>
    <t>Maudlin, I.; Holmes, P.H.; Miles, M.A.</t>
  </si>
  <si>
    <t>Weaner Pig : Nutrition and Management</t>
  </si>
  <si>
    <t>Varley, M.A.; Wiseman, J.</t>
  </si>
  <si>
    <t>Biomedical Ethics for Engineers : Ethics and Decision Making in Biomedical and Biosystem Engineering</t>
  </si>
  <si>
    <t>Vallero, Daniel A.; Simpson, Jonathan T.</t>
  </si>
  <si>
    <t>Clinical Strategies for Becoming a Master Psychotherapist</t>
  </si>
  <si>
    <t>Cummings, Janet L.; O'Donohue, William; Cummings, Nicholas A.</t>
  </si>
  <si>
    <t>Neurobiology of Learning and Memory</t>
  </si>
  <si>
    <t>Martinez, Joe L.; Kesner, Raymond P.; Martinez, Jr Joe L; Martinez Jr, Joe L</t>
  </si>
  <si>
    <t>Pharmacy Law and Practice : Fourth Edition</t>
  </si>
  <si>
    <t>Merrills, Jonathan; Fisher, Jonathan; Fisher, Jonathan</t>
  </si>
  <si>
    <t>Law; Medicine</t>
  </si>
  <si>
    <t>Principles and Practice of Clinical Research</t>
  </si>
  <si>
    <t>Gallin, John I.; Ognibene, Frederick P.; Ognibene, Frederick P</t>
  </si>
  <si>
    <t>Research Proposals : A Guide to Success</t>
  </si>
  <si>
    <t>Ogden, Thomas E.; Goldberg, Israel A.; Goldberg, Israel A</t>
  </si>
  <si>
    <t>Translation of Addictions Science into Practice</t>
  </si>
  <si>
    <t>Miller, Peter M.; Kavanagh, David J.; Kavanagh, David</t>
  </si>
  <si>
    <t>Clinician's Handbook of Child Behavioral Assessment</t>
  </si>
  <si>
    <t>Food Texture and Viscosity : Concept and Measurement</t>
  </si>
  <si>
    <t>Bourne, Malcolm C.</t>
  </si>
  <si>
    <t>Health; Engineering: Chemical; Engineering</t>
  </si>
  <si>
    <t>From Molecules to Networks : An Introduction to Cellular and Molecular Neuroscience</t>
  </si>
  <si>
    <t>Byrne, John H.; Roberts, James L.; Heidelberger, Ruth; Waxham, M. Neal</t>
  </si>
  <si>
    <t>Handbook of Pediatric Transfusion Medicine</t>
  </si>
  <si>
    <t>Strauss, Ronald; Hillyer, Christopher; Hillyer, Christopher D.; Luban, Naomi</t>
  </si>
  <si>
    <t>Handbook of the Biology of Aging</t>
  </si>
  <si>
    <t>Masoro, Edward J.; Austad, Steven N.</t>
  </si>
  <si>
    <t>Nutrition and Immune Function : Frontiers in Nutritional Science, No. 1.</t>
  </si>
  <si>
    <t>Calder, P.C.; Field, C.J.; Gill, H.S.</t>
  </si>
  <si>
    <t>Sheep Nutrition</t>
  </si>
  <si>
    <t>Freer, M.; Dove, H.</t>
  </si>
  <si>
    <t>Functional Reconstructive Nasal Surgery</t>
  </si>
  <si>
    <t>Huizing, Egbert H.; de Groot, Johan A. M.</t>
  </si>
  <si>
    <t>Engineering; Engineering: General; Medicine</t>
  </si>
  <si>
    <t>Basic Otorhinolaryngology : A Step-by-Step Learning Guide</t>
  </si>
  <si>
    <t>Probst, Rudolf; Grevers, Gerhard; Iro, Heinrich</t>
  </si>
  <si>
    <t>Adolescent Self-injury : A Comprehensive Guide for Counselors and Health Care Professionals</t>
  </si>
  <si>
    <t>D'Onofrio, Amelio A.</t>
  </si>
  <si>
    <t>Comparative Treatment Series - Anxiety Disorders : A Practitioner's Guide to Comparative Treatments</t>
  </si>
  <si>
    <t>DiTomasso, Robert A.; Gosch, Elizabeth A.</t>
  </si>
  <si>
    <t>Comparative Treatment Series - Depression : A Practitioner's Guide to Comparative Treatments</t>
  </si>
  <si>
    <t>Reinecke, Mark A.; Davison, Michael R.</t>
  </si>
  <si>
    <t>Comparative Treatment Series - Personality Disorders : A Practitioner's Guide to Comparative Treatments</t>
  </si>
  <si>
    <t>Freeman, Arthur; Stone, Mark H.; Martin, Donna</t>
  </si>
  <si>
    <t>Comparative Treatment Series - Relationship Dysfunction : A Practitioner's Guide to Comparative Treatments</t>
  </si>
  <si>
    <t>Dattilio, Frank M.; Bevilacqua, Louis J.</t>
  </si>
  <si>
    <t>Comparative Treatment Series - Substance Abuse : A Practitioner's Guide to Comparative Treatments</t>
  </si>
  <si>
    <t>Dowd, E. Thomas; Rugle, Loreen</t>
  </si>
  <si>
    <t>Comprehensive Nursing Care for Parkinson's Disease</t>
  </si>
  <si>
    <t>Bunting-perry, Lisette K.; Vernon, Gwyn M.</t>
  </si>
  <si>
    <t>Dementia and Social Work Practice : Research and Interventions</t>
  </si>
  <si>
    <t>Cox, Carole B.</t>
  </si>
  <si>
    <t>Dictionary of Heatlh Information Technology and Security</t>
  </si>
  <si>
    <t>Marcinko, David; Hetico, Hope R.</t>
  </si>
  <si>
    <t>Emerging Infectious Diseases : Trends and Issues, Second Edition</t>
  </si>
  <si>
    <t>Lashley, Felissa R., PhD, RN, FABMGG; Durham, Jerry D., PhD, RN, FAAN</t>
  </si>
  <si>
    <t>Healing Presence : The Essence of Nursing</t>
  </si>
  <si>
    <t>Koerner, Joellen Goertz</t>
  </si>
  <si>
    <t>Health Literacy in Primary Care : A Clinician's Guide</t>
  </si>
  <si>
    <t>Mayer, Gloria G.; Villaire, Michael</t>
  </si>
  <si>
    <t>Health Promotion and Aging : Practical Applications for Health Professionals</t>
  </si>
  <si>
    <t>Haber, David</t>
  </si>
  <si>
    <t>Mentoring in Nursing : A Dynamic and Collaborative Process</t>
  </si>
  <si>
    <t>Grossman, Sheila C.</t>
  </si>
  <si>
    <t>Methadone Maintenance Treatment in the U. S : A Practical Question and Answer Guide</t>
  </si>
  <si>
    <t>Weschsberg, Wendee; Kasten, Jennifer J.</t>
  </si>
  <si>
    <t>Middle-Range Theories For Nursing Practice (Tent)</t>
  </si>
  <si>
    <t>King, Imogene M.; Sieloff, Christina L.; Frey, Maureen A.</t>
  </si>
  <si>
    <t>Psychological Masquerade : Distinguishing Psychological from Organic Disorders</t>
  </si>
  <si>
    <t>Taylor, Robert L.</t>
  </si>
  <si>
    <t>Food Safety : Contaminants and Toxins</t>
  </si>
  <si>
    <t>D'Mello, J.P.F.</t>
  </si>
  <si>
    <t>GIS and Spatial Analysis in Veterinary Science</t>
  </si>
  <si>
    <t>Durr, P.; Gatrell, A.</t>
  </si>
  <si>
    <t>Health, Nutrition and Food Demand</t>
  </si>
  <si>
    <t>Chern, W.S.; Rickertsen, K.; Chern, W. S.</t>
  </si>
  <si>
    <t>Intellectual Property Rights in Animal Breeding and Genetics</t>
  </si>
  <si>
    <t>Rothschild, M.F.; Newman, S.</t>
  </si>
  <si>
    <t>Laboratory Production of Cattle Embryos : Biotechnology in Agriculture Series</t>
  </si>
  <si>
    <t>Gordon, I.; Gordon, I.</t>
  </si>
  <si>
    <t>Lyme Borreliosis : Biology, Epidemiology and Control</t>
  </si>
  <si>
    <t>Gray, J.S.; Kahl, O.; Lane, R.S.; Stanek, G.</t>
  </si>
  <si>
    <t>Macrocyclic Lactones in Antiparasitic Therapy</t>
  </si>
  <si>
    <t>Vercruysse, J.; Rew, R.S.</t>
  </si>
  <si>
    <t>Poultry Genetics, Breeding and Biotechnology</t>
  </si>
  <si>
    <t>Muir, W.M.; Aggrey, S.E.</t>
  </si>
  <si>
    <t>Taenia solium Cysticercosis : From Basic to Clinical Science</t>
  </si>
  <si>
    <t>Singh, G.; Prabhakar, S.</t>
  </si>
  <si>
    <t>IBS answers at your fingertips : answers at your fingertips</t>
  </si>
  <si>
    <t>Shmueli, Udi</t>
  </si>
  <si>
    <t>Net Gain : A New Method for Preventing Malaria Deaths</t>
  </si>
  <si>
    <t>Cattani, Jacqueline; Lengeler, Christian; Savigny, Don de</t>
  </si>
  <si>
    <t>Reshaping Health Care in Latin America : A Comparative Analysis of Health Care Reform in Argentina, Brazil, and Mexico</t>
  </si>
  <si>
    <t>Fleury, Sonia; Belmartino, Susana; Baris, Enis</t>
  </si>
  <si>
    <t>Female Client and the Health-Care Provider, The</t>
  </si>
  <si>
    <t>Roberts, Janet Hatcher; Roberts, Janet Hatcher; Vlassoff, Carol; Vlassoff, Carol</t>
  </si>
  <si>
    <t>Un Mur Contre La Malaria : Du Nouveau Dans La Prévention Des Décès Dus Au Paludisme</t>
  </si>
  <si>
    <t>Lengeler, Christian; Cattani, Jacqueline; de Savigny, Don</t>
  </si>
  <si>
    <t>Une Santé  Branchée Sur La Recherche : Perspectives Du Conseil De La Recherche En Santé Pour Le Développement</t>
  </si>
  <si>
    <t>Neufeld, Victor; Johnson, Nancy</t>
  </si>
  <si>
    <t>Social Science; Health; Philosophy</t>
  </si>
  <si>
    <t>Health Gap : Beyond Pregnancy and Reproduction</t>
  </si>
  <si>
    <t>Kitts, Jennifer; Roberts, Janet Hatcher</t>
  </si>
  <si>
    <t>Population Et Santé Dans Les Pays En Développement : Population, Santé Et Survie Dans Les Sites Du Réseau Indepth</t>
  </si>
  <si>
    <t>Réseau</t>
  </si>
  <si>
    <t>Death and Medical Power : An Ethical Analysis of Dutch Euthanasia Practice</t>
  </si>
  <si>
    <t>Have, Henk A.M.J.Ten; Welie, Jos</t>
  </si>
  <si>
    <t>Identifying Emotional and Psychological Abuse : A Guide for Childcare Professionals</t>
  </si>
  <si>
    <t>O'Hagan, Kieren</t>
  </si>
  <si>
    <t>Aphasia Inside Out : Reflections on Communication Disability</t>
  </si>
  <si>
    <t>Parr, Susie; Duchan, Judith F.; Pound, Carole</t>
  </si>
  <si>
    <t>Medical Anthropology</t>
  </si>
  <si>
    <t>Pool, Robert; Geissler, Wenzel</t>
  </si>
  <si>
    <t>Primary Care in the Driver's Seat?</t>
  </si>
  <si>
    <t>Saltman, Richard; Rico, Ana; Boerma, W.G.W.</t>
  </si>
  <si>
    <t>Analytical Models for Decision-Making</t>
  </si>
  <si>
    <t>Sanderson, Colin J.; Gruen, Reinhold</t>
  </si>
  <si>
    <t>Good Death : On the Value of Death and Dying</t>
  </si>
  <si>
    <t>Sandman, Lars</t>
  </si>
  <si>
    <t>Philosophy; Social Science</t>
  </si>
  <si>
    <t>Quality, Risk and Control in Health Care</t>
  </si>
  <si>
    <t>Scrivens, Ellie</t>
  </si>
  <si>
    <t>Counselling Skills In Social Work Practice</t>
  </si>
  <si>
    <t>Seden, Janet</t>
  </si>
  <si>
    <t>Sociology and Health Care : An Introduction for Nurses, Midwives and Allied Health Professionals</t>
  </si>
  <si>
    <t>Sheaff, Michael</t>
  </si>
  <si>
    <t>Personality Development</t>
  </si>
  <si>
    <t>Simanowitz, Valerie; Pearce, Peter</t>
  </si>
  <si>
    <t>Philosophy; Psychology</t>
  </si>
  <si>
    <t>Health Policy and Economics : Opportunities and Challenges</t>
  </si>
  <si>
    <t>Smith, Peter C.; Ginnelly, Laura; Sculpher, Mark</t>
  </si>
  <si>
    <t>Health Care Evaluation</t>
  </si>
  <si>
    <t>Smith, Sarah; Raine, Rosalind; Reeves, Barnaby; Reeves, Barney</t>
  </si>
  <si>
    <t>Body Psychotherapy : An Introduction</t>
  </si>
  <si>
    <t>Totton, Nick</t>
  </si>
  <si>
    <t>New Dimensions in Body Psychotherapy</t>
  </si>
  <si>
    <t>Politics of Psychotherapy : New Perspectives</t>
  </si>
  <si>
    <t>Growing Older : Quality of Life in Old Age</t>
  </si>
  <si>
    <t>Hagan, Catherine Hennessy; Hagan Hennessy, Catherine; Hennessy, Hagan</t>
  </si>
  <si>
    <t>Growing Older in Europe : European Perspectives</t>
  </si>
  <si>
    <t>Walker, Alan</t>
  </si>
  <si>
    <t>Understanding Quality of Life in Old Age : Extending Quality of Life</t>
  </si>
  <si>
    <t>Walker, Alan; Walker, Alan</t>
  </si>
  <si>
    <t>Art Therapy and Cancer Care</t>
  </si>
  <si>
    <t>Waller, Diane; Sibbett, Caryl</t>
  </si>
  <si>
    <t>Regulating Healthcare : A Prescription for Improvement?</t>
  </si>
  <si>
    <t>Walshe, Kieran</t>
  </si>
  <si>
    <t>Patient Safety : Research into Practice</t>
  </si>
  <si>
    <t>Walshe, Kieran; Boaden, Ruth</t>
  </si>
  <si>
    <t>Clinical Judgement In The Health And Welfare Professions : Extending the Evidence Base</t>
  </si>
  <si>
    <t>White, Susan; Stancombe, John</t>
  </si>
  <si>
    <t>Critical Reflection in Health and Social Care</t>
  </si>
  <si>
    <t>White, Sue; Fook, Jan; White, Sue</t>
  </si>
  <si>
    <t>Environmental Epidemiology</t>
  </si>
  <si>
    <t>Landon, Megan</t>
  </si>
  <si>
    <t>A Movable Feast : Ten Millennia of Food Globalization</t>
  </si>
  <si>
    <t>Kiple, Kenneth F.</t>
  </si>
  <si>
    <t>An Asperger Dictionary of Everyday Expressions : Second Edition</t>
  </si>
  <si>
    <t>Stuart-Hamilton, Ian</t>
  </si>
  <si>
    <t>Art Therapy and Social Action : Treating the World's Wounds</t>
  </si>
  <si>
    <t>Slater, Nancy; Wiselogle, Anndy; Allen, Pat; Bear, Edward Ned; Berkowitz, Susan; Franklin, Michael; Gerity, Lani Alaine; Gussak, David; Hocoy, Dan; Kaplan, Frances</t>
  </si>
  <si>
    <t>Betraying the NHS : Health Abandoned</t>
  </si>
  <si>
    <t>Mandelstam, Michael</t>
  </si>
  <si>
    <t>Constipation, Withholding and Your Child : A Family Guide to Soiling and Wetting</t>
  </si>
  <si>
    <t>Eaves, Les; Cohn, Anthony</t>
  </si>
  <si>
    <t>Ethical Issues in Dementia Care : Making Difficult Decisions</t>
  </si>
  <si>
    <t>Hughes, Julian C.; Baldwin, Clive</t>
  </si>
  <si>
    <t>Evaluation in Dementia Care</t>
  </si>
  <si>
    <t>Innes, Anthea; McCabe, Louise</t>
  </si>
  <si>
    <t>Medicine of the Person : Faith, Science, and Values in Health Care Provision</t>
  </si>
  <si>
    <t>Campbell, Alastair V.; Fulford, K. W. M.; Atwell, Robert; Bhugra, Dinesh; Clark, John F.; Collaud, Thierry; Conway, Martin; Fryers, Tom; Cox, John L.; Campbell, Alastair</t>
  </si>
  <si>
    <t>Natural Genius : The Gifts of Asperger's Syndrome</t>
  </si>
  <si>
    <t>Rubinyi, Susan</t>
  </si>
  <si>
    <t>New Developments in Autism : The Future Is Today</t>
  </si>
  <si>
    <t>Pérez, Juan Martos; Comi, Maria Llorente; Nieto, Carmen; González, Pedro; Casanova, Manuel; Wheelwright, Sally; Gonzalez, Pedro M.; Casanova, Manuel; Gonzalez, Pedro M.</t>
  </si>
  <si>
    <t>Palliative Care, Social Work, and Service Users : Making Life Possible</t>
  </si>
  <si>
    <t>Beresford, Peter; Adshead, Lesley; Croft, Suzy</t>
  </si>
  <si>
    <t>Practical Sensory Programmes for Students with Autism Spectrum Disorder and Other Special Needs : For Students with Autism Spectrum Disorder and Other Special Needs</t>
  </si>
  <si>
    <t>Larkey, Sue</t>
  </si>
  <si>
    <t>Replays : Using Play to Enhance Emotional and Behavioral Development for Children with Autism Spectrum Disorders</t>
  </si>
  <si>
    <t>Levine, Karen; Chedd, Naomi</t>
  </si>
  <si>
    <t>Sensory Stimulation : Sensory-Focused Activities for People with Physical and Multiple Disabilities</t>
  </si>
  <si>
    <t>Fowler, Susan; Johnson, Hilary</t>
  </si>
  <si>
    <t>Setting up New Services in the NHS : Just Add Water!</t>
  </si>
  <si>
    <t>Norton, Kingsley</t>
  </si>
  <si>
    <t>Biophysics of the Cochlea : From Molecules to Models</t>
  </si>
  <si>
    <t>Gummer, A. W.; Dalhoff, E.; Nowotny, M.; Scherer, M. P.</t>
  </si>
  <si>
    <t>Bios : A Study of Creation</t>
  </si>
  <si>
    <t>Sabelli, Hector C.</t>
  </si>
  <si>
    <t>Science; Science: General</t>
  </si>
  <si>
    <t>Breath Analysis for Clinical Diagnosis and Therapeutic Monitoring</t>
  </si>
  <si>
    <t>Amann, A; Smith, David; Haxton, Wick C.</t>
  </si>
  <si>
    <t>Bursting : The Genesis of Rhythm in the Nervous System</t>
  </si>
  <si>
    <t>Coombes, Stephen; Bressloff, Paul C</t>
  </si>
  <si>
    <t>Clinical Applications of Bone Allografts and Substitutes : Biology and Clinical Applications</t>
  </si>
  <si>
    <t>Phillips, Glyn O</t>
  </si>
  <si>
    <t>Computational Biology of Cancer : Lecture Notes and Mathematical Modeling</t>
  </si>
  <si>
    <t>Wodarz, Dominik; Komarova, Natalia L.</t>
  </si>
  <si>
    <t>Current Topics in Bone Biology</t>
  </si>
  <si>
    <t>Deng, Hong-wen; Liu, Yao-zhong; Guo, Chun-yuan</t>
  </si>
  <si>
    <t>Current Topics in Osteoporosis</t>
  </si>
  <si>
    <t>Deng, Hong-wen; Guo, Chun-Yuan; Liu, Yao-Zhong</t>
  </si>
  <si>
    <t>Medical Imaging Systems Technology : Analysis and Computational Methods</t>
  </si>
  <si>
    <t>Leondes, Cornelius T</t>
  </si>
  <si>
    <t>Medical Imaging Systems Technology : Methods in Diagnosis Optimization</t>
  </si>
  <si>
    <t>Medical Imaging Systems Technology : Methods in General Anatomy</t>
  </si>
  <si>
    <t>Medical Imaging Systems Technology - Modalities : Methods In Cardiovascular And Brain Systems (vol 5)</t>
  </si>
  <si>
    <t>The Mouse in Animal Genetics and Breeding Research</t>
  </si>
  <si>
    <t>Eisen, Eugene J.</t>
  </si>
  <si>
    <t>Natural Biodynamics</t>
  </si>
  <si>
    <t>Ivancevic, Vladimir; Ivancevic, Tijana</t>
  </si>
  <si>
    <t>Perspective in Image-Guided Surgery : Proceedings of the Scientific Workshop On Medical Robotics, Navigation And Visualization</t>
  </si>
  <si>
    <t>Buzug, Thorsten M; Lueth, Tim</t>
  </si>
  <si>
    <t>The Physiologic Nature of Sleep</t>
  </si>
  <si>
    <t>Parmeggiani, Pier Luigi; Velluti, Ricardo A.</t>
  </si>
  <si>
    <t>Several Worlds : Reminiscences and Reflections of a Chinese-American Physician</t>
  </si>
  <si>
    <t>Ho, Monto</t>
  </si>
  <si>
    <t>Management in Eastern Europe</t>
  </si>
  <si>
    <t>Macmillan Publishers Limited</t>
  </si>
  <si>
    <t>Edwards, Vincent; Lawrence, Peter</t>
  </si>
  <si>
    <t>Restoring Fiscal Sanity 2007 : The Health Spending Challenge</t>
  </si>
  <si>
    <t>Rivlin, Alice M.; Antos, Joseph R.</t>
  </si>
  <si>
    <t>Nutrition in the Prevention and Treatment of Disease</t>
  </si>
  <si>
    <t>Coulston, Ann M.; Rock, Cheryl L.; Monsen, Elaine R.; Boushey, Carol J.; Monsen, Elaine</t>
  </si>
  <si>
    <t>Introduction to Diffusion Tensor Imaging</t>
  </si>
  <si>
    <t>Mori, S.; Mori, Susumu</t>
  </si>
  <si>
    <t>Handbook of Pharmaceutical Biotechnology</t>
  </si>
  <si>
    <t>Food Allergies : Enjoying life with a severe Food Allergy</t>
  </si>
  <si>
    <t>Wright, Tanya</t>
  </si>
  <si>
    <t>Food Allergy &amp; Your Child : A Practical Guide for Parents</t>
  </si>
  <si>
    <t>Willitts, Alice; Carter, Deborah</t>
  </si>
  <si>
    <t>Fetal Nutrition and Adult Disease : Programming of Chronic Disease through Fetal Exposure to Undernutrition. Frontiers in Nutritional Science Series, No. 2.</t>
  </si>
  <si>
    <t>Langley-Evans, S.C.</t>
  </si>
  <si>
    <t>Bioethics and Organ Transplantation in a Muslim Society : A Study in Culture, Ethnography, and Religion</t>
  </si>
  <si>
    <t>Moazam, Farhat</t>
  </si>
  <si>
    <t>Cancer Immunotherapy : Immune Suppression and Tumor Growth</t>
  </si>
  <si>
    <t>Prendergast, George C.; Jaffee, Elizabeth M.; Jaffee, Elizabeth M</t>
  </si>
  <si>
    <t>Emission Tomography : The Fundamentals of PET and SPECT</t>
  </si>
  <si>
    <t>Wernick, Miles N.; Aarsvold, John N.</t>
  </si>
  <si>
    <t>Arsenic in Soil and Groundwater Environment : Biogeochemical Interactions, Health Effects and Remediation</t>
  </si>
  <si>
    <t>Bhattacharya, Prosun; Bundschuh, Jochen; Loeppert, Richard H.; Mukherjee, Arun B. B.; Zevenhoven, Ron; Loeppert, Richard H</t>
  </si>
  <si>
    <t>Science; Science: Chemistry; Environmental Studies</t>
  </si>
  <si>
    <t>Coping With Trauma : The Victim and the Helper</t>
  </si>
  <si>
    <t>Australian Academic Press</t>
  </si>
  <si>
    <t>de L Horne, David; Watts, Rod</t>
  </si>
  <si>
    <t>Prescribing Faith : Medicine, Media and Religion in American Culture</t>
  </si>
  <si>
    <t>Baylor University Press</t>
  </si>
  <si>
    <t>Badaracco, Claire Hoertz</t>
  </si>
  <si>
    <t>Consumed in the City : Observing Tuberculosis at Century's End</t>
  </si>
  <si>
    <t>Temple University Press</t>
  </si>
  <si>
    <t>Draus, Paul Joseph</t>
  </si>
  <si>
    <t>Life and Death in Intensive Care</t>
  </si>
  <si>
    <t>Cassell, Joan</t>
  </si>
  <si>
    <t>Livestock Handling and Transport</t>
  </si>
  <si>
    <t>Grandin, T.</t>
  </si>
  <si>
    <t>Normal and Abnormal Fear and Anxiety in Children and Adolescents</t>
  </si>
  <si>
    <t>Muris, Peter; Rachman, S. J.</t>
  </si>
  <si>
    <t>Assessment and Therapy : Specialty Articles from the Encyclopedia of Mental Health</t>
  </si>
  <si>
    <t>Friedman, Howard S.</t>
  </si>
  <si>
    <t>Psychopathology and the Family</t>
  </si>
  <si>
    <t>Hudson, Jennifer L.; Rapee, Ronald M.; Rapee, Ron</t>
  </si>
  <si>
    <t>Molecular Neurology</t>
  </si>
  <si>
    <t>Waxman, Stephen G.</t>
  </si>
  <si>
    <t>The Biology of Human Longevity : Inflammation, Nutrition, and Aging in the Evolution of Life Spans</t>
  </si>
  <si>
    <t>Finch, Caleb E.</t>
  </si>
  <si>
    <t>Cruel Paradise, A : Journals of an International Relief Worker</t>
  </si>
  <si>
    <t>Insomniac Press</t>
  </si>
  <si>
    <t>Olson, Leanne</t>
  </si>
  <si>
    <t>Protecting Emergency Responders, Volume 4 : Personal Protective Equipment Guidelines for Structural Collapse Events</t>
  </si>
  <si>
    <t>Willis, Henry H.; Castle, Nicholas G.; Sloss, Elizabeth M.; Rand Corporation,</t>
  </si>
  <si>
    <t>Securing Health : Lessons from Nation-building Missions</t>
  </si>
  <si>
    <t>Jones, Seth G.; Hilborne, Lee H.; Anthony, C. Ross; Davis, Lois M ; Rand Corporation, ; Anthony, Ross C</t>
  </si>
  <si>
    <t>Online Counseling : A Handbook for Mental Health Professionals</t>
  </si>
  <si>
    <t>Kraus, Ron; Stricker, George; Speyer, Cedric</t>
  </si>
  <si>
    <t>Cognitive Approaches to Obsessions and Compulsions : Theory, Assessment, and Treatment</t>
  </si>
  <si>
    <t>Frost, Randy O.; Steketee, Gail; Steketee, Prof Gail</t>
  </si>
  <si>
    <t>Stress and Addiction : Biological and Psychological Mechanisms</t>
  </si>
  <si>
    <t>Absi, Mustafa al; Al'absi, Mustafa</t>
  </si>
  <si>
    <t>The New Public Health : An Introduction for the 21st Century</t>
  </si>
  <si>
    <t>Tulchinsky, Theodore H.; Varavikova, Elena A.; Varavikova, Elena A</t>
  </si>
  <si>
    <t>Fit to Be Citizens? : Public Health and Race in Los Angeles, 1879-1939</t>
  </si>
  <si>
    <t>Molina, Natalia</t>
  </si>
  <si>
    <t>Art of Drug Synthesis</t>
  </si>
  <si>
    <t>Johnson, Douglas S.; Li, Jie Jack</t>
  </si>
  <si>
    <t>From Genes to Personalized HealthCare : Grid Solutions for the Life Sciences</t>
  </si>
  <si>
    <t>Jacq, N.; Legré, Y.; Muller, H.; Breton, Vincent ; Hausser, D. ; Hernandez, V. ; Solomonides, Tony ; Hofmann-Apitius, M.</t>
  </si>
  <si>
    <t>Medical and Care Compunetics 4 : Medical and Care Compunetics 4</t>
  </si>
  <si>
    <t>Bos, L.; Blobel, B.</t>
  </si>
  <si>
    <t>Air Quality Guidelines : Global Update 2005. Particulate Matter, Ozone, Nitrogen Dioxide and Sulfur Dioxide:Particulate Matter, Ozone, Nitrogen Dioxide and Sulfur Dioxide</t>
  </si>
  <si>
    <t>WHO; World Health Organization,; UNAIDS,; Who Regional Office for Europe,</t>
  </si>
  <si>
    <t>Environmental Studies; Engineering; Engineering: Environmental</t>
  </si>
  <si>
    <t>Brucellosis in Humans and Animals</t>
  </si>
  <si>
    <t>Corbel, M. J. Food and Agriculture Organization of the United Nations; World Health Organization</t>
  </si>
  <si>
    <t>Dermal Absorption : Dermal Absorption</t>
  </si>
  <si>
    <t>Kielhorn, Janet.; World Health Organization; Mangelsdorf, I</t>
  </si>
  <si>
    <t>European Tobacco Control Report 2007 : EURO Nonserial Publication</t>
  </si>
  <si>
    <t>WHO; Who Regional Office for Europe,</t>
  </si>
  <si>
    <t>Faith-based Response to HIV in Southern Africa (A) : The Choose to Care Inititative</t>
  </si>
  <si>
    <t>Global Reach - How Trade Unions are Responding to AIDS : Case Studies of Union Action</t>
  </si>
  <si>
    <t>Guidelines for the Safe Use of Wastewater, Excreta and Greywater, Volume 1 : Policy and Regulatory Aspects</t>
  </si>
  <si>
    <t>WHO</t>
  </si>
  <si>
    <t>High Coverage Sites : HIV Prevention among Injecting Drug Users in Transitional and Developing Countries:Case Studies</t>
  </si>
  <si>
    <t>International Travel and Health 2007 : Situation as on 1 January 2007</t>
  </si>
  <si>
    <t>Manual de recursos de la OMS sobre salud mental, derechos humanos y legislación</t>
  </si>
  <si>
    <t>WHO; Drew, Nathalie</t>
  </si>
  <si>
    <t>Law</t>
  </si>
  <si>
    <t>Neurological disorders. : Public Health Challenges</t>
  </si>
  <si>
    <t>Partnerships for Malaria Control. Engaging the Formal and Informal Private Sectors (UNICEF, UNDP, World Bank, WHO) : Engaging the Formal and Informal Private Sectors: A Review</t>
  </si>
  <si>
    <t>Fraser, N.; Delgado, J.; Druce, N.</t>
  </si>
  <si>
    <t>Portée mondiale : comment s'organise la riposte des syndicats au SIDA</t>
  </si>
  <si>
    <t>Protein and Amino Acid Requirements in Human Nutrition : Report of a Joint WHO/FAO/UNU Expert Consultation</t>
  </si>
  <si>
    <t>Science; Science: Biology/Natural History; Home Economics</t>
  </si>
  <si>
    <t>Risk Assessment of Vibrio Vulnificus in Raw Oysters : Microbiological Risk Assessment Series, No. 8</t>
  </si>
  <si>
    <t>Food and Agriculture Organization of the United Nations</t>
  </si>
  <si>
    <t>Selection and Use of Essential Medicines (14th Model List) : Report of the Who Expert Committee, 2005(Including the 14th Model List of Essential Medicines)</t>
  </si>
  <si>
    <t>Medicine; Engineering: General; Engineering; Pharmacy</t>
  </si>
  <si>
    <t>Challenge of Obesity in the WHO European Region and the Strategies for Response : EURO Nonserial Publication</t>
  </si>
  <si>
    <t>Branca, F.; Nikogosian, H.; Lobstein, T.</t>
  </si>
  <si>
    <t>WHO Expert Committee on Specifications for Pharmaceutical Preparations : Fourty-First Report</t>
  </si>
  <si>
    <t>World health Statistics 2007</t>
  </si>
  <si>
    <t>Advances in Antiviral Drug Design</t>
  </si>
  <si>
    <t>De Clercq, E.; De Clercq, E</t>
  </si>
  <si>
    <t>Choosing Safer Foods : A Guide to Minimizing Synthetic Chemicals in Your Diet</t>
  </si>
  <si>
    <t>Sullivan, Patrick J.; Clark, James J. J.</t>
  </si>
  <si>
    <t>Handbook of Milk Composition</t>
  </si>
  <si>
    <t>Jensen, Robert G.; Unknown, Author; Author, Unknown</t>
  </si>
  <si>
    <t>Visualization in Medicine : Theory, Algorithms, and Applications</t>
  </si>
  <si>
    <t>Preim, Bernhard; Bartz, Dirk</t>
  </si>
  <si>
    <t>Clinical governance - early studies : Early Studies</t>
  </si>
  <si>
    <t>Lucas, Jeff; Wright, John</t>
  </si>
  <si>
    <t>Brain Injury Medicine : Principles and Practice</t>
  </si>
  <si>
    <t>Zasler, Nathan D.; Katz, Douglas I; Zafonte, Ross D.</t>
  </si>
  <si>
    <t>Clinical Neuropathology : Text and Color Atlas</t>
  </si>
  <si>
    <t>Haberland, Catherine, MD</t>
  </si>
  <si>
    <t>Navigating the Adult Spine : Bridging Clinical Practice and Neuroradiology</t>
  </si>
  <si>
    <t>Fast, Avital, Dr., MD; Goldsher, Dorith, MD; Funk, Oliver</t>
  </si>
  <si>
    <t>Ethical Decision Making in Nursing and Health Care : The Symphonological Approach, Fourth Edition</t>
  </si>
  <si>
    <t>Husted, James H.; Husted, Gladys L., RN, MSN, PhD, CNE</t>
  </si>
  <si>
    <t>Philosophy; Nursing</t>
  </si>
  <si>
    <t>Nursing Leadership : A Concise Encyclopedia</t>
  </si>
  <si>
    <t>Jaffe-Ruiz, Marilyn; McClure, Margaret L.; Feldman, Harriet R.</t>
  </si>
  <si>
    <t>Neuropsychology Handbook : Third Edition</t>
  </si>
  <si>
    <t>Wedding, Danny, Dr., PhD, MPH; Horton, Arthur MacNeill, Jr., EdD, ABPP, ABPN</t>
  </si>
  <si>
    <t>Toward Equity in Health : A New Global Approach to Health Disparities</t>
  </si>
  <si>
    <t>Wallace, Barbara C.</t>
  </si>
  <si>
    <t>Eating Spring Rice : The Cultural Politics of AIDS in Southwest China</t>
  </si>
  <si>
    <t>Hyde, Sandra</t>
  </si>
  <si>
    <t>Ion Channels and Disease</t>
  </si>
  <si>
    <t>Ashcroft, Frances M.; Tucker, Stephen J.; Tammaro, Paolo</t>
  </si>
  <si>
    <t>Handbook of Evaluation Methods for Health Informatics</t>
  </si>
  <si>
    <t>Brender, Jytte</t>
  </si>
  <si>
    <t>The Abusive Personality : Violence and Control in Intimate Relationships</t>
  </si>
  <si>
    <t>Guilford Publications</t>
  </si>
  <si>
    <t>Dutton, Donald G.</t>
  </si>
  <si>
    <t>Ambivalence in Psychotherapy : Facilitating Readiness to Change</t>
  </si>
  <si>
    <t>Engle, David E.; Arkowitz, Hal</t>
  </si>
  <si>
    <t>Attachment Processes in Couple and Family Therapy</t>
  </si>
  <si>
    <t>Johnson, Susan M.; Whiffen, Valerie E.</t>
  </si>
  <si>
    <t>Biology of Personality and Individual Differences</t>
  </si>
  <si>
    <t>Canli, Turhan</t>
  </si>
  <si>
    <t>Breaking Through to Teens : Psychotherapy for the New Adolescence</t>
  </si>
  <si>
    <t>Taffel, Ron</t>
  </si>
  <si>
    <t>Children in Family Contexts : Perspectives on Treatment</t>
  </si>
  <si>
    <t>Combrinck-Graham, Lee</t>
  </si>
  <si>
    <t>Cognitive-Behavioral Therapies for Trauma</t>
  </si>
  <si>
    <t>Follette, Victoria M.; Ruzek, Josef I.</t>
  </si>
  <si>
    <t>Cognitive-Behavioral Therapy for PTSD : A Case Formulation Approach</t>
  </si>
  <si>
    <t>Zayfert, Claudia; Becker, Carolyn Black</t>
  </si>
  <si>
    <t>Developmental Origins of Aggression</t>
  </si>
  <si>
    <t>Tremblay, Richard E.; Hartup, Willard W.; Archer, John</t>
  </si>
  <si>
    <t>The Emotional Survival Guide for Caregivers : Looking after Yourself and Your Family While Helping an Aging Parent</t>
  </si>
  <si>
    <t>Jacobs, Barry J.</t>
  </si>
  <si>
    <t>Social Science; Home Economics</t>
  </si>
  <si>
    <t>Handbook of Psychotherapy Case Formulation</t>
  </si>
  <si>
    <t>Eells, Tracy D.</t>
  </si>
  <si>
    <t>I'm, Like, So Fat! : Helping Your Teen Make Healthy Choices about Eating and Exercise in a Weight-Obsessed World</t>
  </si>
  <si>
    <t>Neumark-Sztainer, Dianne</t>
  </si>
  <si>
    <t>It's Not All in Your Head : How Worrying about Your Health Could Be Making You Sick--And What You Can Do about It</t>
  </si>
  <si>
    <t>Asmundson, Gordon J. G.; Taylor, Steven</t>
  </si>
  <si>
    <t>Learning Disabilities : From Identification to Intervention</t>
  </si>
  <si>
    <t>Fletcher, Jack M.; Barnes, Marcia A.; Fuchs, Lynn S.; Lyon, G. Reid</t>
  </si>
  <si>
    <t>Mental Disorders in Older Adults : Fundamentals of Assessment and Treatment</t>
  </si>
  <si>
    <t>Zarit, Steven H.; Zarit, Judy M.</t>
  </si>
  <si>
    <t>Mental Health Screening and Assessment in Juvenile Justice</t>
  </si>
  <si>
    <t>Grisso, Thomas; Vincent, Gina; Seagrave, Daniel</t>
  </si>
  <si>
    <t>Methods for Disaster Mental Health Research</t>
  </si>
  <si>
    <t>Norris, Fran H.; Friedman, Matthew J.; Galea, Sandro; Watson, Patricia J.</t>
  </si>
  <si>
    <t>Patterns of Learning Disorders : Working Systematically from Assessment to Intervention</t>
  </si>
  <si>
    <t>Wodrich, David L.; Schmitt, Ara J.</t>
  </si>
  <si>
    <t>Science; Science: Astronomy; Medicine</t>
  </si>
  <si>
    <t>Psychology and Law : An Empirical Perspective</t>
  </si>
  <si>
    <t>Brewer, Neil; Williams, Kipling D.</t>
  </si>
  <si>
    <t>Psychotherapy of Abused and Neglected Children</t>
  </si>
  <si>
    <t>Pearce, John W.; Pezzot-Pearce, Terry Dianne; Pezzot-Pearce, Terry Dianne</t>
  </si>
  <si>
    <t>Research Methods in Family Therapy</t>
  </si>
  <si>
    <t>Sprenkle, Douglas H.; Piercy, Fred P.</t>
  </si>
  <si>
    <t>Rethinking Substance Abuse : What the Science Shows, and What We Should Do about It</t>
  </si>
  <si>
    <t>Miller, William R.; Carroll, Kathleen M.</t>
  </si>
  <si>
    <t>Social and Communication Development in Autism Spectrum Disorders : Early Identification, Diagnosis, and Intervention</t>
  </si>
  <si>
    <t>Charman, Tony; Stone, Wendy</t>
  </si>
  <si>
    <t>Talking Back to OCD : The Program That Helps Kids and Teens Say No Way -- and Parents Say Way to Go</t>
  </si>
  <si>
    <t>March, John S.; Benton, Christine M.</t>
  </si>
  <si>
    <t>Treating Alcohol and Drug Problems in Psychotherapy Practice : Doing What Works</t>
  </si>
  <si>
    <t>Washton, Arnold M.; Zweben, Joan E.</t>
  </si>
  <si>
    <t>Treating Somatization : A Cognitive-Behavioral Approach</t>
  </si>
  <si>
    <t>Woolfolk, Robert L.; Allen, Lesley A.</t>
  </si>
  <si>
    <t>Treating Survivors of Childhood Abuse : Psychotherapy for the Interrupted Life</t>
  </si>
  <si>
    <t>Cloitre, Marylene; Cohen, Lisa R.; Koenen, Karestan C.</t>
  </si>
  <si>
    <t>Treatment of Childhood Disorders</t>
  </si>
  <si>
    <t>Mash, Eric J.; Barkley, Russell A.; Wells, Karen C.</t>
  </si>
  <si>
    <t>Working with Families of the Poor : Guilford Publications</t>
  </si>
  <si>
    <t>Minuchin, Patricia; Colapinto, Jorge; Minuchin, Salvador</t>
  </si>
  <si>
    <t>The Spectrum of Psychotic Disorders : Neurobiology, Etiology and Pathogenesis</t>
  </si>
  <si>
    <t>Fujii, Daryl; Ahmed, Iqbal</t>
  </si>
  <si>
    <t>Human Stem Cell Manual : A Laboratory Guide</t>
  </si>
  <si>
    <t>Loring, Jeanne F.; Wesselschmidt, Robin L.; Schwartz, Philip H.; Peterson, Suzanne; Schwartz, Philip H</t>
  </si>
  <si>
    <t>Drugs During Pregnancy and Lactation : Treatment Options and Risk Assessment</t>
  </si>
  <si>
    <t>Schaefer, Christof; Peters, Paul W. J.; Miller, Richard K.; Miller, Richard K</t>
  </si>
  <si>
    <t>Handbook of Women, Stress and Trauma</t>
  </si>
  <si>
    <t>Kendall-Tackett, Kathleen A.</t>
  </si>
  <si>
    <t>Communication Disorders in Spanish Speakers : Theoretical, Research and Clinical Aspects</t>
  </si>
  <si>
    <t>Channel View Publications</t>
  </si>
  <si>
    <t>Centeno, Dr. José G.; Anderson, Dr. Raquel T.; Obler, Loraine K.</t>
  </si>
  <si>
    <t>Assessing Dangerousness : Violence by Batterers and Child Abusers, Second Edition</t>
  </si>
  <si>
    <t>Campbell, Jacquelyn C., PhD, RN, FAAN</t>
  </si>
  <si>
    <t>Introduction to the U. S. Health Care System : Sixth Edition</t>
  </si>
  <si>
    <t>Jonas, Steven, MD,MPH, FACPM; Goldsteen, Raymond L., DrPH; Goldsteen, Karen, PhD, MPH</t>
  </si>
  <si>
    <t>Annual Review of Nursing Research, Volume 25 : Vulnerable Populations</t>
  </si>
  <si>
    <t>Fitzpatrick, Joyce; Koniak-Griffin, Deborah</t>
  </si>
  <si>
    <t>Disaster Nursing : Second Edition</t>
  </si>
  <si>
    <t>Veenema, Tener Goodwin, PhD, MPH, MS, CPNP</t>
  </si>
  <si>
    <t>AIDS in Latin America : Sex, Class, and Power</t>
  </si>
  <si>
    <t>Palgrave Macmillan</t>
  </si>
  <si>
    <t>Frasca, Tim</t>
  </si>
  <si>
    <t>Health; Business/Management; Social Science</t>
  </si>
  <si>
    <t>Building a Modern Japan : Science, Technology, and Medicine in the Meiji Era and Beyond</t>
  </si>
  <si>
    <t>Low, Morris</t>
  </si>
  <si>
    <t>History; Medicine</t>
  </si>
  <si>
    <t>Globalization, Women, and Health in the Twenty-First Century</t>
  </si>
  <si>
    <t>Kickbusch, Ilona; Hartwig, Kari A.; List, Justin M.</t>
  </si>
  <si>
    <t>Social Science; Political Science; Health</t>
  </si>
  <si>
    <t>HIV/AIDS in Russia and Eurasia : Volume I</t>
  </si>
  <si>
    <t>Twigg, Judyth L.; Twigg, J.</t>
  </si>
  <si>
    <t>Political Science; Social Science; Health</t>
  </si>
  <si>
    <t>HIV/AIDS in Russia and Eurasia, Volume II</t>
  </si>
  <si>
    <t>Twigg, Judyth L.</t>
  </si>
  <si>
    <t>Political Science; Medicine; Health</t>
  </si>
  <si>
    <t>Ayurveda Encyclopedia : Natural Secrets to Healing, Prevention, &amp; Longevity</t>
  </si>
  <si>
    <t>Sat Yuga Press</t>
  </si>
  <si>
    <t>Tirtha, Swami Sadashiva; Uniyal, R. C ; S, andhu. ; Chandhok, J. K</t>
  </si>
  <si>
    <t>Navigating Health and Safety Law : Ensuring Compliance and Minimising Risk</t>
  </si>
  <si>
    <t>Thorogood Publishing</t>
  </si>
  <si>
    <t>Pope, Chris</t>
  </si>
  <si>
    <t>Social Science; Law</t>
  </si>
  <si>
    <t>Angle Closure and Angle Closure Glaucoma : Consensus Series - 3</t>
  </si>
  <si>
    <t>SPB Academic Publishing BV</t>
  </si>
  <si>
    <t>Kugler Publications</t>
  </si>
  <si>
    <t>Weinreb, R.N.; Friedman, D.S.</t>
  </si>
  <si>
    <t>Eye on the Bayou : New Concepts in Glaucoma, Cataract and Neuro-Ophthalmology</t>
  </si>
  <si>
    <t>Nussdorf, J.D.</t>
  </si>
  <si>
    <t>Engineering: General; Engineering; Medicine</t>
  </si>
  <si>
    <t>Perimetry update 2002/2003</t>
  </si>
  <si>
    <t>Wall, M.; Henson, DB</t>
  </si>
  <si>
    <t>Glaucoma Diagnosis : Structure and Function</t>
  </si>
  <si>
    <t>Weinreb, R.N.; Greve, E.L.</t>
  </si>
  <si>
    <t>Suffering and Dignity in the Twilight of Life</t>
  </si>
  <si>
    <t>Ars, B.; Montero, E</t>
  </si>
  <si>
    <t>At the Crossings : Pediatric Ophthalmology and Strabismus</t>
  </si>
  <si>
    <t>Balkan, R.J.; Ellis, G.S. Jr.; Eustis, H.S.</t>
  </si>
  <si>
    <t>Fibro-Cartilaginous Eustachian Tube : Middle Ear Cleft</t>
  </si>
  <si>
    <t>Ars, B.</t>
  </si>
  <si>
    <t>Lasers in Ophthalmology : Basic, Diagnostics and Surgical Aspects</t>
  </si>
  <si>
    <t>Fankhauser, F.; Kwasniewska, S</t>
  </si>
  <si>
    <t>Medicine; Engineering: General; Engineering</t>
  </si>
  <si>
    <t>Cochlear Implants : An Update</t>
  </si>
  <si>
    <t>Kubo, T.; Takahashi, Y.; Iwaki, T.</t>
  </si>
  <si>
    <t>Occupational Voice: Care and Cure</t>
  </si>
  <si>
    <t>Dejonckere, P.H.</t>
  </si>
  <si>
    <t>Meniere's Disease</t>
  </si>
  <si>
    <t>Harris, J.P.</t>
  </si>
  <si>
    <t>Wavefront and Emerging Refractive Technologies</t>
  </si>
  <si>
    <t>Koury, J.B.</t>
  </si>
  <si>
    <t>Glaucoma in the New Millennium</t>
  </si>
  <si>
    <t>Principles and Practice of Lasers in Otorhinolaryngology and Head and Neck Surgery</t>
  </si>
  <si>
    <t>Oswal, V.; Remacle, M; Jovanvic, S; Krespi, J</t>
  </si>
  <si>
    <t>Perimetry Update 1998/1999</t>
  </si>
  <si>
    <t>Wall, M.; Wild, JM</t>
  </si>
  <si>
    <t>Uw gehoor is uitstekend! Wat zegt u dokter? : Over onverklaarde en verklaarde klachten in de KNO-heelkunde</t>
  </si>
  <si>
    <t>Glazenburg, B.E.; Vos, MS</t>
  </si>
  <si>
    <t>Complementary Oncology : Adjunctive Methods in the Treatment of Cancer</t>
  </si>
  <si>
    <t>Beuth, Josef; Moss, Ralph W.; Abel, Ulrich; Bussing, Arndt; Hager, E Dieter</t>
  </si>
  <si>
    <t>Orthodontic Materials : Scientific and Clinical Aspects</t>
  </si>
  <si>
    <t>Brantley, Wiliam A.; Eliades, Theodore</t>
  </si>
  <si>
    <t>Complications in Phacoemulsification : Avoidance, Recognition, and Management</t>
  </si>
  <si>
    <t>Fishkind, William J.</t>
  </si>
  <si>
    <t>MasterCases in Shoulder and Elbow Surgery : Shoulder and Elbow Surgery</t>
  </si>
  <si>
    <t>Field, Larry D.; Savoie, Felix H.; Savoie, Felix H , III; Field, Larry; Savoie, Felix</t>
  </si>
  <si>
    <t>Functional and Selective Neck Dissection</t>
  </si>
  <si>
    <t>Gavilan, Javier; De Santo, Lawrence W.; DeSanto, Lawrence W.; Gavilan, Cesar</t>
  </si>
  <si>
    <t>Glaucoma Surgery : Open Angle Glaucoma</t>
  </si>
  <si>
    <t>Weinreb, R.N.; Crowston, J.G.</t>
  </si>
  <si>
    <t>Couching Resistance : Women, Film, and Psychoanalytic Psychiatry</t>
  </si>
  <si>
    <t>University of Minnesota Press</t>
  </si>
  <si>
    <t>Walker, Janet</t>
  </si>
  <si>
    <t>Medicine; Fine Arts</t>
  </si>
  <si>
    <t>Parents Guide to Kidney Disorders</t>
  </si>
  <si>
    <t>M.D., Glenn H. Bock; M.D., Edward J. Ruley; Moore, Michael P.</t>
  </si>
  <si>
    <t>Unstable Frontiers : Technomedicine and the Cultural Politics of Curing AIDS</t>
  </si>
  <si>
    <t>Erni, John Nguyet</t>
  </si>
  <si>
    <t>Hunger so Wide and so Deep : A Multiracial View of Womens Eating Problems</t>
  </si>
  <si>
    <t>Thompson, Becky W.</t>
  </si>
  <si>
    <t>Screening the Body : Tracing Medicines Visual Culture</t>
  </si>
  <si>
    <t>Cartwright, Lisa</t>
  </si>
  <si>
    <t>On Drugs</t>
  </si>
  <si>
    <t>Lenson, David</t>
  </si>
  <si>
    <t>Social Science; Medicine; Health; Pharmacy; Business/Management</t>
  </si>
  <si>
    <t>Policing Desire : Pornography, AIDS and the Media</t>
  </si>
  <si>
    <t>Cultural Conceptions : On Reproductive Technologies and the Remaking of Life</t>
  </si>
  <si>
    <t>Hartouni, Valerie</t>
  </si>
  <si>
    <t>Outpatient Treatment of Eating Disorders : A Guide for Therapists, Dietitians, and Physicians</t>
  </si>
  <si>
    <t>James E. Mitchell, M.D.; Mitchell, James E.</t>
  </si>
  <si>
    <t>Globalizing AIDS</t>
  </si>
  <si>
    <t>Patton, Cindy</t>
  </si>
  <si>
    <t>Swedish Table</t>
  </si>
  <si>
    <t>Henderson, Hélène</t>
  </si>
  <si>
    <t>Gunflint Lodge Cookbook : Elegant Northwoods Dining</t>
  </si>
  <si>
    <t>Berg, Ron; Kerfoot, Sue; Kerfoot, Justine</t>
  </si>
  <si>
    <t>Great Scandinavian Baking Book</t>
  </si>
  <si>
    <t>Ojakangas, Beatrice</t>
  </si>
  <si>
    <t>Scandinavian Feasts : Celebrating Traditions throughout the Year</t>
  </si>
  <si>
    <t>Great Whole Grain Breads</t>
  </si>
  <si>
    <t>Ojakangas, Beatrice; Gaber, Susan</t>
  </si>
  <si>
    <t>La Doctora : An American Doctor in the Amazon</t>
  </si>
  <si>
    <t>Linnea Smith, M.D.</t>
  </si>
  <si>
    <t>Our Family Has Cancer Too</t>
  </si>
  <si>
    <t>Clifford, Christine; Lindstrom, Jack</t>
  </si>
  <si>
    <t>Medicine; Social Science; Health; Fiction</t>
  </si>
  <si>
    <t>Quick Breads</t>
  </si>
  <si>
    <t>Not Now . . . I'm Having a No Hair Day</t>
  </si>
  <si>
    <t>Pot Pies</t>
  </si>
  <si>
    <t>Great Old-Fashioned American Desserts</t>
  </si>
  <si>
    <t>Cafe Brenda Cookbook : Seafood and Vegetarian Cuisine</t>
  </si>
  <si>
    <t>Langton, Brenda; Stuart, Margaret</t>
  </si>
  <si>
    <t>Twitch and Shout : A Touretters Tale</t>
  </si>
  <si>
    <t>Handler, Lowell</t>
  </si>
  <si>
    <t>Savoring the Seasons of Northern Heartland</t>
  </si>
  <si>
    <t>Dooley, Beth; Watson, Lucia</t>
  </si>
  <si>
    <t>Great Old-Fashioned American Recipes</t>
  </si>
  <si>
    <t>Pre-eclampsia : Etiology and Clinical Practice</t>
  </si>
  <si>
    <t>Lyall, Fiona; Belfort, Michael</t>
  </si>
  <si>
    <t>Biomedical Information Technology</t>
  </si>
  <si>
    <t>Feng, David Dagan; Feng, David Dagan</t>
  </si>
  <si>
    <t>Capturing Nursing History : A Guide to Historical Methods in Research</t>
  </si>
  <si>
    <t>Lewenson, Sandra B.; Herrmann, Eleanor Krohn</t>
  </si>
  <si>
    <t>Annual Review of Gerontology and Geriatrics : Biopsychosocial Approaches to Longevity</t>
  </si>
  <si>
    <t>Poon, Leonard W.; Perls, Thomas T.</t>
  </si>
  <si>
    <t>Anatomical Terms and Their Derivation</t>
  </si>
  <si>
    <t>Lisowski, Frederick Peter; Oxnard, Charles E.</t>
  </si>
  <si>
    <t>Fibrocytes : New Insights into Tissue Repair and Systemic Fribrosis</t>
  </si>
  <si>
    <t>Bucala, Richard</t>
  </si>
  <si>
    <t>Renaissance of Sickle Cell Disease Research in the Genome Era</t>
  </si>
  <si>
    <t>Pace, Betty</t>
  </si>
  <si>
    <t>The History of Imperial College London, 1907-2007 : Higher Education and Research in Science, Technology, and Medicine</t>
  </si>
  <si>
    <t>Gay, Hannah</t>
  </si>
  <si>
    <t>Engineering: General; Engineering</t>
  </si>
  <si>
    <t>Stem Cell Repair and Regeneration</t>
  </si>
  <si>
    <t>Habib, Nagy A.; Gordon, Myrtle Y.; Levicar, Natasa</t>
  </si>
  <si>
    <t>Haemostasis in Surgery</t>
  </si>
  <si>
    <t>Canelo, Ruben; Hakim, Nadey S.</t>
  </si>
  <si>
    <t>Mechanical Circulatory Support Therapy in Advanced Heart Failure</t>
  </si>
  <si>
    <t>Naka, Yoshifumi; Deng, Mario C.</t>
  </si>
  <si>
    <t>Fads, Fallacies and Foolishness in Medical Care : Management and Policy</t>
  </si>
  <si>
    <t>Marmor, Theodore R.</t>
  </si>
  <si>
    <t>The Y Chromosome and Male Germ Cell Biology in Health and Diseases</t>
  </si>
  <si>
    <t>Lau, Yun-Fai; Chan, Wai-Yee</t>
  </si>
  <si>
    <t>Science; Science: Biology/Natural History; Science: Zoology</t>
  </si>
  <si>
    <t>Primary Intraocular Lymphoma</t>
  </si>
  <si>
    <t>Chan, Chi-Chao; Gonzales, John A.</t>
  </si>
  <si>
    <t>Innovation in the Biopharmaceutical Industry</t>
  </si>
  <si>
    <t>Atun, Rifat A.; Sheridan, Desmond J.</t>
  </si>
  <si>
    <t>Economics; Pharmacy; Medicine; Business/Management</t>
  </si>
  <si>
    <t>Biomechanics at Micro- and Nanoscale Levels</t>
  </si>
  <si>
    <t>Wada, Hiroshi</t>
  </si>
  <si>
    <t>Introduction to Computational Neurobiology and Clustering</t>
  </si>
  <si>
    <t>Tirozzi, Brunello; Bianchi, Daniela; Ferraro, Enrico</t>
  </si>
  <si>
    <t>Central Nerve Plexus Injury</t>
  </si>
  <si>
    <t>Carlstedt, Thomas</t>
  </si>
  <si>
    <t>The Minder Brain : How Your Brain Keeps You Alive, Protects You from Danger, and Ensures That You Reproduce</t>
  </si>
  <si>
    <t>Herbert, Joe</t>
  </si>
  <si>
    <t>Bipolar : The Elements of Bipolar Disorder</t>
  </si>
  <si>
    <t>Electronic &amp; Database Publishing, Inc.</t>
  </si>
  <si>
    <t>Carter, Jay</t>
  </si>
  <si>
    <t>Molecular Photofitting : Predicting Ancestry and Phenotype Using DNA</t>
  </si>
  <si>
    <t>Frudakis, Tony N.; Frudakis, Ph D Tony</t>
  </si>
  <si>
    <t>Handbook of MRI Pulse Sequences</t>
  </si>
  <si>
    <t>Bernstein, Matt A.; King, Kevin F.; Zhou, Xiaohong Joe</t>
  </si>
  <si>
    <t>Attachment in Psychotherapy</t>
  </si>
  <si>
    <t>Wallin, David J.</t>
  </si>
  <si>
    <t>Attachment Theory in Clinical Work with Children : Bridging the Gap Between Research and Practice</t>
  </si>
  <si>
    <t>Oppenheim, David; Goldsmith, Douglas F.</t>
  </si>
  <si>
    <t>Dialectical Behavior Therapy with Suicidal Adolescents</t>
  </si>
  <si>
    <t>Miller, Alec L.; Linehan, Marsha M.; Rathus, Jill H.; Swenson, Charles Robert</t>
  </si>
  <si>
    <t>Handbook of Health Psychology and Aging</t>
  </si>
  <si>
    <t>Aldwin, Carolyn M.; Park, Crystal L.; Spiro, Avron; Abeles, Ronald P.</t>
  </si>
  <si>
    <t>Human Behavior, Learning, and the Developing Brain : Atypical Development</t>
  </si>
  <si>
    <t>Coch, Donna; Fischer, Kurt W.; Dawson, Geraldine</t>
  </si>
  <si>
    <t>Human Behavior, Learning, and the Developing Brain : Typical Development</t>
  </si>
  <si>
    <t>Coch, Donna; Dawson, Geraldine; Fischer, Kurt W.</t>
  </si>
  <si>
    <t>Implicit Measures of Attitudes</t>
  </si>
  <si>
    <t>Wittenbrink, Bernd; Schwarz, Norbert</t>
  </si>
  <si>
    <t>Social Neuroscience : Integrating Biological and Psychological Explanations of Social Behavior</t>
  </si>
  <si>
    <t>Harmon-Jones, Eddie; Winkielman, Piotr; Harmon-Jones, Eddie</t>
  </si>
  <si>
    <t>Treating Bulimia in Adolescents : A Family-Based Approach</t>
  </si>
  <si>
    <t>Le Grange, Daniel; Lock, James; Le Grange, Daniel</t>
  </si>
  <si>
    <t>Murder in Marrakesh : Ã?mile Mauchamp and the French Colonial Adventure</t>
  </si>
  <si>
    <t>Katz, Jonathan G.</t>
  </si>
  <si>
    <t>Just Breathe Normally</t>
  </si>
  <si>
    <t>University of Nebraska Press</t>
  </si>
  <si>
    <t>Shumaker, Peggy</t>
  </si>
  <si>
    <t>Medicine; Health; Social Science; Fiction</t>
  </si>
  <si>
    <t>Air Pollution and Health</t>
  </si>
  <si>
    <t>Holgate, Stephen T.; Koren, Hillel S.; Maynard, Robert L.; Samet, Jonathan M.; Samet, Dr Jonathan M</t>
  </si>
  <si>
    <t>Leukemia-Lymphoma Cell Line</t>
  </si>
  <si>
    <t>Drexler, Hans G.</t>
  </si>
  <si>
    <t>Structural Biological Materials : Design and Structure-Property Relationships</t>
  </si>
  <si>
    <t>Elices, M.</t>
  </si>
  <si>
    <t>Thinking Scientifically About Controversial Issues : Clones, Cats, and Chemicals</t>
  </si>
  <si>
    <t>National Science Teachers Association</t>
  </si>
  <si>
    <t>Slesnick, Irwin L.</t>
  </si>
  <si>
    <t>The Biology of Cancer</t>
  </si>
  <si>
    <t>Gabriel, Janice Ann</t>
  </si>
  <si>
    <t>Cochlear Hearing Loss : Physiological, Psychological and Technical Issues</t>
  </si>
  <si>
    <t>Moore, Brian C. J.</t>
  </si>
  <si>
    <t>Asthma Care in the Community</t>
  </si>
  <si>
    <t>Waldron, Jill; Denn, Deirdre</t>
  </si>
  <si>
    <t>Forensic Mental Health Assessment of Children and Adolescents</t>
  </si>
  <si>
    <t>Waldau, Paul; Koocher, Gerald P.; Sparta, Steven N.</t>
  </si>
  <si>
    <t>Foundations of Health Psychology</t>
  </si>
  <si>
    <t>Smith, Jeremy L.; Friedman, Howard S.; Silver, Roxane Cohen</t>
  </si>
  <si>
    <t>Your Symptoms Are Real : What to Do When Your Doctor Says Nothing Is Wrong</t>
  </si>
  <si>
    <t>Natelson, Benjamin H.</t>
  </si>
  <si>
    <t>Stop Prediabetes Now : The Ultimate Plan to Lose Weight and Prevent Diabetes</t>
  </si>
  <si>
    <t>Challem, Jack; Hunninghake, Ron</t>
  </si>
  <si>
    <t>Fibromyalgia For Dummies</t>
  </si>
  <si>
    <t>Staud, Roland</t>
  </si>
  <si>
    <t>Special Needs, Special Horses : A Guide to the Benefits of Therapeutic Riding</t>
  </si>
  <si>
    <t>University of North Texas Press</t>
  </si>
  <si>
    <t>Scott, Naomi; Evans, J. Warren</t>
  </si>
  <si>
    <t>Self-Disclosure in Psychotherapy</t>
  </si>
  <si>
    <t>Farber, Barry A.</t>
  </si>
  <si>
    <t>Acute Ischemic Stroke : An Evidence-Based Approach</t>
  </si>
  <si>
    <t>Greer, David M.</t>
  </si>
  <si>
    <t>Environmental Health Policy</t>
  </si>
  <si>
    <t>Landon, Megan; Fletcher, Tony; Ball, David</t>
  </si>
  <si>
    <t>Words And Symbols : Language And Communication In Therapy</t>
  </si>
  <si>
    <t>Barden, Nicola; Williams, Tina</t>
  </si>
  <si>
    <t>Health Communication : Theory And Practice</t>
  </si>
  <si>
    <t>Health Psychology</t>
  </si>
  <si>
    <t>Evidence-based Health Communication</t>
  </si>
  <si>
    <t>Brown, Brian; Crawford, Paul; Carter, Ronald</t>
  </si>
  <si>
    <t>Mental Health Promotion : A Lifespan Approach</t>
  </si>
  <si>
    <t>Cattan, Mima; Tilford, Sylvia</t>
  </si>
  <si>
    <t>Patient Participation In Health Care Consultations : Qualitative Perspectives</t>
  </si>
  <si>
    <t>Collins, Sarah; Britten, Nicky; Ruusuvuori, Johanna</t>
  </si>
  <si>
    <t>Objectives And Outcomes : Questioning The Practice Of Therapy</t>
  </si>
  <si>
    <t>Elton Wilson, Jenifer; Syme, Gabrielle</t>
  </si>
  <si>
    <t>Foundations Of Emergency Care</t>
  </si>
  <si>
    <t>Evans, Cliff; Tippins, Emma</t>
  </si>
  <si>
    <t>Evaluation : Evaluation</t>
  </si>
  <si>
    <t>Green, Jackie; South, Jane</t>
  </si>
  <si>
    <t>Young People Living With Cancer : The Implications for Policy and Practice</t>
  </si>
  <si>
    <t>Grinyer, Anne</t>
  </si>
  <si>
    <t>NLP Coaching</t>
  </si>
  <si>
    <t>Hayes, Philip</t>
  </si>
  <si>
    <t>Partnerships In Community Mental Health Nursing And Dementia Care : Practice Perspectives</t>
  </si>
  <si>
    <t>Keady, John; Clarke, Charlotte; Page, Sean</t>
  </si>
  <si>
    <t>Mental Health Policy And Practice Across Europe : The Future Direction of Mental Health Care</t>
  </si>
  <si>
    <t>Knapp, Martin; McDaid, David; Mossialos, Elias; Thornicroft, G.J.</t>
  </si>
  <si>
    <t>Health Promotion Practice : Building Empowered Communities</t>
  </si>
  <si>
    <t>Laverack, Glenn</t>
  </si>
  <si>
    <t>Health Promotion Practice : Health Promotion Practice</t>
  </si>
  <si>
    <t>Davies, Maggie; Macdowall, Wendy; Bonnell, Chris</t>
  </si>
  <si>
    <t>Public Health For The 21st Century</t>
  </si>
  <si>
    <t>Orme, Judy; Powell, Jane; Taylor, Pat</t>
  </si>
  <si>
    <t>Social Policy For Nurses And The Helping Professions</t>
  </si>
  <si>
    <t>Peckham, Stephen; Meerabeau, Elizabeth</t>
  </si>
  <si>
    <t>Synthesising Qualitative And Quantitative Health Research : A Guide To Methods</t>
  </si>
  <si>
    <t>Pope, Catherine; Popay, Jennie; Mays, Nick</t>
  </si>
  <si>
    <t>Organ And Tissue Donation : An Evidence Base For Practice</t>
  </si>
  <si>
    <t>Payne, Sheila; Sque, Magi</t>
  </si>
  <si>
    <t>Young Children's Health And Well-being</t>
  </si>
  <si>
    <t>Underdown, Angela</t>
  </si>
  <si>
    <t>Medicine; Home Economics; Health</t>
  </si>
  <si>
    <t>Death's Dominion : Ethics At The End Of Life</t>
  </si>
  <si>
    <t>Woods, Simon</t>
  </si>
  <si>
    <t>Not Just a Pretty Face : The Ugly Side of the Beauty Industry</t>
  </si>
  <si>
    <t>New Society Publishers</t>
  </si>
  <si>
    <t>Malkan, Stacy</t>
  </si>
  <si>
    <t>Social Science; Economics; Business/Management</t>
  </si>
  <si>
    <t>Surgery Junkies : Wellness and Pathology in Cosmetic Culture</t>
  </si>
  <si>
    <t>Rutgers University Press</t>
  </si>
  <si>
    <t>Pitts-Taylor, Victoria</t>
  </si>
  <si>
    <t>Covenant of Care : Newark Beth Israel and the Jewish Hospital in America</t>
  </si>
  <si>
    <t>Kraut, Alan M.; Kraut, Deborah A.</t>
  </si>
  <si>
    <t>Suffering in the Land of Sunshine : A Los Angeles Illness Narrative</t>
  </si>
  <si>
    <t>Abel, Emily K.</t>
  </si>
  <si>
    <t>Evidence-based Protocols for Managing Wandering Behaviors</t>
  </si>
  <si>
    <t>Nelson, Audrey; Algase, Donna L.</t>
  </si>
  <si>
    <t>Annual Review of Nursing Education : Clinical Nursing Education</t>
  </si>
  <si>
    <t>Oermann, Marilyn H.</t>
  </si>
  <si>
    <t>Abortion Counseling : A Clinician's Guide to Psychology, Legislation, Politics, and Competency</t>
  </si>
  <si>
    <t>Needle, Rachel; Walker, Lenore E.A.</t>
  </si>
  <si>
    <t>Family Nurse Practitioner Certification : Intensive Review</t>
  </si>
  <si>
    <t>Codina Leik, Maria T.</t>
  </si>
  <si>
    <t>Atlas of Oral Pathology</t>
  </si>
  <si>
    <t>Young, William G.; Sedano, Heddie O.</t>
  </si>
  <si>
    <t>Health, Program Evaluation, and Demography : Research Instruments in Social Gerontology</t>
  </si>
  <si>
    <t>Mangen, David J.; Peterson, Warren A.</t>
  </si>
  <si>
    <t>Radiologic Diagnosis of Renal Transplant Complications</t>
  </si>
  <si>
    <t>Castaneda-Zuniga, W.R.</t>
  </si>
  <si>
    <t>Fixin Fish : A Guide to Handling, Buying, Preserving, and Preparing Fish</t>
  </si>
  <si>
    <t>Gunderson, Jeffrey</t>
  </si>
  <si>
    <t>Parents Guide to Cystic Fibrosis</t>
  </si>
  <si>
    <t>Shapiro, Burton L.; Heussner, Ralph; Heussner Jr, Ralph C.</t>
  </si>
  <si>
    <t>Parents Guide to Cleft Lip and Palate</t>
  </si>
  <si>
    <t>Moller, Karlind T.; Starr, Clark D.; Johnson, Sylvia A.</t>
  </si>
  <si>
    <t>Everywomans Guide to Nutrition</t>
  </si>
  <si>
    <t>Brown, Judith E.</t>
  </si>
  <si>
    <t>Bulimia Nervosa</t>
  </si>
  <si>
    <t>Mitchell, James. E.</t>
  </si>
  <si>
    <t>Genetic Environmental Factors in Clinical Allergy</t>
  </si>
  <si>
    <t>Marsh, David G.; Blumenthal, Malcolm</t>
  </si>
  <si>
    <t>Thinking Clearly about Psychology : Matters of Public Interest</t>
  </si>
  <si>
    <t>Cicchetti, Dante; Grove, William M.</t>
  </si>
  <si>
    <t>Thinking Clearly about Psychology : Personality and Psychopathology</t>
  </si>
  <si>
    <t>Evaluation of Joint Motion : Methods of Measurement and Recording</t>
  </si>
  <si>
    <t>Esch, Dortha; Lepley, Marvin; Magney, Jean</t>
  </si>
  <si>
    <t>Musculoskeletal Function : An Anatomy and Kinesiology Laboratory Manual</t>
  </si>
  <si>
    <t>Human Histology -- A Microfiche Atlas : Cells and Tissues</t>
  </si>
  <si>
    <t>Erlandsen, Stanley L.; Magney, Jean E.</t>
  </si>
  <si>
    <t>Science: Anatomy/Physiology; Science</t>
  </si>
  <si>
    <t>Medical Biochemistry : Principles and Experiments</t>
  </si>
  <si>
    <t>Van Pilsum, John; Roon, Robert J.</t>
  </si>
  <si>
    <t>Medical Biochemistry</t>
  </si>
  <si>
    <t>Bhagavan, N. V.</t>
  </si>
  <si>
    <t>The Disorders : Specialty Articles from the Encyclopedia of Mental Health</t>
  </si>
  <si>
    <t>Friedman, Howard S.; Friedman,</t>
  </si>
  <si>
    <t>Acute Toxicology Testing</t>
  </si>
  <si>
    <t>Gad, Shayne C.; Chengelis, Christopher P.</t>
  </si>
  <si>
    <t>Medicine; Pharmacy; Health; Social Science</t>
  </si>
  <si>
    <t>Bioelectrical Signal Processing in Cardiac and Neurological Applications</t>
  </si>
  <si>
    <t>Sörnmo, Leif; Laguna, Pablo; Sornmo, Leif</t>
  </si>
  <si>
    <t>Experimental Design : A Handbook and Dictionary for Medical and Behavioral Research</t>
  </si>
  <si>
    <t>Krauth, J.; Krauth, J</t>
  </si>
  <si>
    <t>Understanding Pain : What It Is, Why It Happens, and How It's Managed</t>
  </si>
  <si>
    <t>Gould III, Harry</t>
  </si>
  <si>
    <t>Multiple Sclerosis for the Practicing Neurologist</t>
  </si>
  <si>
    <t>Oger, Joel; Al-Araji, Adnan</t>
  </si>
  <si>
    <t>Guillain-Barre Syndrome : From Diagnosis to Recovery</t>
  </si>
  <si>
    <t>Parry, Gareth John; Steinberg, Joel S.</t>
  </si>
  <si>
    <t>Celiac Disease : A Guide to Living with Gluten Intolerance</t>
  </si>
  <si>
    <t>Bower, Sylvia Llewelyn; Sharrett, Mary Kay; Plogsted, Steve</t>
  </si>
  <si>
    <t>Complementary and Alternative Medicine and Multiple Sclerosis</t>
  </si>
  <si>
    <t>Bowling, Allen C.</t>
  </si>
  <si>
    <t>Handbook of EEG Interpretation</t>
  </si>
  <si>
    <t>Tatum, William O.; Husain, Aatif; Bembadis, Selim</t>
  </si>
  <si>
    <t>The Biomaterials - Silver Jubilee Compendium : Silver Jubilee Compendium</t>
  </si>
  <si>
    <t>Williams, D. F.; Williams, David F</t>
  </si>
  <si>
    <t>Human Viruses in Water : Perspectives in Medical Virology</t>
  </si>
  <si>
    <t>Bosch, Albert</t>
  </si>
  <si>
    <t>Health; Science: Biology/Natural History; Social Science; Science</t>
  </si>
  <si>
    <t>Self-Injurious Behavior in Intellectual Disabilities</t>
  </si>
  <si>
    <t>Rojahn, Johannes; Schroeder, Stephen R.; Hoch, Theodore A.</t>
  </si>
  <si>
    <t>Clinician's Handbook of Adult Behavioral Assessment</t>
  </si>
  <si>
    <t>Atherosclerosis and Autoimmunity</t>
  </si>
  <si>
    <t>Shoenfeld, Y.; Harats, D.; Wick, G.; Wick, G</t>
  </si>
  <si>
    <t>Healing Or Stealing : Medical Charlatans in the New Age</t>
  </si>
  <si>
    <t>Algora Publishing</t>
  </si>
  <si>
    <t>Abgrall, Jean-Marie</t>
  </si>
  <si>
    <t>Gene Illusion : Genetic Research in Psychiatry and Psychology Under the Microscope</t>
  </si>
  <si>
    <t>Joseph, Jay</t>
  </si>
  <si>
    <t>Vietnam Trilogy : Veterans and Post Traumatic Stress</t>
  </si>
  <si>
    <t>Scurfield, Raymond</t>
  </si>
  <si>
    <t>Missing Gene : Psychiatry, Heredity, and the Fruitless Search for Genes</t>
  </si>
  <si>
    <t>Type 1 Diabetes : Answers at your Fingertips</t>
  </si>
  <si>
    <t>Fox, Charles; Kilvert, Anne</t>
  </si>
  <si>
    <t>Type 2 Diabetes : Answers at your Fingertips</t>
  </si>
  <si>
    <t>Effective Management of Bladder and Bowel Problems in Children : For Healthcare Professionals</t>
  </si>
  <si>
    <t>Bonner, Liz; Wells, Mandy</t>
  </si>
  <si>
    <t>Primate Models of Children's Health and Developmental Disabilities</t>
  </si>
  <si>
    <t>Burbacher, Thomas M.; Grant, Kimberly S.; Sackett, Gene P.; Sackett, Gene P</t>
  </si>
  <si>
    <t>Vietnam Trilogy : Healing Journeys: Study Abroad with Vietnam Veterans</t>
  </si>
  <si>
    <t>Scurfield, Raymond Monsour</t>
  </si>
  <si>
    <t>Vietnam Trilogy : War Trauma: Lessons Unlearned, From Vietnam to Iraq</t>
  </si>
  <si>
    <t>Scurfield, Raymond M.</t>
  </si>
  <si>
    <t>Results That Last : Hardwiring Behaviors That Will Take Your Company to the Top</t>
  </si>
  <si>
    <t>Studer, Quint</t>
  </si>
  <si>
    <t>Business/Management</t>
  </si>
  <si>
    <t>Healthcare Fraud : Auditing and Detection Guide</t>
  </si>
  <si>
    <t>Busch, Rebecca S.</t>
  </si>
  <si>
    <t>Evidence-Based Neurology : Management of Neurological Disorders</t>
  </si>
  <si>
    <t>Candelise, Livia; Hughes, Richard; Liberati, Alessandro; Uitdehaag, Bernard M. J.; Warlow, Charles; Warlow, Charles</t>
  </si>
  <si>
    <t>Dictionary of Nursing : Over 11,000 Terms Clearly Defined</t>
  </si>
  <si>
    <t>Bloomsbury Publishing PLC</t>
  </si>
  <si>
    <t>Bloomsbury Publishing Staff</t>
  </si>
  <si>
    <t>Integration and Management of Traumatized People After Terrorist Attacks</t>
  </si>
  <si>
    <t>Begec, S.</t>
  </si>
  <si>
    <t>Strengthening National Public Health Preparedness and Response to Chemical, Biological and Radiological Agent Threats</t>
  </si>
  <si>
    <t>Cummings, C.E.; Stikova, E.</t>
  </si>
  <si>
    <t>Nursing Informatics 2020 : Towards Defining Our Own Future</t>
  </si>
  <si>
    <t>Murray, P.; Park, H-A.; Erdley, W.S.; Kim, Jeongeun</t>
  </si>
  <si>
    <t>Information Technology in Health Care 2007 : Proceedings of the 3rd International Conference on Information Technology in Health Care -- Socio-technical Approaches</t>
  </si>
  <si>
    <t>Coiera, E.; Westbrook, J.I.; Callen, J.L.; Aarts, Jos</t>
  </si>
  <si>
    <t>Assessment of the Ergonomic Quality of Hand-Held Tools and Computer Input Devices</t>
  </si>
  <si>
    <t>Engineering; Engineering: Mechanical; Engineering: General</t>
  </si>
  <si>
    <t>Assessment of Feigned Cognitive Impairment : A Neuropsychological Perspective</t>
  </si>
  <si>
    <t>Boone, K. B.; Boone, Kyle Brauer</t>
  </si>
  <si>
    <t>Collaborative Therapy with Multi-Stressed Families</t>
  </si>
  <si>
    <t>Madsen, William C.</t>
  </si>
  <si>
    <t>Growing up with Autism : Working with School-Age Children and Adolescents</t>
  </si>
  <si>
    <t>Gabriels, Robin L.; Hill, Dina E.</t>
  </si>
  <si>
    <t>Leaving It at the Office : A Guide to Psychotherapist Self-Care</t>
  </si>
  <si>
    <t>Norcross, John C.; Guy, James D., Jr.</t>
  </si>
  <si>
    <t>Treating Tourette Syndrome and Tic Disorders : A Guide for Practitioners</t>
  </si>
  <si>
    <t>Woods, Douglas W.; Piacentini, John C.; Walkup, John T.; Hollenbeck, Peter</t>
  </si>
  <si>
    <t>Working with Divorcing Spouses : How to Help Clients Navigate the Emotional and Legal Minefield</t>
  </si>
  <si>
    <t>Margulies, Sam</t>
  </si>
  <si>
    <t>Nursing Practice in Multiple Sclerosis : A Core Curriculum</t>
  </si>
  <si>
    <t>Halper, June; Harris, Colleen; Costello, Kathleen</t>
  </si>
  <si>
    <t>Food Safety Behaviour and Its Implications : Food Safety Behaviour and Its Implications</t>
  </si>
  <si>
    <t>Griffith, Chris; Griffith, Chris</t>
  </si>
  <si>
    <t>Health; Philosophy</t>
  </si>
  <si>
    <t>Food We Eat - A Range of Perspectives : A Range of Perspectives</t>
  </si>
  <si>
    <t>Vignali, Claudio; Kenyon, Alexandra J.; Kenyon, Alexandra J</t>
  </si>
  <si>
    <t>Health; Business/Management</t>
  </si>
  <si>
    <t>Power and People : Power and People</t>
  </si>
  <si>
    <t>Fitzgerald, Louise; Mark, Annabelle; McKee, Lorna; McKee, Dr Lorna</t>
  </si>
  <si>
    <t>Nutrition and Activity : Nutrition and Activity</t>
  </si>
  <si>
    <t>Blades, Mabel; Blades, Mabel</t>
  </si>
  <si>
    <t>Cardiac Arrest : The Science and Practice of Resuscitation Medicine</t>
  </si>
  <si>
    <t>Paradis, Norman A.; Halperin, Henry R.; Kern, Karl B.; Wenzel, Volker; Chamberlain, Douglas A.</t>
  </si>
  <si>
    <t>Severe Personality Disorders</t>
  </si>
  <si>
    <t>van Luyn, Bert; Akhtar, Salman; Livesley, W. John</t>
  </si>
  <si>
    <t>The Economics of Health Equity</t>
  </si>
  <si>
    <t>McIntyre, Di; Mooney, Gavin</t>
  </si>
  <si>
    <t>Applied Radiological Anatomy for Medical Students</t>
  </si>
  <si>
    <t>Butler, Paul; Mitchell, Adam; Ellis, Harold</t>
  </si>
  <si>
    <t>Science: Anatomy/Physiology; Science; Medicine</t>
  </si>
  <si>
    <t>Handbook of Stress, Trauma, and the Family : Handbook of Stress, Trauma, and the Family</t>
  </si>
  <si>
    <t>Catherall, Don R.</t>
  </si>
  <si>
    <t>The Age of Melancholy : Major Depression and Its Social Origin</t>
  </si>
  <si>
    <t>Blazer, Dan G.</t>
  </si>
  <si>
    <t>Extrapolating Evidence of Health Information Technology Savings and Costs</t>
  </si>
  <si>
    <t>Girosi, Federico; Meili, Robin; Scoville, Richard</t>
  </si>
  <si>
    <t>Child Anxiety Disorders : A Guide to Research and Treatment</t>
  </si>
  <si>
    <t>Beidel, Deborah C.; Turner, Sam</t>
  </si>
  <si>
    <t>Pediatric Epilepsy : Diagnosis and Therapy</t>
  </si>
  <si>
    <t>Pellock, John M.; Bourgeois, Blaise F.D.; Dodson, Edwin W.; Nordli, Dougl</t>
  </si>
  <si>
    <t>Behavioral Aspects of Epilepsy : Principles and Practice</t>
  </si>
  <si>
    <t>Holmes, Gregory L., MD; Schachter, Steven C.; Trenite, Dorothee GA Kasteleijn-Nolst, Dr., "MD,MPH"</t>
  </si>
  <si>
    <t>Parkinson's Disease : Diagnosis and Clinical Management</t>
  </si>
  <si>
    <t>Factor, Stewart A.; Weiner, William J.</t>
  </si>
  <si>
    <t>How Schools Can Help Students Recover from Traumatic Experiences : A Tool Kit for Supporting Long-Term Recovery</t>
  </si>
  <si>
    <t>Jaycox, Lisa H.; Morse, Lindsey K.; Tanielian, Terri</t>
  </si>
  <si>
    <t>Images of Bliss : Ejaculation, Masculinity, Meaning</t>
  </si>
  <si>
    <t>Aydemir, Murat</t>
  </si>
  <si>
    <t>Transplantation Medicine : Ein Leitfaden für den Praktiker</t>
  </si>
  <si>
    <t>Krukemeyer, Manfred Georg; Lison, A. E.</t>
  </si>
  <si>
    <t>Accident Assessment</t>
  </si>
  <si>
    <t>Mehrhoff, Friedrich; Meindl, Renate Ch.; Muhr, Gert</t>
  </si>
  <si>
    <t>Neuroethics : Challenges for the 21st Century</t>
  </si>
  <si>
    <t>Levy, Neil</t>
  </si>
  <si>
    <t>Nursing Home Administration</t>
  </si>
  <si>
    <t>Allen, James E.</t>
  </si>
  <si>
    <t>Essentials of Gerontological Nursing</t>
  </si>
  <si>
    <t>Wallace, Meredith</t>
  </si>
  <si>
    <t>The Encyclopedia of Elder Care : The Comprehensive Resource on Geriatric and Social Care, Second Edition</t>
  </si>
  <si>
    <t>Siegler, Eugenia L., MD, FACP; Capezuti, Elizabeth, PhD, RN, FAAN; Mezey, Mathy, EdD, RN, FAAN</t>
  </si>
  <si>
    <t>Adult Nurse Practitioner Certification : Intensive Review</t>
  </si>
  <si>
    <t>Parasuicidality and Paradox : Breaking Through the Medical Model</t>
  </si>
  <si>
    <t>Ellenhorn, Ross D.</t>
  </si>
  <si>
    <t>Osteoporosis : Clinical Guidelines for Prevention, Diagnosis, and Management</t>
  </si>
  <si>
    <t>Gueldner, Sarah Hall; Newman, Eric D.; Grabo, Theresa; Cooper, Mr David</t>
  </si>
  <si>
    <t>Psychotherapy in Everyday Life</t>
  </si>
  <si>
    <t>Dreier, Ole</t>
  </si>
  <si>
    <t>Scar of Visibility : Medical Performances and Contemporary Art</t>
  </si>
  <si>
    <t>Kuppers, Petra</t>
  </si>
  <si>
    <t>Fine Arts</t>
  </si>
  <si>
    <t>Heart Failure : A Clinical Nursing Handbook</t>
  </si>
  <si>
    <t>Nicholson, Christopher</t>
  </si>
  <si>
    <t>Genetics in Practice : A Clinical Approach for Healthcare Practitioners</t>
  </si>
  <si>
    <t>Haydon, Jo; Haydon, Jo</t>
  </si>
  <si>
    <t>Vascular Neurology : Questions and Answers</t>
  </si>
  <si>
    <t>Futrell, Nancy, MD; Jamieson, Dara G., MD</t>
  </si>
  <si>
    <t>Safeguarding the Health Sector in Times of Macroeconomic Instability : Policy Lessons for Low- and Middle-Income Countries</t>
  </si>
  <si>
    <t>Haddad, Slim; Bar, Enis; Narayana, Delampady</t>
  </si>
  <si>
    <t>Dark Medicine : Rationalizing Unethical Medical Research</t>
  </si>
  <si>
    <t>LaFleur, William R.; BÃ¶hme, Gernot; Shimazono, Susumu</t>
  </si>
  <si>
    <t>Treatments : Language, Politics, and the Culture of Illness</t>
  </si>
  <si>
    <t>Diedrich, Lisa</t>
  </si>
  <si>
    <t>The Cholesterol Wars : The Skeptics vs. the Preponderance of Evidence</t>
  </si>
  <si>
    <t>Steinberg, Daniel; Steinberg, Daniel</t>
  </si>
  <si>
    <t>Metabolic Syndrome and Psychiatric Illness : Interactions, Pathophysiology, Assessment and Treatment</t>
  </si>
  <si>
    <t>Mendelson, Scott D.</t>
  </si>
  <si>
    <t>A-Z of Food Safety</t>
  </si>
  <si>
    <t>Stranks, Jeremy</t>
  </si>
  <si>
    <t>Community Health Centers : A Movement and the People Who Made It Happen</t>
  </si>
  <si>
    <t>Lefkowitz, Bonnie</t>
  </si>
  <si>
    <t>Just Don't Get Sick : Access to Health Care in the Aftermath of Welfare Reform</t>
  </si>
  <si>
    <t>Seccombe, Karen; Hoffman, Kim A.</t>
  </si>
  <si>
    <t>Breeding Contempt : The History of Coerced Sterilization in the United States</t>
  </si>
  <si>
    <t>Largent, Mark A.; Largent, Mark</t>
  </si>
  <si>
    <t>Angle Closure Glaucoma</t>
  </si>
  <si>
    <t>Hong, C.; Yamamoto, T; Park, KH</t>
  </si>
  <si>
    <t>Classic Papers in Glaucoma</t>
  </si>
  <si>
    <t>Caronia, R.M.; Ritch, R</t>
  </si>
  <si>
    <t>Meaning of Medicine : The Human Person</t>
  </si>
  <si>
    <t>Animal Welfare - The case of Pig Farming : The Case of Pig Farming</t>
  </si>
  <si>
    <t>Bourlakis, Michael; Bourlakis, Michael</t>
  </si>
  <si>
    <t>Health; Engineering; Engineering: Chemical</t>
  </si>
  <si>
    <t>Thinking Positive - The Importance of Resilience and Listening to Children and Young People : The Importance of Resilience and Listening to Children and Young People</t>
  </si>
  <si>
    <t>Stewart, Don; McWhirter, Jenny; McWhirter, Jenny</t>
  </si>
  <si>
    <t>Patient Safety Structures, Processes and Outcomes : Patient Safety Structures, Processes and Outcomes</t>
  </si>
  <si>
    <t>Hurst, Keith; Hurst, Keith</t>
  </si>
  <si>
    <t>International Health and the Work of the Nuffield Centre for International Health and Development : International Health and the Work of the Nuffield Centre for International Health and Development</t>
  </si>
  <si>
    <t>Green, Andrew; Green, Andrew</t>
  </si>
  <si>
    <t>Introducing Lean in Healthcare : Introducing Lean in Healthcare</t>
  </si>
  <si>
    <t>Bowerman, Jennifer; Lamb-White, Jo; Lamb-White, Jo</t>
  </si>
  <si>
    <t>Textbook of Disaster Psychiatry</t>
  </si>
  <si>
    <t>Ursano, Robert J.; Fullerton, Carol S.; Weisaeth, Lars; Raphael, Beverley</t>
  </si>
  <si>
    <t>Law, Legitimacy and the Rationing of Health Care : A Contextual and Comparative Perspective</t>
  </si>
  <si>
    <t>Syrett, Keith</t>
  </si>
  <si>
    <t>Health; Law; Social Science</t>
  </si>
  <si>
    <t>Blood Disorders in the Elderly</t>
  </si>
  <si>
    <t>Balducci, Lodovico; Ershler, William; de Gaetano, Giovanni</t>
  </si>
  <si>
    <t>Atlas Nurses in Mental Health 2007 : Nurses in Mental Health 2007</t>
  </si>
  <si>
    <t>Comité de expertos de la OMS en farmacodependencia : Comité de Expertos de la OMS en Farmacodependencia : 34o Informe</t>
  </si>
  <si>
    <t>Social Science; Pharmacy; Medicine</t>
  </si>
  <si>
    <t>Comité OMS d'experts de la pharmacodépendance - Trente-quatrième rapport : Comité OMS d'Experts de la Pharmacodépendance : Trente-quatrième Rapport</t>
  </si>
  <si>
    <t>WHO; UNAIDS, ; World Health Organization,</t>
  </si>
  <si>
    <t>Pharmacy; Social Science; Medicine</t>
  </si>
  <si>
    <t>Control integral del cáncer cervicouterino : Guía de prácticas esenciales Publicación occasional</t>
  </si>
  <si>
    <t>Elemental Speciation in Human Health Risk Assessment : Elemental Speciation in Human Health Risk Assessment</t>
  </si>
  <si>
    <t>WHO; World Health Organization; International Program on Chemical Safety</t>
  </si>
  <si>
    <t>Ethical Challenges in Study Design and Informed Consent for Health Research in Resource-poor Settings</t>
  </si>
  <si>
    <t>Marshall, P.A.</t>
  </si>
  <si>
    <t>Global Surveillance, Prevention and Control of Chronic Respiratory Diseases : A Comprehensive Approach</t>
  </si>
  <si>
    <t>Informe sobre la salud en el mundo 2007 : Protección de la salud pública mundial en el siglo XXI: un porvenir más seguro Publicación oficial</t>
  </si>
  <si>
    <t>Le VIH et les hommes ayant des rapports sexuels avec des hommes dans la Région Asie/Pacifique : Publication ONUSIDA</t>
  </si>
  <si>
    <t>Legionella and the Prevention of Legionellosis</t>
  </si>
  <si>
    <t>Bartram, J.; Chartier, Lee; Pond, J.V.</t>
  </si>
  <si>
    <t>Neglected diseases : A Human Right Analysis</t>
  </si>
  <si>
    <t>Hunt, P.; Mesquita, J.</t>
  </si>
  <si>
    <t>Principles and Methods for Assessing Autoimmunity Associated with Exposure to Chemicals : Principles and Methods for Assessing Autoimmunity Associated with Exposure to Chemicals</t>
  </si>
  <si>
    <t>WHO; International Program on Chemical Safety; Collaborating Centre for Immunotoxicology and Allergic</t>
  </si>
  <si>
    <t>Medicine; Science: Biology/Natural History; Science</t>
  </si>
  <si>
    <t>Principles for Evaluating Health Risks in Children Associated with Exposure to Chemicals : Principles for Evaluating Health Risks in Children Associated with Exposure to Chemicals</t>
  </si>
  <si>
    <t>Promoting Safety of Medicines for Children</t>
  </si>
  <si>
    <t>Protection from Exposure to Second-hand Smoke : Policy Recommendations</t>
  </si>
  <si>
    <t>Quality Assurance of Pharmaceuticals : Good Manufacturing Practices and Inspection - A Compendium of Guidelines and Related Materials</t>
  </si>
  <si>
    <t>Health; Medicine; Pharmacy; Social Science</t>
  </si>
  <si>
    <t>Resorcinol : Resorcinol</t>
  </si>
  <si>
    <t>IPCS</t>
  </si>
  <si>
    <t>Hahn, S. K.; World Health Organization; International Program on Chemical Safety</t>
  </si>
  <si>
    <t>Scientific Basis of Tobacco Product Regulation : Report of a Joint WHO/FAO/UNU Expert Consultation</t>
  </si>
  <si>
    <t>Optimal Duration of Exclusive Breastfeeding : A Systematic Review Document produced by the Department of Child and Adolescent Health</t>
  </si>
  <si>
    <t>Kramer, M.S.; Kakuma, R.; World Health Organization, Department of Child and Adolescent Health</t>
  </si>
  <si>
    <t>World Health Report 2007 : A Safer Future: Global Public Health Security in the 21st Century</t>
  </si>
  <si>
    <t>WHO; Prentice, Thomson ; Reinders, Lina Tucker</t>
  </si>
  <si>
    <t>Verbal Autopsy Standards : Ascertaining and Attributing Cause of Death</t>
  </si>
  <si>
    <t>WHO Classification of Tumours of the Central Nervous System : WHO Classification of Tumours of the Central Nervous System (4th Edition)</t>
  </si>
  <si>
    <t>IARC</t>
  </si>
  <si>
    <t>IARC; International Agency for Research on Cancer; World Health Organization; Wiestler, Otmar D.; Louis, David N.</t>
  </si>
  <si>
    <t>WHO Research into Global Hazards of Travel (WRIGHT) Project : Final Report of Phase I</t>
  </si>
  <si>
    <t>Osteoarthritis, Inflammation and Degradation : A Continuum</t>
  </si>
  <si>
    <t>Buckwalter, J.; Lotz, M.; Stoltz, J.F.</t>
  </si>
  <si>
    <t>Social and Psychological Effects of Radiological Terrorism</t>
  </si>
  <si>
    <t>Khripunov, I.; Bolshov, L.; Nikonov, D.</t>
  </si>
  <si>
    <t>The Social Ecology of Infectious Diseases</t>
  </si>
  <si>
    <t>Mayer, Kenneth H.; Pizer, H. F.; Pizer, Mr H F</t>
  </si>
  <si>
    <t>Clinical Simulation : Operations, Engineering and Management</t>
  </si>
  <si>
    <t>Kyle, Richard R.; Murray, W. Bosseau; Kyle, Richard; Murray, W. Bosseau</t>
  </si>
  <si>
    <t>Doing What Works in Brief Therapy : A Strategic Solution Focused Approach</t>
  </si>
  <si>
    <t>Quick, Ellen K.</t>
  </si>
  <si>
    <t>Electrochemical Sensors, Biosensors and Their Biomedical Applications</t>
  </si>
  <si>
    <t>Zhang, Xueji; Ju, Huangxian; Wang, Joseph; Wang, Joseph</t>
  </si>
  <si>
    <t>Anatomy of Neuropsychiatry : The New Anatomy of the Basal Forebrain and Its Implications for Neuropsychiatric Illness</t>
  </si>
  <si>
    <t>Heimer, Lennart; Trimble, Michael; Van Hoesen, Gary W.; Zahm, Daniel S.</t>
  </si>
  <si>
    <t>Mommies, Daddies, Donors, Surrogates : Answering Tough Questions and Building Strong Families</t>
  </si>
  <si>
    <t>Ehrensaft, Diane</t>
  </si>
  <si>
    <t>Primary Angle-Closure and Angle-Closure Glaucoma</t>
  </si>
  <si>
    <t>Kessing, S.V.; Thygesen, J</t>
  </si>
  <si>
    <t>Intraocular Pressure</t>
  </si>
  <si>
    <t>Weinreb, Robert N.; Brandt, James D.; Garway-Heath, David</t>
  </si>
  <si>
    <t>Stroke : Selected Topics</t>
  </si>
  <si>
    <t>Bogousslavsky, Julien</t>
  </si>
  <si>
    <t>Risk Assessment for Chemicals in Drinking Water</t>
  </si>
  <si>
    <t>Howd, Robert A.; Fan, Anna M.</t>
  </si>
  <si>
    <t>Medical Microbiology for the New Curriculum : A Case-Based Approach</t>
  </si>
  <si>
    <t>Carey, Roberta B.; Schuster, Mindy G.; McGowan, Karin L.</t>
  </si>
  <si>
    <t>Statistical Advances in the Biomedical Sciences : Clinical Trials, Epidemiology, Survival Analysis, and Bioinformatics</t>
  </si>
  <si>
    <t>Biswas, Atanu; Datta, Sujay; Fine, Jason P.; Segal, Mark R.</t>
  </si>
  <si>
    <t>Fundamentals of Health Care Financial Management : A Practical Guide to Fiscal Issues and Activities</t>
  </si>
  <si>
    <t>Berger, Steven</t>
  </si>
  <si>
    <t>Peptidomics : Methods and Applications</t>
  </si>
  <si>
    <t>Soloviev, Mikhail; Andrén, Per; Shaw, Chris; Andrén, Per; André N, Per</t>
  </si>
  <si>
    <t>Wheat Antioxidants</t>
  </si>
  <si>
    <t>Yu, Liangli L.</t>
  </si>
  <si>
    <t>The Fattening of America : How the Economy Makes Us Fat, If It Matters, and What to Do about It</t>
  </si>
  <si>
    <t>Finkelstein, Eric A.; Zuckerman, Laurie</t>
  </si>
  <si>
    <t>The Organic Chemistry of Drug Synthesis</t>
  </si>
  <si>
    <t>Lednicer, Daniel</t>
  </si>
  <si>
    <t>Working Back : A Systems View</t>
  </si>
  <si>
    <t>Marras, William S.</t>
  </si>
  <si>
    <t>Medicine by Design : The Architect and the Modern Hospital, 1893-1943</t>
  </si>
  <si>
    <t>Adams, Annmarie</t>
  </si>
  <si>
    <t>Architecture; Social Science; Health</t>
  </si>
  <si>
    <t>Tropical Medicine : An Illustrated History of the Pioneers</t>
  </si>
  <si>
    <t>Cook, Gordon C.</t>
  </si>
  <si>
    <t>Neurologic Consequences of Malnutrition</t>
  </si>
  <si>
    <t>Amador, Claudia; Hernandez-Toranzo, Rebeca; Medina, Marco T.; Hesse, Heike; Holden, Kenton R; Morales-Ortiz, Ana</t>
  </si>
  <si>
    <t>Clinical Linguistics</t>
  </si>
  <si>
    <t>Edinburgh University Press</t>
  </si>
  <si>
    <t>Cummings, Louise</t>
  </si>
  <si>
    <t>Introduction to Public Health and Epidemiology</t>
  </si>
  <si>
    <t>Carr, Susan; Unwin, Nigel; Pless-Mulloli, Tanja</t>
  </si>
  <si>
    <t>Unequal Lives : Health and Socioeconomic Inequalities</t>
  </si>
  <si>
    <t>Graham, Hilary</t>
  </si>
  <si>
    <t>Safeguarding Children and Young People : A Handbook for Nurses and Midwives</t>
  </si>
  <si>
    <t>Powell, Catherine</t>
  </si>
  <si>
    <t>Public Health : Social Context and Action</t>
  </si>
  <si>
    <t>Scriven, Angela; Garman, Sebastian</t>
  </si>
  <si>
    <t>Study Skills for Nursing and Midwifery Students</t>
  </si>
  <si>
    <t>Scullion, Phillip A; Guest, David A</t>
  </si>
  <si>
    <t>User Participation Research in Health and Social Care : Voices, Values and Evaluation</t>
  </si>
  <si>
    <t>Nolan, Mike; Hanson, Elizabeth; Grant, Gordon</t>
  </si>
  <si>
    <t>Understanding Men and Health : Masculinity, Identity and Well-Being</t>
  </si>
  <si>
    <t>Robertson, Steve</t>
  </si>
  <si>
    <t>Surviving Your Placement in Health and Social Care : A Student Handbook</t>
  </si>
  <si>
    <t>Healey, Joan; Spencer, Margaret</t>
  </si>
  <si>
    <t>African American Grief : African American Grief</t>
  </si>
  <si>
    <t>Rosenblatt, Paul C.; Wallace, Beverly R.</t>
  </si>
  <si>
    <t>Sacred Feast : Reflections on Sacred Harp Singing and Dinner on the Ground</t>
  </si>
  <si>
    <t>Eastburn, Kathryn; Wunder, John R.</t>
  </si>
  <si>
    <t>Manual of Basic and Clinical Pharmacy and Pharmacology : (For B.D.S. Students)</t>
  </si>
  <si>
    <t>New Age International</t>
  </si>
  <si>
    <t>Chandra, Dinesh</t>
  </si>
  <si>
    <t>Immunology : Introductory Textbook</t>
  </si>
  <si>
    <t>Shetty, Nandini</t>
  </si>
  <si>
    <t>Cancer Vaccines and Tumor Immunity</t>
  </si>
  <si>
    <t>Orentas, Rimas; Hodge, James W.; Johnson, Bryon D.</t>
  </si>
  <si>
    <t>Pharmaceutical Manufacturing Handbook : Production and Processes</t>
  </si>
  <si>
    <t>Pharmaceutical Manufacturing Handbook : Regulations and Quality</t>
  </si>
  <si>
    <t>Preclinical Development Handbook : ADME and Biopharmaceutical Properties</t>
  </si>
  <si>
    <t>Preclinical Development Handbook : Toxicology</t>
  </si>
  <si>
    <t>Pharmacy; Social Science; Health; Medicine</t>
  </si>
  <si>
    <t>Acting Antics : A Theatrical Approach to Teaching Social Understanding to Kids and Teens with Asperger Syndrome</t>
  </si>
  <si>
    <t>Schneider, Cindy B.; Attwood, Tony; Attwood, Tony</t>
  </si>
  <si>
    <t>Advance Directives in Mental Health : Theory, Practice and Ethics</t>
  </si>
  <si>
    <t>Atkinson, Jacqueline M.</t>
  </si>
  <si>
    <t>Alone Together : Making an Asperger Marriage Work</t>
  </si>
  <si>
    <t>Bentley, Katrin; Attwood, Tony; Attwood, Tony</t>
  </si>
  <si>
    <t>An Integrated Approach to Family Work for Psychosis : A Manual for Family Workers</t>
  </si>
  <si>
    <t>Smith, Gina; Gregory, Karl; Higgs, Annie</t>
  </si>
  <si>
    <t>Asperger Syndrome and Bullying : Strategies and Solutions</t>
  </si>
  <si>
    <t>Dubin, Nick; Carley, Michael John</t>
  </si>
  <si>
    <t>At Home in the Land of Oz : Autism, My Sister, and Me</t>
  </si>
  <si>
    <t>Barnhill, Anne Clinard</t>
  </si>
  <si>
    <t>Autism, Play and Social Interaction</t>
  </si>
  <si>
    <t>Gammeltoft, Lone; Nordenhof, Marianne Sollok; Acker, Erik van</t>
  </si>
  <si>
    <t>Autistic Planet</t>
  </si>
  <si>
    <t>A Blessing and a Curse : Autism and Me</t>
  </si>
  <si>
    <t>Mór, Caiseal; Williams, Donna; Williams, Donna</t>
  </si>
  <si>
    <t>Brotherly Feelings : Me, My Emotions, and My Brother with Asperger's Syndrome</t>
  </si>
  <si>
    <t>Frender, Sam; Schiffmiller, Robin; Dittrich, Dennis</t>
  </si>
  <si>
    <t>Conduct Disorder and Offending Behaviour in Young People : Findings from Research</t>
  </si>
  <si>
    <t>Liabo, Kristin; Richardson, Joanna</t>
  </si>
  <si>
    <t>Counselling People on the Autism Spectrum : A Practical Manual</t>
  </si>
  <si>
    <t>Paxton, Katherine; Estay, Irene A.</t>
  </si>
  <si>
    <t>Empowering Children Through Art and Expression : Culturally Sensitive Ways of Healing Trauma and Grief</t>
  </si>
  <si>
    <t>Thomas, Bruce St; Johnson, Paul</t>
  </si>
  <si>
    <t>Everyday Education : Visual Support for Children with Autism</t>
  </si>
  <si>
    <t>Dyrbjerg, Pernille; Vedel, Maria; Pedersen, Lennart</t>
  </si>
  <si>
    <t>From Isolation to Intimacy : Making Friends Without Words</t>
  </si>
  <si>
    <t>Caldwell, Phoebe; Horwood, Jane</t>
  </si>
  <si>
    <t>A Guide to Psychological Debriefing : Managing Emotional Decompression and Post-Traumatic Stress Disorder</t>
  </si>
  <si>
    <t>Kinchin, David; Turnball, Gordon</t>
  </si>
  <si>
    <t>Healing the Inner City Child : Creative Arts Therapies with at-Risk Youth</t>
  </si>
  <si>
    <t>Austin, Diane; Bottos, Mark; Dayton, Tian; Haen, Craig; Hodermarska, Maria; Ierardi, Flossie; Kierr, Susan; Kowski, Juliane; Long, Janet; Camilleri, Vanessa A.</t>
  </si>
  <si>
    <t>Helping Children with Nonverbal Learning Disabilities to Flourish : A Guide for Parents and Professionals</t>
  </si>
  <si>
    <t>Martin, Marilyn; Martin Zion, Marilyn</t>
  </si>
  <si>
    <t>If You Turned into a Monster : Transformation Through Play - A Body-Centred Approach to Play Therapy</t>
  </si>
  <si>
    <t>McCarthy, Dennis; Greene, Richmond K.</t>
  </si>
  <si>
    <t>Intervention and Support for Parents and Carers of Children and Young People on the Autism Spectrum : A Resource for Trainers</t>
  </si>
  <si>
    <t>Wright, Barry; Williams, Christopher; Brayshaw, Joanne</t>
  </si>
  <si>
    <t>Learning to Live with Huntington's Disease : One Family's Story</t>
  </si>
  <si>
    <t>Sulaiman, Sandy; Sulaiman, Sandy; Dourado, Danny; Dourado, Phil; Sulaiman, Bromley; Sulaiman, Chantel</t>
  </si>
  <si>
    <t>Living Alongside a Child's Recovery : Therapeutic Parenting with Traumatized Children</t>
  </si>
  <si>
    <t>Pughe, Billy; Philpot, Terry; Walsh, Mary</t>
  </si>
  <si>
    <t>Living with Emetophobia : Coping with Extreme Fear of Vomiting</t>
  </si>
  <si>
    <t>Heaton-Harris, Nicolette; Dean, Linda</t>
  </si>
  <si>
    <t>Microanalysis in Music Therapy : Methods, Techniques and Applications for Clinicians, Researchers, Educators and Students</t>
  </si>
  <si>
    <t>Wosch, Thomas; Wigram, Tony; Wheeler, Barbara L.</t>
  </si>
  <si>
    <t>The Miller Method : Developing the Capacities of Children on the Autism Spectrum</t>
  </si>
  <si>
    <t>Miller, Arnold; Chre´tien, Kristina</t>
  </si>
  <si>
    <t>Nearing Death Awareness : A Guide to the Language, Visions, and Dreams of the Dying</t>
  </si>
  <si>
    <t>Sanders, Mary Anne</t>
  </si>
  <si>
    <t>Person-Centred Dementia Care : Making Services Better</t>
  </si>
  <si>
    <t>Brooker, Dawn</t>
  </si>
  <si>
    <t>Planning to Learn : Creating and Using a Personal Planner with Young People on the Autism Spectrum</t>
  </si>
  <si>
    <t>Harper-Hill, Keely; Lord, Stephanie</t>
  </si>
  <si>
    <t>Sociodrama and Collective Trauma</t>
  </si>
  <si>
    <t>Kellermann, Peter Felix</t>
  </si>
  <si>
    <t>Supporting the Child and the Family in Paediatric Palliative Care</t>
  </si>
  <si>
    <t>Brown, Erica; Warr, Brian; Smallman, Anne; Shribman, Sheila</t>
  </si>
  <si>
    <t>Talking Teenagers : Information and Inspiration for Parents of Teenagers with Autism or Asperger's Syndrome</t>
  </si>
  <si>
    <t>Boushey, Ann</t>
  </si>
  <si>
    <t>The Verbal Behavior Approach : How to Teach Children with Autism and Related Disorders</t>
  </si>
  <si>
    <t>Barbera, Mary Lynch; Rasmussen, Tracy; Sundberg, Mark L.</t>
  </si>
  <si>
    <t>Current Principles and Practices of Telemedicine and e-Health : Current Principles and Practices of Telemedicine and e-Health</t>
  </si>
  <si>
    <t>Latifi, R.</t>
  </si>
  <si>
    <t>Amputee Sports for Victims of Terrorism : Proceedings of the NATO Advanced Research Workshop on Training the Trainers of Amputee Players, Victims of Terrorism, Ankara, Turkey, 7-11 May 2007</t>
  </si>
  <si>
    <t>Center of Excellence - Defence Against Terrorism Ankara Turkey</t>
  </si>
  <si>
    <t>Sport &amp; Recreation</t>
  </si>
  <si>
    <t>Technology and Aging : Selected Papers from the 2007 International Conference on Technology and Aging</t>
  </si>
  <si>
    <t>Mihailidis, A.; Boger, J.; Kautz, H.</t>
  </si>
  <si>
    <t>Biomedicine in the Twentieth Century : Practices, Policies, and Politics</t>
  </si>
  <si>
    <t>Hannaway, C.</t>
  </si>
  <si>
    <t>A Short Introduction to Clinical Psychology</t>
  </si>
  <si>
    <t>Cheshire, Katherine; Pilgrim, David</t>
  </si>
  <si>
    <t>Autism and Early Years Practice : A Guide for Early Years Professionals, Teachers and Parents</t>
  </si>
  <si>
    <t>Wall, Kate, Ms</t>
  </si>
  <si>
    <t>Boys Get Anorexia Too : Coping with Male Eating Disorders in the Family</t>
  </si>
  <si>
    <t>Langley, Jenny</t>
  </si>
  <si>
    <t>Counselling for Post-traumatic Stress Disorder</t>
  </si>
  <si>
    <t>Scott, Michael J; Stradling, Stephen G</t>
  </si>
  <si>
    <t>Counselling Survivors of Childhood Sexual Abuse</t>
  </si>
  <si>
    <t>Draucker, Claire Burke; Martsolf, Donna</t>
  </si>
  <si>
    <t>Emotional Coaching : A Practical Programme to Support Young People</t>
  </si>
  <si>
    <t>Hromek, Robyn</t>
  </si>
  <si>
    <t>Guided Imagery : Creative Interventions in Counselling &amp; Psychotherapy</t>
  </si>
  <si>
    <t>Hall, Eric; Hall, Carol; Stradling, Pamela; Young, Diane</t>
  </si>
  <si>
    <t>Health and Inequality : Geographical Perspectives</t>
  </si>
  <si>
    <t>Curtis, Sarah</t>
  </si>
  <si>
    <t>How to Manage Children's Challenging Behaviour</t>
  </si>
  <si>
    <t>Rogers, Bill, Dr</t>
  </si>
  <si>
    <t>Implementing Change in Health Systems : Market Reforms in the United Kingdom, Sweden and The Netherlands</t>
  </si>
  <si>
    <t>Harrison, Michael I.</t>
  </si>
  <si>
    <t>Living with Autistic Spectrum Disorders : Guidance for Parents, Carers and Siblings</t>
  </si>
  <si>
    <t>Attfield, Elizabeth; Morgan, Hugh</t>
  </si>
  <si>
    <t>Narrative Therapy</t>
  </si>
  <si>
    <t>Payne, Martin</t>
  </si>
  <si>
    <t>Rational Emotive Behaviour Therapy in a Nutshell</t>
  </si>
  <si>
    <t>Neenan, Michael, Mr; Dryden, Windy</t>
  </si>
  <si>
    <t>Resources for Nursing Research : An Annotated Bibliography</t>
  </si>
  <si>
    <t>Clamp, Cynthia; Gough, Stephen; Land, Lucy</t>
  </si>
  <si>
    <t>General Works/Reference; Nursing</t>
  </si>
  <si>
    <t>Spirituality in Counselling and Psychotherapy</t>
  </si>
  <si>
    <t>Lines, Dennis</t>
  </si>
  <si>
    <t>Supervising Psychotherapy : Psychoanalytic and Psychodynamic Perspectives</t>
  </si>
  <si>
    <t>Driver, Christine; Martin, Edward; Banks, Mary; Mander, Gertrud; Stewart, John</t>
  </si>
  <si>
    <t>Genetic Witness : Science, Law, and Controversy in the Making of DNA Profiling</t>
  </si>
  <si>
    <t>Aronson, Jay D.</t>
  </si>
  <si>
    <t>The Truth about Health Care : Why Reform Is Not Working in America</t>
  </si>
  <si>
    <t>Mechanic, David</t>
  </si>
  <si>
    <t>Tuberculosis and the Politics of Exclusion : A History of Public Health and Migration to Los Angeles</t>
  </si>
  <si>
    <t>Abel, Emily K.; Apple, Rima D.; Golden, Janet</t>
  </si>
  <si>
    <t>Design for Nature in Dementia Care</t>
  </si>
  <si>
    <t>Chalfont, Garuth</t>
  </si>
  <si>
    <t>Involving Families in Care Homes : A Relationship-Centred Approach to Dementia Care</t>
  </si>
  <si>
    <t>Woods, Robert T.; Keady, John; Seddon, Diane; Woods, Bob</t>
  </si>
  <si>
    <t>A Self-Determined Future with Asperger Syndrome : Solution Focused Approaches</t>
  </si>
  <si>
    <t>Bliss, E. Veronica; Edmonds, Genevieve; O'Connell, Bill</t>
  </si>
  <si>
    <t>Trauma, Drug Misuse and Transforming Identities : A Life Story Approach</t>
  </si>
  <si>
    <t>Etherington, Kim; Don, Monty</t>
  </si>
  <si>
    <t>Understanding Learning Disability and Dementia : Developing Effective Interventions</t>
  </si>
  <si>
    <t>Kerr, Diana</t>
  </si>
  <si>
    <t>A Will of His Own : Reflections on Parenting a Child with Autism</t>
  </si>
  <si>
    <t>Harland, Kelly; Asher, Jane</t>
  </si>
  <si>
    <t>Management of Childhood Obesity</t>
  </si>
  <si>
    <t>Poskitt, Elizabeth; Edmunds, Laurel</t>
  </si>
  <si>
    <t>Society and Psychosis</t>
  </si>
  <si>
    <t>Morgan, Craig; McKenzie, Kwame; Fearon, Paul</t>
  </si>
  <si>
    <t>Mechanisms of Disease : An Introduction to Clinical Science</t>
  </si>
  <si>
    <t>Tomlinson, Stephen; Heagerty, Anthony M.; Weetman, Anthony P.; Malik, Rayaz A.</t>
  </si>
  <si>
    <t>Gender and Health : The Effects of Constrained Choices and Social Policies</t>
  </si>
  <si>
    <t>Bird, Chloe E.; Rieker, Patricia P.</t>
  </si>
  <si>
    <t>Obstetric Anesthesia and Uncommon Disorders</t>
  </si>
  <si>
    <t>Gambling, David R.; Douglas, M. Joanne; McKay, Robert S. F.</t>
  </si>
  <si>
    <t>Bipolar II Disorder : Modelling, Measuring and Managing</t>
  </si>
  <si>
    <t>Eyers, Kerrie; Parker, Gordon</t>
  </si>
  <si>
    <t>Ethno-psychopharmacology : Advances in Current Practice</t>
  </si>
  <si>
    <t>Ng, Chee H.; Lin, Keh-Ming; Singh, Bruce S.; Chiu, Edmond Y. K.</t>
  </si>
  <si>
    <t>Choosing to Die : Elective Death and Multiculturalism</t>
  </si>
  <si>
    <t>Prado, C. G.</t>
  </si>
  <si>
    <t>Architecture of Madness : Insane Asylums in the United States</t>
  </si>
  <si>
    <t>Yanni, Carla</t>
  </si>
  <si>
    <t>Architecture; Medicine</t>
  </si>
  <si>
    <t>The Clinical Management of Early Alzheimer's Disease : A Handbook</t>
  </si>
  <si>
    <t>Mulligan, Reinhild; Van der Linden, Martial; Juillerat, Anne-Claude</t>
  </si>
  <si>
    <t>Assessing Mental Health Across Cultures</t>
  </si>
  <si>
    <t>Andary, Lena; Stolk, Yvonne; klimidis, Steven; Klimdis, Steven</t>
  </si>
  <si>
    <t>Concepts in Genetic Medicine</t>
  </si>
  <si>
    <t>Dropulic, Boro; Carter, Barrie; Dropulic, Boro</t>
  </si>
  <si>
    <t>Advanced Safety Management Focusing on Z10 and Serious Injury Prevention : Focusing on Z10 and Serious Injury Prevention</t>
  </si>
  <si>
    <t>Manuele, Fred A.</t>
  </si>
  <si>
    <t>Biomedical Vibrational Spectroscopy</t>
  </si>
  <si>
    <t>Lasch, Peter; Kneipp, Janina; Celozzi, Salvatore; Janina, Kneipp</t>
  </si>
  <si>
    <t>Science; Science: Biology/Natural History; Science: Physics</t>
  </si>
  <si>
    <t>Skin in the Game : How Putting Yourself First Today Will Revolutionize Health Care Tomorrow</t>
  </si>
  <si>
    <t>Hammergren, John; Harkins, Phil; Hammergren, John; Harkins, Phil</t>
  </si>
  <si>
    <t>Integrated Management of Depression in the Elderly</t>
  </si>
  <si>
    <t>Chew-Graham, Carolyn A.; Baldwin, Robert; Burns, Alistair</t>
  </si>
  <si>
    <t>Case Studies in Neurological Rehabilitation</t>
  </si>
  <si>
    <t>Gaber, Tarek A-Z. K.</t>
  </si>
  <si>
    <t>Pragmatic Impairment</t>
  </si>
  <si>
    <t>Perkins, Michael</t>
  </si>
  <si>
    <t>Cambridge Textbook of Effective Treatments in Psychiatry</t>
  </si>
  <si>
    <t>Tyrer, Peter; Silk, Kenneth R.</t>
  </si>
  <si>
    <t>Drug Abuse : Concepts, Prevention, and Cessation</t>
  </si>
  <si>
    <t>Sussman, Steve; Ames, Susan L.</t>
  </si>
  <si>
    <t>Cardiovascular English</t>
  </si>
  <si>
    <t>Springer</t>
  </si>
  <si>
    <t>Ribes, Ramón; Mejía Viana, Sergio</t>
  </si>
  <si>
    <t>Handbook of Pediatric Cardiovascular Drugs</t>
  </si>
  <si>
    <t>Munoz, Ricardo; Roth, Stephen J.; Vetterly, Carol G.; da Cruz, Eduardo</t>
  </si>
  <si>
    <t>Risk Prevention in Ophthalmology</t>
  </si>
  <si>
    <t>Kraushar, Marvin</t>
  </si>
  <si>
    <t>Genes, Development and Cancer : The Life and Work of Edward B. Lewis</t>
  </si>
  <si>
    <t>Lewis, Edward B.; Lipshitz, Howard D.</t>
  </si>
  <si>
    <t>Handbook of Renal Biopsy Pathology</t>
  </si>
  <si>
    <t>Howie, Alexander J.</t>
  </si>
  <si>
    <t>Genomics in Endocrinology : DNA Microarray Analysis in Endocrine Health and Disease</t>
  </si>
  <si>
    <t>Humana Press</t>
  </si>
  <si>
    <t>Conn, P. Michael; Aronow, Bruce J.; Handwerger, Stuart</t>
  </si>
  <si>
    <t>Food Materials Science : Principles and Practice</t>
  </si>
  <si>
    <t>Aguilera, Jose Miguel; Lillford, Peter J.</t>
  </si>
  <si>
    <t>Engineering: Chemical; Engineering</t>
  </si>
  <si>
    <t>The Immune Synapse As a Novel Target for Therapy</t>
  </si>
  <si>
    <t>Birkhäuser Boston</t>
  </si>
  <si>
    <t>Graca, Luis; Graca, Luis</t>
  </si>
  <si>
    <t>Transplantation of Composite Tissue Allografts</t>
  </si>
  <si>
    <t>Gordon, Chad R.; Hewitt, Charles W.; Lee, W. P. Andrew</t>
  </si>
  <si>
    <t>Intelligent Systems Modeling and Decision Support in Bioengineering</t>
  </si>
  <si>
    <t>Artech House</t>
  </si>
  <si>
    <t>Mahfouf, Mahdi</t>
  </si>
  <si>
    <t>Advanced Methods and Tools for ECG Data Analysis</t>
  </si>
  <si>
    <t>Clifford, Gari</t>
  </si>
  <si>
    <t>Electrotherapeutic Devices : Principles, Design, and Applications</t>
  </si>
  <si>
    <t>O'Clock, George D.</t>
  </si>
  <si>
    <t>Matching Pursuit and Unification in EEG Analysis</t>
  </si>
  <si>
    <t>Durka, Piotr</t>
  </si>
  <si>
    <t>Translational Approaches in Tissue Engineering and Regenerative Medicine</t>
  </si>
  <si>
    <t>Mao, Jeremy J.; Mikos, Antonios G.; Vunjak-Novakovic, Gordana</t>
  </si>
  <si>
    <t>Micro and Nano Manipulations for Biomedical Applications</t>
  </si>
  <si>
    <t>Yih, Tachung C.; Yih, Tachung</t>
  </si>
  <si>
    <t>Innovations and Advances in  Cognitive Behaviour Therapy</t>
  </si>
  <si>
    <t>Einstein, Danielle</t>
  </si>
  <si>
    <t>Kidney Transplants Explained : Everything You Need to Know</t>
  </si>
  <si>
    <t>Stein, Dr Andy; Higgins, Dr Rob; Wild, Janet</t>
  </si>
  <si>
    <t>Gout : Answers at Your Fingertips</t>
  </si>
  <si>
    <t>Grahame, Professor Rodney; Simmonds, Dr Anne H; Carrey, Dr Elizabeth</t>
  </si>
  <si>
    <t>Vital Lung Function : Your Essential References on Lung Function Testing</t>
  </si>
  <si>
    <t>Booker, Rachel</t>
  </si>
  <si>
    <t>Alzheimer's &amp; Other Dementias : Answers at Your Fingertips</t>
  </si>
  <si>
    <t>Cayton, Harry; Graham, Dr Nori; Warner, Dr James</t>
  </si>
  <si>
    <t>Resolving Patient Ambivalence : A Five Session Motivational Interviewing Intervention</t>
  </si>
  <si>
    <t>Fields, Ann</t>
  </si>
  <si>
    <t>Delivering Fitness : Your Guide to Health and Strength Training during Pregnancy</t>
  </si>
  <si>
    <t>Mikeska, Erinn; Quatro, Christine</t>
  </si>
  <si>
    <t>Bioelectromagnetic Healing : A Rationale for Its Use (Revised Edition)</t>
  </si>
  <si>
    <t>Valone, Thomas</t>
  </si>
  <si>
    <t>Psychophysiology of Sex</t>
  </si>
  <si>
    <t>Janssen, Erick</t>
  </si>
  <si>
    <t>Autism and Loss</t>
  </si>
  <si>
    <t>Forrester-Jones, Rachel; Broadhurst, Sarah</t>
  </si>
  <si>
    <t>Cool Connections with Cognitive Behavioural Therapy : Encouraging Self-Esteem, Resilience and Well-Being in Children and Young People Using Cbt Approaches</t>
  </si>
  <si>
    <t>Seiler, Laurie</t>
  </si>
  <si>
    <t>Integrated Yoga : Yoga with a Sensory Integrative Approach</t>
  </si>
  <si>
    <t>Cuomo, Nicole C.</t>
  </si>
  <si>
    <t>A Personal Guide to Living with Progressive Memory Loss</t>
  </si>
  <si>
    <t>Burgener, Sandy; Twigg, Prudence</t>
  </si>
  <si>
    <t>Relating to Clients : The Therapeutic Relationship for Complementary Therapists</t>
  </si>
  <si>
    <t>Fox, Su</t>
  </si>
  <si>
    <t>Understanding Motor Skills in Children with Dyspraxia, ADHD, Autism, and Other Learning Disabilities : A Guide to Improving Coordination</t>
  </si>
  <si>
    <t>Understanding Nonverbal Learning Disabilities : Parents and Professionals</t>
  </si>
  <si>
    <t>Mamen, Maggie</t>
  </si>
  <si>
    <t>Clinicians' Guide to Adult ADHD : Assessment and Intervention</t>
  </si>
  <si>
    <t>Goldstein, Sam; Ellison, Anne Teeter; Ellison, Anne Teeter</t>
  </si>
  <si>
    <t>Gluten-Free Cereal Products and Beverages</t>
  </si>
  <si>
    <t>Dal Bello, Fabio; Arendt, Elke; Dal Bello, Fabio</t>
  </si>
  <si>
    <t>Medicine; Engineering; Engineering: Chemical; Pharmacy</t>
  </si>
  <si>
    <t>Endocrine Manifestations of Systemic Autoimmune Diseases</t>
  </si>
  <si>
    <t>Panik, Michael J.; Asherson, Ronald; Jara, Luis J.; Walker, Sara</t>
  </si>
  <si>
    <t>Mathematics</t>
  </si>
  <si>
    <t>Menopause : A Biocultural Perspective</t>
  </si>
  <si>
    <t>Sievert, Lynnette Leidy</t>
  </si>
  <si>
    <t>Menopause</t>
  </si>
  <si>
    <t>Viva Voce of Biochemistry</t>
  </si>
  <si>
    <t>Rao, B. Prabhakar</t>
  </si>
  <si>
    <t>Science; Science: Chemistry; Science: Biology/Natural History; Medicine</t>
  </si>
  <si>
    <t>Upper Motor Neurone Syndrome and Spasticity : Clinical Management and Neurophysiology</t>
  </si>
  <si>
    <t>Barnes, Michael P.; Johnson, Garth R.</t>
  </si>
  <si>
    <t>Pain Management in Interventional Radiology</t>
  </si>
  <si>
    <t>Ray, Jr., Charles E.</t>
  </si>
  <si>
    <t>Obsessive-Compulsive Disorder : Subtypes and Spectrum Conditions</t>
  </si>
  <si>
    <t>Abramowitz, Jonathan S.; McKay, Dean; Taylor, Steven; Abramowitz, Dr Jonathan S</t>
  </si>
  <si>
    <t>Assessing Financing, Education, Management and Policy Context for Strategic Planning of Human Resources for Health</t>
  </si>
  <si>
    <t>Social Science; Health; Economics</t>
  </si>
  <si>
    <t>Practical Guidelines for Intensifying HIV Prevention : Towards Universal Access</t>
  </si>
  <si>
    <t>Rabies and Envenomings : A Neglected Public Health Issue</t>
  </si>
  <si>
    <t>Safety Evaluation of Certain Food Additives and Contaminants : Sixty-Seventh Meeting of the Joint FAO/WHO Expert Committee on Food Additives</t>
  </si>
  <si>
    <t>WHO Expert Committee on Problems Related to Alcohol Consumption : Second Report</t>
  </si>
  <si>
    <t>WHO Guidelines on Tularaemia</t>
  </si>
  <si>
    <t>Application of the International Classification of Diseases to Neurology (ICD-NA)</t>
  </si>
  <si>
    <t>Application of the International Classification of Diseases to Dentistry and Stomatology</t>
  </si>
  <si>
    <t>International Classification of Procedures in Medicine</t>
  </si>
  <si>
    <t>ICD-10 Classification of Mental and Behavioural Disorders : Diagnostic Criteria for Research</t>
  </si>
  <si>
    <t>ICD-10 Classification of Mental and Behavioural Disorders : Clinical Descriptions and Diagnostic Guidelines</t>
  </si>
  <si>
    <t>Monitoring the Declaration of Commitment on HIV/AIDS : Guidelines on Construction of Core Indicators</t>
  </si>
  <si>
    <t>Cancers in the Urban Environment : Patterns of Malignant Disease in Los Angeles County and Its Neighborhoods</t>
  </si>
  <si>
    <t>Mack, Thomas M.; Cockburn, Myles</t>
  </si>
  <si>
    <t>International Travel and Health 2008 : Situation as on 1 January 2008</t>
  </si>
  <si>
    <t>Prescription Drug Guide For Nurses</t>
  </si>
  <si>
    <t>Jordan, Sue</t>
  </si>
  <si>
    <t>Nature of Brucellosis</t>
  </si>
  <si>
    <t>Spink, Wesley W.</t>
  </si>
  <si>
    <t>Autonomic Imbalance and the Hypothalamus : Implications for Physiology, Medicine, Psychology, and Neuropsychiatry</t>
  </si>
  <si>
    <t>Gellhorn, Ernst</t>
  </si>
  <si>
    <t>Variables Related to Human Breast Cancer</t>
  </si>
  <si>
    <t>Anderson, V. Elving; Goodman, Harold O; Reed, Sheldon Clark</t>
  </si>
  <si>
    <t>Bacteriology of Tuberculosis</t>
  </si>
  <si>
    <t>Darzins, Egons</t>
  </si>
  <si>
    <t>Onset of Stuttering : Research Findings and Implications</t>
  </si>
  <si>
    <t>Johnson, Wendell</t>
  </si>
  <si>
    <t>Decision Making in Hospital Administration and Medical Care : A Casebook</t>
  </si>
  <si>
    <t>Hamilton, James A.</t>
  </si>
  <si>
    <t>Patterns of Hospital Ownership and Control</t>
  </si>
  <si>
    <t>Studies in the Metabolism of Vitamin B12</t>
  </si>
  <si>
    <t>Doscherholmen, Alfred</t>
  </si>
  <si>
    <t>Mentally Retarded Children : What Parents and Other Should Know</t>
  </si>
  <si>
    <t>Blodgett, Harriet E.</t>
  </si>
  <si>
    <t>Frontiers in Comparative Medicine</t>
  </si>
  <si>
    <t>Beveridge, W.I.B.</t>
  </si>
  <si>
    <t>Blacks and American Medical Care</t>
  </si>
  <si>
    <t>Seham, Max</t>
  </si>
  <si>
    <t>Mathematical Models in the Health Sciences : A Computer-Aided Approach</t>
  </si>
  <si>
    <t>Ackerman, Eugene; Gatewood, Lael Cranmer</t>
  </si>
  <si>
    <t>Infectious Diseases : Prevention and Treatment in the Nineteenth and Twentieth Centuries</t>
  </si>
  <si>
    <t>Clinical Decisions and Laboratory Use</t>
  </si>
  <si>
    <t>Connelly, Donald P.</t>
  </si>
  <si>
    <t>Reducing the Cost of Dental Care</t>
  </si>
  <si>
    <t>Kudrle, Robert T.; Meskin, Lawrence H</t>
  </si>
  <si>
    <t>Business/Management; Medicine; Economics</t>
  </si>
  <si>
    <t>The Health Care Revolution : From Medical Monopoly to Market Competition</t>
  </si>
  <si>
    <t>Ameringer, Carl F.</t>
  </si>
  <si>
    <t>The Taste of Place : A Cultural Journey into Terroir</t>
  </si>
  <si>
    <t>Trubek, Amy B.</t>
  </si>
  <si>
    <t>Health; Home Economics</t>
  </si>
  <si>
    <t>Taking Charge of Breast Cancer</t>
  </si>
  <si>
    <t>Ericksen, Julia A.; Ericksen, Julia</t>
  </si>
  <si>
    <t>Compulsive Acts : A Psychiatrist's Tales of Ritual and Obsession</t>
  </si>
  <si>
    <t>Aboujaoude, Elias; Aboujaoude, Director Ocd Clinic and Director Impulse Control Disorders Clinic Elias</t>
  </si>
  <si>
    <t>DNA : Promise and Peril</t>
  </si>
  <si>
    <t>Mccabe, Linda L.; McCabe, Edward R. B.; McKusick, Victor, M. D.</t>
  </si>
  <si>
    <t>Aghor Medicine : Pollution, Death, and Healing in Northern India</t>
  </si>
  <si>
    <t>Barrett, Ronald L.; Parry, Jonathan P.</t>
  </si>
  <si>
    <t>Food Science</t>
  </si>
  <si>
    <t>Mudambi, Sumati R.; Rao, Shalini M; Rajagopal, M V</t>
  </si>
  <si>
    <t>Engineering: Chemical; Engineering; Health; Engineering: General</t>
  </si>
  <si>
    <t>Paediatric Ophthalmology</t>
  </si>
  <si>
    <t>Mukherjee, P.K.</t>
  </si>
  <si>
    <t>Rao, N.Mallikarjuna</t>
  </si>
  <si>
    <t>Medicine; Science: General</t>
  </si>
  <si>
    <t>Medicine Meets Engineering : Proceedings of the 2nd Conference on Applied Biomechanics Regensburg</t>
  </si>
  <si>
    <t>Hammer, J.; Nerlich, M.; Dendorfer, S.</t>
  </si>
  <si>
    <t>eHealth : Combining Health Telematics, Telemedicine, Biomedical Engineering and Bioinformatics to the Edge:Global Experts Summit Textbook</t>
  </si>
  <si>
    <t>Blobel, B.; Pharow, P.; Nerlich, M.</t>
  </si>
  <si>
    <t>Conservative Scoliosis Treatment : 1st SOSORT Instructional Course Lectures Book</t>
  </si>
  <si>
    <t>Grivas, Th.B.</t>
  </si>
  <si>
    <t>Nezhat's Operative Gynecologic Laparoscopy and Hysteroscopy : Principles and Techniques</t>
  </si>
  <si>
    <t>Nezhat, Camran; Nezhat, Farr; Nezhat, Ceana</t>
  </si>
  <si>
    <t>Practical Approach to Neurophysiologic Intraoperative Monitoring</t>
  </si>
  <si>
    <t>Husain, Aatif</t>
  </si>
  <si>
    <t>Restless Legs Syndrome : Coping with Your Sleepless Nights</t>
  </si>
  <si>
    <t>Buchfuhrer, Mark J.; Hening, Wayne; Kushida, Clete</t>
  </si>
  <si>
    <t>Sex and Relationship Education : Bridging the Gap between Research and Practice</t>
  </si>
  <si>
    <t>Kane, Dr Roslyn</t>
  </si>
  <si>
    <t>Health; Education; Social Science</t>
  </si>
  <si>
    <t>Patient Satisfaction Structures, Processes and Outcomes : Patient Satisfaction Structures, Processes and Outcomes</t>
  </si>
  <si>
    <t>Hurst, Keith; Downey-Ennis, Kay</t>
  </si>
  <si>
    <t>Incentives in Health Systems : developing theory, investigating practice</t>
  </si>
  <si>
    <t>Mannion, Dr Russell; Davies, Professor Huw</t>
  </si>
  <si>
    <t>Current Issues of Sustainable Development : Current Issues of Sustainable Development</t>
  </si>
  <si>
    <t>Platje, Joost; Filho, Walter Leal</t>
  </si>
  <si>
    <t>Social Science; Health; Economics; Business/Management</t>
  </si>
  <si>
    <t>Work of the NHS Institute : The Work of the NHS Institute</t>
  </si>
  <si>
    <t>Rogers, Hugh</t>
  </si>
  <si>
    <t>Mycotoxins : Detection Methods, Management, Public Health and Agricultural Trade</t>
  </si>
  <si>
    <t>France, J.; Bandyopadhyay, Leslie R.; Visconti, A.</t>
  </si>
  <si>
    <t>Public Health : The Development of a Discipline - From the Age of Hippocrates to the Progressive Era</t>
  </si>
  <si>
    <t>Schneider, Dona; Lilienfeld, David E.</t>
  </si>
  <si>
    <t>Writing Reports for Court : A Practical Guide for Psychologists Working in Forensic Contexts</t>
  </si>
  <si>
    <t>White, Jack; Day, Andrew; Hackett, Louisa</t>
  </si>
  <si>
    <t>Acute Brain and Spinal Cord Injury : Evolving Paradigms and Management</t>
  </si>
  <si>
    <t>Kirsch, Jeffrey R.; Bhardwaj, Anish; Kirsch, Jeffrey R.</t>
  </si>
  <si>
    <t>World Health Statistics 2008</t>
  </si>
  <si>
    <t>Prise en charge des problèmes du nouveau-né</t>
  </si>
  <si>
    <t>Safety Evaluation of Certain Food Additives and Contaminants : Sixty-eighth Report of the Joint FAO/Who Expert Committee on Food Additives</t>
  </si>
  <si>
    <t>Scaling up Health Service Delivery : From Pilot Innovations to Policies and Programmes</t>
  </si>
  <si>
    <t>Simmons, R.; Fajans, P.; Ghiron, L.</t>
  </si>
  <si>
    <t>WHO Global Report on Falls Prevention in Older Age : Prevention in Older Age</t>
  </si>
  <si>
    <t>Older People in Emergencies : Considerations for Action and Policy Development</t>
  </si>
  <si>
    <t>Essential Environmental Health Standards for Health Care</t>
  </si>
  <si>
    <t>Adams, J.; Bartram, J.; Chartier, Y.</t>
  </si>
  <si>
    <t>WHO Expert Committee on Specifications for Pharmaceutical Preparations : Forty-second Report</t>
  </si>
  <si>
    <t>WHO Report on the Global Tobacco Epidemic 2008 : The MPOWER Package</t>
  </si>
  <si>
    <t>Cancer Control : Diagnosis and Treatment</t>
  </si>
  <si>
    <t>WHO Child Growth Standards : Methods and Development</t>
  </si>
  <si>
    <t>Evaluation of Certain Food Additives and Contaminants : Sixty-seventh Report of the Joint FAO/WHO Expert Committee on Food Additives</t>
  </si>
  <si>
    <t>Cancer Control : Prevention</t>
  </si>
  <si>
    <t>Chimioprévention des helminthiases chez l'homme : Utilisation coordonnée des médicaments anthelminthiques pour les interventions de lutte</t>
  </si>
  <si>
    <t>Global Tuberculosis Control 2008 : Surveillance, Planning, Financing</t>
  </si>
  <si>
    <t>Animal-Assisted Interventions for Individuals with Autism</t>
  </si>
  <si>
    <t>Pavlides, Merope; Grandin, Temple</t>
  </si>
  <si>
    <t>Asperger Meets Girl : Happy Endings for Asperger Boys</t>
  </si>
  <si>
    <t>Griffiths, Jonathan; Jones, Hugh</t>
  </si>
  <si>
    <t>Asperger Syndrome and Employment : Adults Speak Out about Asperger Syndrome</t>
  </si>
  <si>
    <t>Biddulph, John; Bliss, Vicky; Bricher, Philip; Brown, Alexandra; Cornwell, Stephen William; Haggarty, Mark; Harvey, Giles; Henderson, Anne; Edmonds, Genevieve; Beardon, Luke</t>
  </si>
  <si>
    <t>Asperger Syndrome and Social Relationships : Adults Speak Out about Asperger Syndrome</t>
  </si>
  <si>
    <t>Shepherd, Neil; Willey, Liane Holliday; Worton, Dean; Bliss, Vicky; Brown, Alexandra; Cornwell, Stephen William; Harvey, Giles; Henderson, Anne; Edmonds, Genevieve; Beardon, Luke</t>
  </si>
  <si>
    <t>Autism and Its Medical Management : A Guide for Parents and Professionals</t>
  </si>
  <si>
    <t>Chez, Michael G.</t>
  </si>
  <si>
    <t>Autism Heroes : Portraits of Families Meeting the Challenge</t>
  </si>
  <si>
    <t>Firestone, Barbara; Buissink, Joe; Cole, Ted</t>
  </si>
  <si>
    <t>Autistics' Guide to Dating : A Book by Autistics, for Autistics and Those Who Love Them or Who Are in Love with Them</t>
  </si>
  <si>
    <t>Ramey, Emilia Murry; Ramey, Jody John</t>
  </si>
  <si>
    <t>Beating Eating Disorders Step by Step : A Self-Help Guide for Recovery</t>
  </si>
  <si>
    <t>Paterson, Anna</t>
  </si>
  <si>
    <t>Can't Play Won't Play : Simply Sizzling Ideas to Get the Ball Rolling for Children with Dyspraxia</t>
  </si>
  <si>
    <t>Drew, Sharon; Atter, Elizabeth; Drew, Sharon</t>
  </si>
  <si>
    <t>A Child's Journey to Recovery : Assessment and Planning with Traumatized Children</t>
  </si>
  <si>
    <t>Tomlinson, Patrick; Philpot, Terry; Walsh, Mary; Tomlinson, Patrick</t>
  </si>
  <si>
    <t>Children with Complex and Continuing Health Needs : The Experiences of Children, Families and Care Staff</t>
  </si>
  <si>
    <t>Hewitt-Taylor, Jaqui</t>
  </si>
  <si>
    <t>Children with Mental Disorder and the Law : A Guide to Law and Practice</t>
  </si>
  <si>
    <t>Harbour, Anthony; Mitchell, Mary; Whitaker, Wendy</t>
  </si>
  <si>
    <t>The Creative Arts in Palliative Care</t>
  </si>
  <si>
    <t>Butchers, Adrian; Dobbs, Sam; Gillman, Abigail; Harmer, Lynn; Hearth, Virginia; Sands, Mick; Tasker, Marion; Hartley, Nigel; Payne, Malcolm</t>
  </si>
  <si>
    <t>Disability and Impairment : Working with Children and Families</t>
  </si>
  <si>
    <t>Burke, Peter</t>
  </si>
  <si>
    <t>Dyslogic Syndrome : Why Millions of Kids Are Hyper, Attention-Disordered, Learning Disabled, Depressed, Aggressive, Defiant, or Violent - And What We Can Do about It</t>
  </si>
  <si>
    <t>Rimland, Bernard</t>
  </si>
  <si>
    <t>The Expressive Arts Activity Book : A Resource for Professionals</t>
  </si>
  <si>
    <t>Darley, Suzanne; Heath, Wende; Darley, Mark; Darley, Mark</t>
  </si>
  <si>
    <t>Extreme Parenting : Parenting Your Child with a Chronic Illness</t>
  </si>
  <si>
    <t>Dempsey, Sharon; Davis, Hilton; Housden, Maria</t>
  </si>
  <si>
    <t>Families of Adults with Autism : Stories and Advice for the Next Generation</t>
  </si>
  <si>
    <t>McCarthy, Gerda; Johnson, Jane; Van Rensselaer, Anne; Edelson, Stephen M.; McCarthy, Gerda</t>
  </si>
  <si>
    <t>Help Your Child or Teen Get Back on Track : What Parents and Professionals Can Do for Childhood Emotional and Behavioral Problems</t>
  </si>
  <si>
    <t>Talan, Kenneth H.</t>
  </si>
  <si>
    <t>Love, Sex, and Long-Term Relationships : What People with Asperger Syndrome Really Really Want</t>
  </si>
  <si>
    <t>Hendrickx, Sarah; Shore, Stephen</t>
  </si>
  <si>
    <t>Mental Health Interventions and Services for Vulnerable Children and Young People</t>
  </si>
  <si>
    <t>Eheart, Brenda-Krause; Townsend, Ellen; Webb, Elspeth; Allen, Jeanette; Beckmann, Lacey; Brooks, Rachel; Dogra, Nisha; Edwards, Vicky; Vostanis, Panos; Williams, Richard</t>
  </si>
  <si>
    <t>Mind/Body Techniques for Asperger's Syndrome : The Way of the Pathfinder</t>
  </si>
  <si>
    <t>Rubio, Ron; Brody, Irene; Castrogiovanni, Anthony</t>
  </si>
  <si>
    <t>The Myriad Gifts of Asperger's Syndrome</t>
  </si>
  <si>
    <t>Ortiz, John M.</t>
  </si>
  <si>
    <t>Narrative Approaches in Play with Children</t>
  </si>
  <si>
    <t>Cattanach, Ann; Webster, Alison</t>
  </si>
  <si>
    <t>Play Therapy with Abused Children : Second Edition</t>
  </si>
  <si>
    <t>A Practitioners' Tool for the Assessment of Adults Who Sexually Abuse Children</t>
  </si>
  <si>
    <t>Fowler, Jeff</t>
  </si>
  <si>
    <t>Prayer in Counselling and Psychotherapy : Exploring a Hidden Meaningful Dimension</t>
  </si>
  <si>
    <t>Gubi, Peter Madsen; Thorne, Brian; Thorne, Professor Brian</t>
  </si>
  <si>
    <t>Professional Risk and Working with People : Decision-Making in Health, Social Care and Criminal Justice</t>
  </si>
  <si>
    <t>Carson, David; Bain, Andy</t>
  </si>
  <si>
    <t>Social Science; Business/Management</t>
  </si>
  <si>
    <t>Providing Practical Support for People with Autism Spectrum Disorder : Supported Living in the Community</t>
  </si>
  <si>
    <t>Edwards, Denise; Bliss, E. Veronica</t>
  </si>
  <si>
    <t>Reaching and Teaching the Child with Autism Spectrum Disorder : Using Learning Preferences and Strengths</t>
  </si>
  <si>
    <t>MacKenzie, Heather</t>
  </si>
  <si>
    <t>Remembering Yesterday, Caring Today : Reminiscence in Dementia Care</t>
  </si>
  <si>
    <t>Schweitzer, Pam; Bruce, Errollyn; Gibson, Faith; Woods, Bob</t>
  </si>
  <si>
    <t>Sexual Offending and Mental Health : Multidisciplinary Management in the Community</t>
  </si>
  <si>
    <t>Aboud, Andrew M.; Beck, Alison; Craissati, Jackie; Green, Tim; Hogg, Natalie; Leicht, Sharon; MacPhail, Sandra; Parsons, Sean; Houston, Julia; Galloway, Sarah</t>
  </si>
  <si>
    <t>Speaking about the Unspeakable : Non-Verbal Methods and Experiences in Therapy with Children</t>
  </si>
  <si>
    <t>McCarthy, Dennis; Bates, Jenny; Brescia, Patricia; Ghnassia-Damon, Noelle; Knoblauch, Patti; Kornblum, Rena; Kornblum, Rena; Rhodes, Michelle; Ghnassia-Damon, Noelle; Rowe, Nancy</t>
  </si>
  <si>
    <t>Spirituality, Values and Mental Health : Jewels for the Journey</t>
  </si>
  <si>
    <t>Aris, Sarajane; Basset, Frances; Basset, Thurstine; Bates, Peter; Blencowe, Ju; Bones, Mark; Carr, Sarah; Coyte, Mary Ellen; Gilbert, Peter; Nicholls, Vicky</t>
  </si>
  <si>
    <t>Understanding Controversial Therapies for Children with Autism, Attention Deficit Disorder, and Other Learning Disabilities : A Guide to Complementary and Alternative Medicine</t>
  </si>
  <si>
    <t>Using Intensive Interaction and Sensory Integration : A Handbook for Those Who Support People with Severe Autistic Spectrum Disorder</t>
  </si>
  <si>
    <t>Caldwell, Phoebe; Horwood, Jane; Caldwell, Phoebe</t>
  </si>
  <si>
    <t>Educational Opportunities in Integrative Medicine : The A-to-Z Healing Arts Guide and Professional Resource Directory</t>
  </si>
  <si>
    <t>The Hunter Press</t>
  </si>
  <si>
    <t>Wengell, Douglas Las; Gabriel, Nathen</t>
  </si>
  <si>
    <t>Anesthesia and Analgesia in Dermatologic Surgery : Anesthesia and Analgesia in Dermatologic Surgery</t>
  </si>
  <si>
    <t>Harahap, Marwalli; Abadir, Adel R.</t>
  </si>
  <si>
    <t>150 Practice ECGs : Interpretation and Review</t>
  </si>
  <si>
    <t>Taylor, George J.</t>
  </si>
  <si>
    <t>40 Years of Academic Public Psychiatry</t>
  </si>
  <si>
    <t>Jacobs, Selby; Griffiths, Ezra</t>
  </si>
  <si>
    <t>Accountability in Nursing and Midwifery</t>
  </si>
  <si>
    <t>Tilley, Stephen; Watson, Roger</t>
  </si>
  <si>
    <t>Acute Medicine : A Practical Guide to the Management of Medical Emergencies</t>
  </si>
  <si>
    <t>Sprigings, David C.; Chambers, John B.</t>
  </si>
  <si>
    <t>Advanced Endovascular Therapy of Aortic Disease</t>
  </si>
  <si>
    <t>Lumsden, Alan B.; Lin, Peter H.; Chen, Changyi; Parodi, Juan</t>
  </si>
  <si>
    <t>Advanced Renal Care</t>
  </si>
  <si>
    <t>Thomas, Nicola</t>
  </si>
  <si>
    <t>Alarm Bells in Medicine : Danger Symptoms in Medicine, Surgery and Clinical Specialties</t>
  </si>
  <si>
    <t>Ali, Nadeem</t>
  </si>
  <si>
    <t>An Evidence Base for Ophthalmic Nursing Practice</t>
  </si>
  <si>
    <t>Marsden, Janet</t>
  </si>
  <si>
    <t>Assessing and Managing the Acutely Ill Adult Surgical Patient</t>
  </si>
  <si>
    <t>McArthur-Rouse, Fiona; Prosser, Sylvia</t>
  </si>
  <si>
    <t>Assessment of Mental Capacity : Guidance for Doctors and Lawyers</t>
  </si>
  <si>
    <t>British Medical Association; Law Society Staff; British Medical Association Staff; The Law Society; The Law Society,; The Law Society,</t>
  </si>
  <si>
    <t>Law; Health; Medicine</t>
  </si>
  <si>
    <t>Asthma : Critical Debates</t>
  </si>
  <si>
    <t>Johnston, Sebastian L; Holgate, Stephen T.</t>
  </si>
  <si>
    <t>Atrial Fibrillation Ablation : The State of the Art Based on the Venicechart International Consensus Document</t>
  </si>
  <si>
    <t>Natale, Andrea; Raviele, Antonio</t>
  </si>
  <si>
    <t>Basic Electrocardiography : Normal and Abnormal ECG Patterns</t>
  </si>
  <si>
    <t>Luna, Antoni BayÃ©s de; Luna, Antoni Baya(c)S De; Bayes de Luna, Antoni; Bayé S De Luna, Antoni; Bay's De Luna, Antoni</t>
  </si>
  <si>
    <t>Biomechanics in Sport : Performance Enhancement and Injury Prevention</t>
  </si>
  <si>
    <t>Zatsiorsky, V.; Zatsiorsky, V</t>
  </si>
  <si>
    <t>Bone Marrow Pathology</t>
  </si>
  <si>
    <t>Bain, Barbara J.; Clark, David M.; Lampert, Irvin A.; Wilkins, Bridget S.</t>
  </si>
  <si>
    <t>Building the Reflective Healthcare Organisation</t>
  </si>
  <si>
    <t>Ghaye, Tony</t>
  </si>
  <si>
    <t>Cancer and the Adolescent</t>
  </si>
  <si>
    <t>Eden, Tim; Barr, Ronald; Bleyer, Archie; Whiteson, Myrna</t>
  </si>
  <si>
    <t>Cancer in Children and Young People</t>
  </si>
  <si>
    <t>Gibson, Faith; Soanes, Louise</t>
  </si>
  <si>
    <t>Cardiothoracic Surgical Nursing : Current Trends in Adult Care</t>
  </si>
  <si>
    <t>Margerson, Carl; Riley, Jill; Riley, Jillian</t>
  </si>
  <si>
    <t>Cardiovascular Hemodynamics for the Clinician</t>
  </si>
  <si>
    <t>Stouffer, George</t>
  </si>
  <si>
    <t>Cardiovascular Regeneration and Stem Cell Therapy</t>
  </si>
  <si>
    <t>Leri, Annarosa; Anversa, Piero; Frishman, William H.</t>
  </si>
  <si>
    <t>Challenges in Colorectal Cancer</t>
  </si>
  <si>
    <t>Scholefield, John; Abcarian, Herand; Maughan, Tim; Grothey, Axel; Grothey, Axel</t>
  </si>
  <si>
    <t>Chest Pain : Advanced Assesment and Management Skills</t>
  </si>
  <si>
    <t>Albarran, John; Tagney, Jenny</t>
  </si>
  <si>
    <t>Clinical Dilemmas in Inflammatory Bowel Disease</t>
  </si>
  <si>
    <t>Irving, Peter; Rampton, David; Shanahan, Fergus</t>
  </si>
  <si>
    <t>Clinical Gated Cardiac SPECT</t>
  </si>
  <si>
    <t>Germano, Guido; Berman, Daniel S.</t>
  </si>
  <si>
    <t>Clinical Trials Explained : A Guide to Clinical Trials in the NHS for Healthcare Professionals</t>
  </si>
  <si>
    <t>Kerr, David J.; Knox, Kirstine; Robertson, Diane; Stewart, Derek; Watson, RenÃ©e</t>
  </si>
  <si>
    <t>Clinical Trials in Psychiatry</t>
  </si>
  <si>
    <t>Everitt, Brian S.; Wessely, Simon; Everitt, Brian</t>
  </si>
  <si>
    <t>Color Atlas of Local and Systemic Manifestations of Cardiovascular Disease</t>
  </si>
  <si>
    <t>Saksena, Franklin B.</t>
  </si>
  <si>
    <t>Comprehensive Atlas of High Resolution Endoscopy and Narrowband Imaging</t>
  </si>
  <si>
    <t>Cohen, Jonathan</t>
  </si>
  <si>
    <t>Cross Country Skiing : Olympic Handbook of Sports Medicine</t>
  </si>
  <si>
    <t>Rusko, Heikki</t>
  </si>
  <si>
    <t>Current Endovascular Treatment of Abdominal Aortic Aneurysms</t>
  </si>
  <si>
    <t>Hakaim, Albert G.; Hakaim, Albert G</t>
  </si>
  <si>
    <t>Dementia Care : A Practical Photographic Guide</t>
  </si>
  <si>
    <t>Grealy, Julia; McMullen, Helen; Grealy, James</t>
  </si>
  <si>
    <t>Dewhurst's Textbook of Obstetrics and Gynaecology</t>
  </si>
  <si>
    <t>Edmonds, Keith; Edmonds, Keith</t>
  </si>
  <si>
    <t>Diabetes and Its Management</t>
  </si>
  <si>
    <t>Watkins, Peter J.; Amiel, Stephanie A.; Howell, Simon L.; Turner, Eileen</t>
  </si>
  <si>
    <t>Diabetic Cardiology</t>
  </si>
  <si>
    <t>Fisher, Miles; McMurray, John J.</t>
  </si>
  <si>
    <t>Difficult Diabetes</t>
  </si>
  <si>
    <t>Gill, G. V.; Williams, Gareth; Pickup, John C.; Williams, Dr Gareth</t>
  </si>
  <si>
    <t>Diffusion of Innovations in Health Service Organisations : A Systematic Literature Review</t>
  </si>
  <si>
    <t>Greenhalgh, Trisha; Robert, Glenn; Bate, Paul; Macfarlane, Fraser; Kyriakidou, Olivia; Donaldson, Liam</t>
  </si>
  <si>
    <t>Diseases of the Liver and Biliary System</t>
  </si>
  <si>
    <t>Sherlock, Shiela; Dooley, James</t>
  </si>
  <si>
    <t>Drug Induced Movement Disorders</t>
  </si>
  <si>
    <t>Factor, Stewart; Lang, Anthony; Weiner, William</t>
  </si>
  <si>
    <t>Dual Diagnosis Nursing</t>
  </si>
  <si>
    <t>Rassool, G. Hussein</t>
  </si>
  <si>
    <t>Echocardiography Board Review : 400 Multiple Choice Questions with Discussion</t>
  </si>
  <si>
    <t>Pai, Ramdas; Varadarajan, Padmini</t>
  </si>
  <si>
    <t>Effective Healthcare Leadership</t>
  </si>
  <si>
    <t>Jasper, Melanie; Jumaa, Mansour</t>
  </si>
  <si>
    <t>Electrophysiologic Testing</t>
  </si>
  <si>
    <t>Forgoros, Richard N.; Fogoros, Richard N</t>
  </si>
  <si>
    <t>Emergency Care of Children and Young People</t>
  </si>
  <si>
    <t>Cleaver, Karen; Webb, Janet</t>
  </si>
  <si>
    <t>Emergency Medicine : Avoiding the Pitfalls and Improving the Outcomes</t>
  </si>
  <si>
    <t>Mattu, Amal; Goyal, Deepi</t>
  </si>
  <si>
    <t>Emergency Triage</t>
  </si>
  <si>
    <t>Machester Triage Group; Machester Triage Group Staff; Lastmachester Triage Group,</t>
  </si>
  <si>
    <t>Endothelial Dysfunctions and Vascular Disease</t>
  </si>
  <si>
    <t>Caterina, Raffaele De; Libby, Peter; Caterina, Raffaele De</t>
  </si>
  <si>
    <t>Essential Guide to Generic Skills</t>
  </si>
  <si>
    <t>Cramp, Paul; Forrest, Kirsty; Cooper, Nicola; Oakes, Hayley</t>
  </si>
  <si>
    <t>Essential Nuclear Medicine Physics</t>
  </si>
  <si>
    <t>Powsner, Rachel A.; Powsner, Edward R.</t>
  </si>
  <si>
    <t>Essentials of Vascular Laboratory Diagnosis</t>
  </si>
  <si>
    <t>Mohler, Emile R.; Gerhard-Herman, Marie; Jaff, Michael R.; Jaff, Michael R</t>
  </si>
  <si>
    <t>Evidence-Based Medicine : In Sherlock Holmes' Footsteps</t>
  </si>
  <si>
    <t>Nordenstrom, Jorgen</t>
  </si>
  <si>
    <t>Evidence-Based Obstetric Anesthesia</t>
  </si>
  <si>
    <t>Halpern, Stephen H.; Douglas, M. Joanne</t>
  </si>
  <si>
    <t>Evidence-Based Paediatric and Adolescent Diabetes</t>
  </si>
  <si>
    <t>Allgrove, Jeremy; Swift, Peter; Greene, Stephen</t>
  </si>
  <si>
    <t>Evidence-Based Palliative Care : Across the Lifespan</t>
  </si>
  <si>
    <t>Abu-Saad, H. H.; Abu-Saad, H. H.</t>
  </si>
  <si>
    <t>Evidence-Based Sports Medicine</t>
  </si>
  <si>
    <t>MacAuley, Domhnall; Best, Thomas</t>
  </si>
  <si>
    <t>From Patient Data to Medical Knowledge : The Principles and Practice of Health Informatics</t>
  </si>
  <si>
    <t>Taylor, Paul</t>
  </si>
  <si>
    <t>GI Epidemiology</t>
  </si>
  <si>
    <t>Talley, Nicholas J.; Locke, G. Richard, III; Saito, Yuri A.; Locke III, G Richard</t>
  </si>
  <si>
    <t>Haccp</t>
  </si>
  <si>
    <t>Mortimore, Sara E.; Wallace, Carol; Cassianos, Christos</t>
  </si>
  <si>
    <t>Haemoglobinopathy Diagnosis</t>
  </si>
  <si>
    <t>Heart Disease in Pregnancy</t>
  </si>
  <si>
    <t>Oakley, Celia; Warnes, Carole A.</t>
  </si>
  <si>
    <t>Hugo and Russell's Pharmaceutical Microbiology</t>
  </si>
  <si>
    <t>Denyer, Stephen P.; Hodges, Norman A.; Gorman, Sean P.; Gorman, S. P</t>
  </si>
  <si>
    <t>Science; Medicine; Pharmacy; Science: Biology/Natural History</t>
  </si>
  <si>
    <t>Infectious Diseases Manual</t>
  </si>
  <si>
    <t>Wilks, David; Farrington, Mark; Rubenstein, David</t>
  </si>
  <si>
    <t>Inhibitors in Patients with Haemophilia</t>
  </si>
  <si>
    <t>Rodriquez-Merchan, E. C.; Lee, Christine A.; Rodriquez-Merchan, E. C.</t>
  </si>
  <si>
    <t>Innovations in Professional Education for Speech and Language Therapy</t>
  </si>
  <si>
    <t>Brumfitt, Shelagh</t>
  </si>
  <si>
    <t>Intermediate and Continuing Care : Policy and Practice</t>
  </si>
  <si>
    <t>Roe, Brenda; Beech, Roger</t>
  </si>
  <si>
    <t>Interpreting Trauma Radiographs</t>
  </si>
  <si>
    <t>McConnell, Jonathan; Eyres, Renata; Nightingale, Julie</t>
  </si>
  <si>
    <t>Learning Disabilities and Mental Health : A Nursing Perspective</t>
  </si>
  <si>
    <t>Raghavan, Raghu; Patel, Pradip R.</t>
  </si>
  <si>
    <t>Legal Aspects of Radiography and Radiology</t>
  </si>
  <si>
    <t>Dimond, Bridgit C.</t>
  </si>
  <si>
    <t>Lymphoedema Care</t>
  </si>
  <si>
    <t>Woods, Mary Elizabeth</t>
  </si>
  <si>
    <t>Major Incident Medical Management and Support : The Practical Approach in the Hospital</t>
  </si>
  <si>
    <t>Advanced Life Support Group; Lastadvanced Life Support Group,; Advanced Life Support Group,</t>
  </si>
  <si>
    <t>Management of Cleft Lip and Palate in the Developing World</t>
  </si>
  <si>
    <t>Mars, Michael; Habel, Alex; Sell, Debbie</t>
  </si>
  <si>
    <t>Management of Complex Cardiovascular Problems : The Evidence-Based Medicine Approach</t>
  </si>
  <si>
    <t>Nguyen, Thach; Hu, Dayi; Kim, Moo-Hyun; Grines, Cindy L.; Grines, Cindy</t>
  </si>
  <si>
    <t>Managing Your Patients' Data in the Neonatal and Pediatric ICU : An Introduction to Databases and Statistical Analysis</t>
  </si>
  <si>
    <t>Schulman, Joseph</t>
  </si>
  <si>
    <t>Medical Care of the Liver Transplant Patient : Total Pre-, Intra- and Post-Operative Management</t>
  </si>
  <si>
    <t>Smith, Alastair; Killenberg, Paul G.; Clavien, Pierre-Alain; Müllhaupt, Beat; Clavien, Pierre-Alain; Müllhaupt, Beat</t>
  </si>
  <si>
    <t>Medical Statistics : A Guide to Data Analysis and Critical Appraisal</t>
  </si>
  <si>
    <t>Peat, Jennifer; Barton, Belinda</t>
  </si>
  <si>
    <t>Medical Statistics from Scratch : An Introduction for Health Professionals</t>
  </si>
  <si>
    <t>Bowers, David</t>
  </si>
  <si>
    <t>Medication Management in Care of Older People</t>
  </si>
  <si>
    <t>Banning, Maggi</t>
  </si>
  <si>
    <t>Mentorship in Community Nursing : Challenges and Opportunities</t>
  </si>
  <si>
    <t>Canham, Judith; Bennett, Joanne</t>
  </si>
  <si>
    <t>Methods in Clinical Phonetics</t>
  </si>
  <si>
    <t>Ball, Martin J.; Lowry, Orla</t>
  </si>
  <si>
    <t>Mollison's Blood Transfusion in Clinical Medicine</t>
  </si>
  <si>
    <t>Klein, Harvey G.; Anstee, David J.</t>
  </si>
  <si>
    <t>MRCOG II Short Essay Questions</t>
  </si>
  <si>
    <t>Abedin, Parveen; Sharif, Khaldoun W.</t>
  </si>
  <si>
    <t>Musculoskeletal Aspects of Haemophilia</t>
  </si>
  <si>
    <t>Rodriguez-Merchan, E. C.; Goddard, Nicholas; Lee, Christine A.</t>
  </si>
  <si>
    <t>Neonatal Formulary : Drug Use in Pregnancy and the First Year of Life</t>
  </si>
  <si>
    <t>Northern Neonatal Network Staff; Network, Northern Neonatal; Neonatal Network, Northern</t>
  </si>
  <si>
    <t>New Arrhythmia Technologies</t>
  </si>
  <si>
    <t>Wang, Paul J.; Naccarelli, Gerald V.; Rosen, Michael R.; Estes, N. A. Mark, III; Hayes, David L.; Haines, David E.; Haines, David E</t>
  </si>
  <si>
    <t>Nursing Care of Children and Young People with Chronic Illness</t>
  </si>
  <si>
    <t>Valentine, Fay; Lowes, Lesley</t>
  </si>
  <si>
    <t>Nutrition and Health</t>
  </si>
  <si>
    <t>Carr, Tanya; Descheemaeker, Koen</t>
  </si>
  <si>
    <t>Science; Health; Science: Biology/Natural History</t>
  </si>
  <si>
    <t>Nutrition in Sport : An IOC Medical Commission Publication, Nutrition in Sport</t>
  </si>
  <si>
    <t>Maughan, Ronald J.; Maughan, Ronald J</t>
  </si>
  <si>
    <t>Obesity and Weight Management in Primary Care</t>
  </si>
  <si>
    <t>Waine, Colin; Bosanquet, Nick</t>
  </si>
  <si>
    <t>Older People and Mental Health Nursing : A Handbook of Care</t>
  </si>
  <si>
    <t>Neno, Rebecca; Aveyard, Barry; Heath, Hazel</t>
  </si>
  <si>
    <t>Ophthalmic Nursing</t>
  </si>
  <si>
    <t>Stollery, Rosalind; Shaw, Mary E.; Lee, Agnes</t>
  </si>
  <si>
    <t>Pacing Options in the Adult Patient with Congenital Heart Disease</t>
  </si>
  <si>
    <t>Mond, Harry G.; Karpawich, Peter P.</t>
  </si>
  <si>
    <t>Painless Evidence-Based Medicine</t>
  </si>
  <si>
    <t>Dans, Antonio L.; Dans, Leonila F.; Silvestre, Maria Asuncion A.</t>
  </si>
  <si>
    <t>Pathophysiology of the Enteric Nervous System : A Basis for Understanding Functional Diseases - Solvay Copies</t>
  </si>
  <si>
    <t>Spiller, Robin; Grundy, David</t>
  </si>
  <si>
    <t>Pharmacy Law and Practice</t>
  </si>
  <si>
    <t>Merrills, Jonathan; Fisher, Jonathan</t>
  </si>
  <si>
    <t>Physiotherapy Management of Haemophilia</t>
  </si>
  <si>
    <t>Buzzard, Brenda; Beeton, Karen</t>
  </si>
  <si>
    <t>Plant Secondary Metabolites : Occurrence, Structure and Role in the Human Diet</t>
  </si>
  <si>
    <t>Crozier, Alan; Clifford, Mike N.; Ashihara, Hiroshi; Ashihara, Hiroshi</t>
  </si>
  <si>
    <t>Pocket Guide to Malignant Melanoma</t>
  </si>
  <si>
    <t>Buchan, John; Roberts, Dafydd</t>
  </si>
  <si>
    <t>Portal Hypertension III</t>
  </si>
  <si>
    <t>DeFranchis, Roberto</t>
  </si>
  <si>
    <t>Practical Food Microbiology</t>
  </si>
  <si>
    <t>Roberts, Diane; Greenwood, Melody</t>
  </si>
  <si>
    <t>Engineering: Chemical; Science; Engineering; Science: Biology/Natural History</t>
  </si>
  <si>
    <t>Practical Intracardiac Echocardiography in Electrophysiology</t>
  </si>
  <si>
    <t>Ren, Jian-Fang; Marchlinski, Francis E.; Callans, David J.; Schwartsman, David</t>
  </si>
  <si>
    <t>Practical Pediatric Gastrointestinal Endoscopy</t>
  </si>
  <si>
    <t>Gershman, George; Ament, Marvin</t>
  </si>
  <si>
    <t>Practice Nurse Handbook</t>
  </si>
  <si>
    <t>Hampson, Gillian</t>
  </si>
  <si>
    <t>Pre-Hospital Paediatric Life Support : The Practical Approach</t>
  </si>
  <si>
    <t>Advanced Life Support Group; Advanced Life Support Group Staff; Advanced Life Support Group,</t>
  </si>
  <si>
    <t>Primary Health Care : Theory and Practice</t>
  </si>
  <si>
    <t>Greenhalgh, Trisha; Greenhalgh, Trisha</t>
  </si>
  <si>
    <t>Principles of Science for Nurses</t>
  </si>
  <si>
    <t>James, Joyce; Baker, Colin; Swain, Helen; James Joyce,</t>
  </si>
  <si>
    <t>Providing Support at Home for Children and Young People Who Have Complex Health Needs</t>
  </si>
  <si>
    <t>Hewitt-Taylor, Jaquelina; Hewitt-Taylor, Jaquelina</t>
  </si>
  <si>
    <t>Psychiatric and Mental Health Nursing : The Field of Knowledge</t>
  </si>
  <si>
    <t>Tilley, Stephen</t>
  </si>
  <si>
    <t>Pulmonary Embolism</t>
  </si>
  <si>
    <t>Stein, Paul</t>
  </si>
  <si>
    <t>Reflections on Spirituality and Health</t>
  </si>
  <si>
    <t>Wright, Stephen</t>
  </si>
  <si>
    <t>Rehabilitation of Sports Injuries - Scientific Basis : Scientific Basis</t>
  </si>
  <si>
    <t>Frontera, Walter R.</t>
  </si>
  <si>
    <t>Resynchronization and Defibrillation for Heart Failure : A Practical Approach</t>
  </si>
  <si>
    <t>Hayes, David L.; Wang, Paul J.; Sackner-Bernstein, Jonathan; Sackner-Bernstein, Jonathan; Asirvatham, Samuel</t>
  </si>
  <si>
    <t>Reviewing Research Evidence for Nursing Practice : Systematic Reviews</t>
  </si>
  <si>
    <t>Webb, Christine; Roe, Brenda</t>
  </si>
  <si>
    <t>Running : Olympic Handbook of Sports Medicine</t>
  </si>
  <si>
    <t>Hawley, John A.</t>
  </si>
  <si>
    <t>Severe Acute Respiratory Syndrome : A Clinical Guide</t>
  </si>
  <si>
    <t>Peiris, Malik; Anderson, Larry J.; Stohr, Klaus; Osterhaus, Albert DME; Yuen, Kwok-yung</t>
  </si>
  <si>
    <t>Sports Nutrition : Handbook of Sports Medicine and Science</t>
  </si>
  <si>
    <t>Maughan, Ronald J.; Burke, Louise M.</t>
  </si>
  <si>
    <t>Statistical Issues in Drug Development</t>
  </si>
  <si>
    <t>Senn, Stephen; Senn, Stephen S</t>
  </si>
  <si>
    <t>Statistical Methods in Medical Research</t>
  </si>
  <si>
    <t>Armitage, Peter; Berry, Geoffrey; Matthews, J. N. S.</t>
  </si>
  <si>
    <t>Statistics at Square Two : Understanding Modern Statistical Applications in Medicine</t>
  </si>
  <si>
    <t>Campbell, Michael J.</t>
  </si>
  <si>
    <t>Strength and Power in Sport : Olympic Encyclopedia of Sports Medicine</t>
  </si>
  <si>
    <t>Komi, Paavo</t>
  </si>
  <si>
    <t>Medicine; Science: Anatomy/Physiology; Science</t>
  </si>
  <si>
    <t>Stroke Units : An evidence based Approach</t>
  </si>
  <si>
    <t>Langhorne, Peter; Dennis, Martin</t>
  </si>
  <si>
    <t>Supportive Care and Midwifery</t>
  </si>
  <si>
    <t>Mander, Rosemary</t>
  </si>
  <si>
    <t>Surgical Management of Spinal Cord Injury : Controversies and Consensus</t>
  </si>
  <si>
    <t>Amar, Arun Paul; Amar, Arun Paul</t>
  </si>
  <si>
    <t>Sweeteners and Sugar Alternatives in Food Technology</t>
  </si>
  <si>
    <t>Mitchell, Helen</t>
  </si>
  <si>
    <t>Syncope and Transient Loss of Consciousness : Multidisciplinary Management</t>
  </si>
  <si>
    <t>Benditt, David G.; Brignole, Michele; Raviele, Antonio; Wieling, Wouter</t>
  </si>
  <si>
    <t>Syncope Cases</t>
  </si>
  <si>
    <t>GarcÃ­a-Civera, Roberto; BarÃ³n-Esquivias, Gonzalo; Blanc, Jean-Jacques; Brignole, Michele; Mitjans, Angel Moya I; Ruiz-Granell, Ricardo; Wieling, Wouter</t>
  </si>
  <si>
    <t>Tendinopathy in Athletes : Encyclopaedia of Sports Medicine an IOC Medical Commission Publication</t>
  </si>
  <si>
    <t>Woo, Savio L-Y.; Arnoczky, Steven P.; RenstrÃ¶m, Per A. F. H.</t>
  </si>
  <si>
    <t>Textbook of Sports Medicine : Basic Science and Clinical Aspects of Sports Injury and Physical Activity</t>
  </si>
  <si>
    <t>Kjaer, Michael; Krogsgaard, Michael; Magnusson, Peter; Engebretsen, Lars; Roos, Harald; Takala, Timo; Woo, Savio L-Y.</t>
  </si>
  <si>
    <t>The Care of Wounds : A Guide for Nurses</t>
  </si>
  <si>
    <t>Dealey, Carol</t>
  </si>
  <si>
    <t>The Challenge of Sexuality in Health Care</t>
  </si>
  <si>
    <t>Heath, Hazel; White, Isabel</t>
  </si>
  <si>
    <t>Complete Guide to Nutrition in Primary Care</t>
  </si>
  <si>
    <t>Deen, Darwin; Hark, Lisa; Hark, Lisa</t>
  </si>
  <si>
    <t>The Endocrine System in Sports and Exercise : An IOC Medical Commission Publication, Endocrine System in Sports and Exercise</t>
  </si>
  <si>
    <t>Kraemer, William J.; Rogol, A. D.; Rogol, A D</t>
  </si>
  <si>
    <t>The Hands-on Guide to Clinical Pharmacology</t>
  </si>
  <si>
    <t>Tofield, Christopher; Milson, Alexander; Chatu, Sukhdev</t>
  </si>
  <si>
    <t>The Hands-On Guide to Practical Prescribing</t>
  </si>
  <si>
    <t>Jones, Oliver; Gautam, Nandan</t>
  </si>
  <si>
    <t>The Informed Practice Nurse</t>
  </si>
  <si>
    <t>Edwards, Marilyn</t>
  </si>
  <si>
    <t>The Nuts and Bolts of Cardiac Pacing</t>
  </si>
  <si>
    <t>Kenny, Tom</t>
  </si>
  <si>
    <t>The Nuts and Bolts of Cardiac Resynchronization Therapy</t>
  </si>
  <si>
    <t>The Old Age Psychiatry Handbook : A Practical Guide</t>
  </si>
  <si>
    <t>Rodda, Joanne; Boyce, Niall; Walker, Zuzana</t>
  </si>
  <si>
    <t>The Road to Successful CRT System Implantation : A Step-by-Step Approach</t>
  </si>
  <si>
    <t>Gras, Daniel; LeÃ³n, Angel R.; Fisher, Westvy G.; Leó N, Angel R; Abraham, William T.; Abraham, William T</t>
  </si>
  <si>
    <t>The Textbook of Pharmaceutical Medicine</t>
  </si>
  <si>
    <t>Griffin, John P.; O'Grady, John</t>
  </si>
  <si>
    <t>The Vulnerable Atherosclerotic Plaque Strategies for Diagnosis and Management : Strategies for Diagnosis and Management</t>
  </si>
  <si>
    <t>Virmani, Renu; Narula, Jagat; Leon, Martin B.; Willerson, James T.; Willerson, James T</t>
  </si>
  <si>
    <t>Thoracic Endoscopy : Advances in Interventional Pulmonology</t>
  </si>
  <si>
    <t>Simoff, Michael J.; Sterman, Daniel H.; Ernst, Armin; Ernst, Armin</t>
  </si>
  <si>
    <t>Thoracic Vein Arrhythmias : Mechanisms and Treatment</t>
  </si>
  <si>
    <t>Chen, Shih-Ann; HaÃ¯ssaguerre, Michel; Zipes, Douglas; Chen, Shih-Ann; Haïssaguerre, Michel; Haï Ssaguerre, Michel</t>
  </si>
  <si>
    <t>Transoesophageal Echocardiography in Anaesthesia and Intensive Care Medicine</t>
  </si>
  <si>
    <t>Poelaert, Jan; Skarvan, Karl</t>
  </si>
  <si>
    <t>Trauma Rules 2, Custom : Incorporating Military Trauma Rules</t>
  </si>
  <si>
    <t>Hodgetts, Timothy; Turner, Lee</t>
  </si>
  <si>
    <t>Treatment Options in Urological Cancer</t>
  </si>
  <si>
    <t>Waxman, Jonathan</t>
  </si>
  <si>
    <t>Ultrasound in Emergency Care</t>
  </si>
  <si>
    <t>Brooks, Adam; Connolly, Jim; Chan, Otto</t>
  </si>
  <si>
    <t>Using Insulin Pumps in Diabetes : A Guide for Nurses and Other Health Professionals</t>
  </si>
  <si>
    <t>Rodgers, Jill</t>
  </si>
  <si>
    <t>Variants of Ventricular Preexcitation : Recognition and Treatment</t>
  </si>
  <si>
    <t>Sternick, Eduardo Back; Wellens, Hein J. J.</t>
  </si>
  <si>
    <t>Vascular Complications of Diabetes : Current Issues in Pathogenesis and Treatment</t>
  </si>
  <si>
    <t>Donnelly, Richard; Horton, Edward; Donnelly, Richard W.</t>
  </si>
  <si>
    <t>Vascular Medicine and Endovascular Interventions</t>
  </si>
  <si>
    <t>Rooke, Thom; Jaff, Michael R.; Sullivan, Timothy</t>
  </si>
  <si>
    <t>Visual Diagnosis in Emergency and Critical Care Medicine</t>
  </si>
  <si>
    <t>Holstege, Christopher P.; Baer, Alexander B.; Pines, Jesse M.; Brady, William J</t>
  </si>
  <si>
    <t>Vitiligo : A Monograph on the Basic and Clinical Science</t>
  </si>
  <si>
    <t>Nordlund, James</t>
  </si>
  <si>
    <t>Volleyball : Olympic Handbook of Sports Medicine</t>
  </si>
  <si>
    <t>Reeser, Jonathan C.; Bahr, Roald</t>
  </si>
  <si>
    <t>Women in Sport : An IOC Medical Commission Publication, Women in Sport</t>
  </si>
  <si>
    <t>Drinkwater, Barbara L.</t>
  </si>
  <si>
    <t>Comprehensive Ophthalmology</t>
  </si>
  <si>
    <t>Khurana, A.K.</t>
  </si>
  <si>
    <t>Emergency Care of the Abused</t>
  </si>
  <si>
    <t>Gallahue, Fiona E.; Melville, Laura D.</t>
  </si>
  <si>
    <t>Emergency Management of Infectious Diseases</t>
  </si>
  <si>
    <t>Chin, Rachel L.</t>
  </si>
  <si>
    <t>Practitioner's Guide to Using Research for Evidence-Based Practice</t>
  </si>
  <si>
    <t>Rubin, Allen; Rubin,</t>
  </si>
  <si>
    <t>America's Health Care Crisis Solved : Money-Saving Solutions, Coverage for Everyone</t>
  </si>
  <si>
    <t>Rooney, J. Patrick; Perrin, Dan</t>
  </si>
  <si>
    <t>Development and Approval of Combination Products : A Regulatory Perspective</t>
  </si>
  <si>
    <t>Siegel, Evan B.; Siegel, Evan B</t>
  </si>
  <si>
    <t>Eggs and Health Promotion</t>
  </si>
  <si>
    <t>Watson, Ronald Ross</t>
  </si>
  <si>
    <t>Dietary Supplement Labeling Compliance Review</t>
  </si>
  <si>
    <t>Summers, James L.</t>
  </si>
  <si>
    <t>Nutraceuticals : Designer Foods III: Garlic, Soy and Licorice</t>
  </si>
  <si>
    <t>LaChance, Paul A.</t>
  </si>
  <si>
    <t>Biostatistics for Oral Healthcare</t>
  </si>
  <si>
    <t>Kim, Jay S.; Dailey, Ronald J.</t>
  </si>
  <si>
    <t>Food for Health in the Pacific Rim : Third Interational Conference of Food Science and Technology</t>
  </si>
  <si>
    <t>Whitaker, John R.</t>
  </si>
  <si>
    <t>Classical and Adaptive Clinical Trial Designs Using ExpDesign Studio</t>
  </si>
  <si>
    <t>Chang, Mark</t>
  </si>
  <si>
    <t>Electronic Health Records : An Audit and Internal Control Guide</t>
  </si>
  <si>
    <t>Autistic Spectrum Disorders in the Early Years</t>
  </si>
  <si>
    <t>Plimley, Lynn; Bowen, Maggie; Morgan, Hugh</t>
  </si>
  <si>
    <t>The Psychodynamic Approach to Therapeutic Change</t>
  </si>
  <si>
    <t>Leiper, Rob; Maltby, Michael</t>
  </si>
  <si>
    <t>Social Skills and Autistic Spectrum Disorders</t>
  </si>
  <si>
    <t>A Short Introduction to Psychotherapy</t>
  </si>
  <si>
    <t>Lister-Ford, Christine</t>
  </si>
  <si>
    <t>Health Promotion : Evidence and Experience</t>
  </si>
  <si>
    <t>Lucas, Kevin; Lloyd, Barbara</t>
  </si>
  <si>
    <t>The SAGE Dictionary of Health and Society</t>
  </si>
  <si>
    <t>White, Kevin</t>
  </si>
  <si>
    <t>Cognitive Humanistic Therapy : Buddhism, Christianity and Being Fully Human</t>
  </si>
  <si>
    <t>Nelson-Jones, Richard</t>
  </si>
  <si>
    <t>Assessing Toxic Risk (Student Edition)</t>
  </si>
  <si>
    <t>Trautmann, Nancy; The Environmental Inquiry Team</t>
  </si>
  <si>
    <t>Pharmacy; Medicine; Social Science; Health</t>
  </si>
  <si>
    <t>Assessing Toxic Risk (Teacher Edition)</t>
  </si>
  <si>
    <t>The Hidden World of Autism : Writing and Art by Children with High-Functioning Autism</t>
  </si>
  <si>
    <t>Chilvers, Rebecca; Chowdhury, Uttom</t>
  </si>
  <si>
    <t>Inside Anorexia : The Experiences of Girls and Their Families</t>
  </si>
  <si>
    <t>Halse, Christine; Honey, Anne; Boughtwood, Desiree</t>
  </si>
  <si>
    <t>Art Therapy and Anger</t>
  </si>
  <si>
    <t>Ambridge, Maggie; Brosh, Hilary; Coulter, Annette; Coyle, Terri; Godfrey, Hannah; Hallgren, Camilla; Hastilow, Simon; Hogan, Susan; Holliday, Elaine; Liebmann, Marian</t>
  </si>
  <si>
    <t>Asperger Syndrome and Alcohol : Drinking to Cope?</t>
  </si>
  <si>
    <t>Tinsley, Matthew; Hendrickx, Sarah; Grandin, Temple</t>
  </si>
  <si>
    <t>Counselling Survivors of Domestic Abuse</t>
  </si>
  <si>
    <t>Environmental Studies; Medicine</t>
  </si>
  <si>
    <t>Making Sense of Children's Thinking and Behavior : A Step-by-Step Tool for Understanding Children with NLD, Asperger's, HFA, PDD-NOS, and Other Neurological Disorders</t>
  </si>
  <si>
    <t>Holzhauser-Peters, Leslie; True, Leslie; True, Leslie</t>
  </si>
  <si>
    <t>Tai Chi Chuan and the Code of Life : Revealing the Deeper Mysteries of China's Ancient Art for Health and Harmony</t>
  </si>
  <si>
    <t>Horwood, Graham</t>
  </si>
  <si>
    <t>Sport &amp; Recreation; Health</t>
  </si>
  <si>
    <t>Crisis Resolution and Home Treatment in Mental Health</t>
  </si>
  <si>
    <t>Johnson, Sonia; Needle, Justin; Bindman, Jonathan P.; Thornicroft, Graham</t>
  </si>
  <si>
    <t>Invisible Wounds of War : Summary and Recommendations for Addressing Psychological and Cognitive Injuries</t>
  </si>
  <si>
    <t>Tanielian, Terri; Jaycox, Lisa H.; Schell, Terry L.</t>
  </si>
  <si>
    <t>Outcome Measures for Effective Teamwork in Inpatient Care : Final Report</t>
  </si>
  <si>
    <t>Sorbero, Melony E.; Farley, Donna O.; Mattke, Soeren</t>
  </si>
  <si>
    <t>Prediction in Forensic and Neuropsychology : Sound Statistical Practices</t>
  </si>
  <si>
    <t>Franklin, Ronald D.</t>
  </si>
  <si>
    <t>Invisible Wounds of War : Psychological and Cognitive Injuries, Their Consequences, and Services to Assist Recovery</t>
  </si>
  <si>
    <t>Tanielian, Terri; Jaycox, Lisa H.</t>
  </si>
  <si>
    <t>Principles of Organic Medicinal Chemistry</t>
  </si>
  <si>
    <t>Nadendla, Rama Rao</t>
  </si>
  <si>
    <t>Chronic Otitis Media : Pathogenesis-Oriented Therapeutic Management</t>
  </si>
  <si>
    <t>Herbal Radiomodulators : Applications in Medicine, Homeland Defence and Space</t>
  </si>
  <si>
    <t>Arora, R.</t>
  </si>
  <si>
    <t>Medicinal Chemistry</t>
  </si>
  <si>
    <t>Kar, Ashutosh</t>
  </si>
  <si>
    <t>Health Benefits of Organic Food : Effects of the Environment</t>
  </si>
  <si>
    <t>Givens, D. I.; Baxter, A.M.; Minihane, E.; Shaw, E.</t>
  </si>
  <si>
    <t>Worried Sick : A Prescription for Health in an Overtreated America</t>
  </si>
  <si>
    <t>The University of North Carolina Press</t>
  </si>
  <si>
    <t>Hadler, Nortin M.</t>
  </si>
  <si>
    <t>Health Systems And The Challenge Of Communicable Diseases : Experiences From Europe And Latin America</t>
  </si>
  <si>
    <t>Coker, Richard</t>
  </si>
  <si>
    <t>Foundations Of Nursing : An Integrated Approach</t>
  </si>
  <si>
    <t>Introduction To Excellence In Practice Development In Health And Social Care</t>
  </si>
  <si>
    <t>McSherry, Rob; Warr, Jerry</t>
  </si>
  <si>
    <t>Making Sense Of Nursing Portfolios : A Guide For Students</t>
  </si>
  <si>
    <t>Timmins, Fiona</t>
  </si>
  <si>
    <t>Medical Tourism in Developing Countries</t>
  </si>
  <si>
    <t>Bookman, Milica Z.; Bookman, Karla R.</t>
  </si>
  <si>
    <t>Business/Management; Economics</t>
  </si>
  <si>
    <t>Crime, Punishment, and Mental Illness : Law and the Behavioral Sciences in Conflict</t>
  </si>
  <si>
    <t>Erickson, Patricia E.; Erickson, Steven K.; Erickson, Steven; Erickson, Patricia; Zeller, Thomas</t>
  </si>
  <si>
    <t>Doctors Serving People : Restoring Humanism to Medicine Through Student Community Service</t>
  </si>
  <si>
    <t>Eckenfels, Edward J.; O'Donnell, Joseph; O'Donnell, Joseph</t>
  </si>
  <si>
    <t>Under the Radar : Cancer and the Cold War</t>
  </si>
  <si>
    <t>Leopold, Ellen</t>
  </si>
  <si>
    <t>Medicine; Environmental Studies</t>
  </si>
  <si>
    <t>The Public Life of the Fetal Sonogram : Technology, Consumption, and the Politics of Reproduction</t>
  </si>
  <si>
    <t>Taylor, Janelle S.</t>
  </si>
  <si>
    <t>Heat-Health Action Plans : Guidance</t>
  </si>
  <si>
    <t>EURO</t>
  </si>
  <si>
    <t>Science; Social Science; Health; Science: Geology</t>
  </si>
  <si>
    <t>Strengthening Health-economics Capability in Africa : Summary and Outcomes of a Regional Consultation of Experts and Policy-makers</t>
  </si>
  <si>
    <t>McIntyre, D.</t>
  </si>
  <si>
    <t>Economics; Social Science; Business/Management; Health</t>
  </si>
  <si>
    <t>Ensuring Value for Money in Health Care : The Role of Health Technology Assessment in the European Union</t>
  </si>
  <si>
    <t>Sorenson, C.; Drummond, M.; Kanavos, P.</t>
  </si>
  <si>
    <t>Assuring the Quality of Health Care in the European Union : A Case for Action</t>
  </si>
  <si>
    <t>Legido-Quigley, H.; McKee, M.; Nolte, E.</t>
  </si>
  <si>
    <t>Orientation on Harm Reduction : Three-hour Training Course, Participant Manual</t>
  </si>
  <si>
    <t>WPRO; Bernan, ; Who Regional Office for the Western Pacific,</t>
  </si>
  <si>
    <t>Human Papillomaviruses : Human Papillomaviruses</t>
  </si>
  <si>
    <t>IARC Official Publication</t>
  </si>
  <si>
    <t>Smokeless Tobacco and Some Tobacco-specific N-Nitrosamines : Smokeless Tobacco Products and Some Tobacco-Specific N-Nitrosamines</t>
  </si>
  <si>
    <t>Some Traditional Herbal Medicines, Some Mycotoxins, Naphthalene and Styrene : Some Traditional Herbal Medicines, Some Mycotoxins, Naphthalene and Styrene</t>
  </si>
  <si>
    <t>IARC Official Publication; The International Agency for Research on Cancer,</t>
  </si>
  <si>
    <t>Man-made Vitreous Fibres : Man-Made Vitreous Fibres</t>
  </si>
  <si>
    <t>Non-Ionizing Radiation, Part 1 : Static and Extremely Low-Frequency (ELF) Electric and Magnetic Fields</t>
  </si>
  <si>
    <t>Some Thyrotropic Agents : Some Thropic Agents</t>
  </si>
  <si>
    <t>Ionizing Radiation, Part 2 : Some Internally Deposited Radionuclides</t>
  </si>
  <si>
    <t>Some Industrial Chemicals : Some Industrial Chemicals</t>
  </si>
  <si>
    <t>Assessing the National Health Information System : Assessment Tool Version 4.0</t>
  </si>
  <si>
    <t>WHO Regional Office for Europe</t>
  </si>
  <si>
    <t>Arthritis : How to Stay Active and Relieve Your Pain</t>
  </si>
  <si>
    <t>Bull Publishing Company</t>
  </si>
  <si>
    <t>Stokes, Barbara; Helewa, Antoine</t>
  </si>
  <si>
    <t>Dealing with Food Allergies : A Practical Guide to Detecting Culprit Foods and Eating a Healthy, Enjoyable Diet</t>
  </si>
  <si>
    <t>Vickerstaff Joneja, Janice</t>
  </si>
  <si>
    <t>Dealing with Food Allergies in Babies and Children</t>
  </si>
  <si>
    <t>Essentials of Assessment Report Writing</t>
  </si>
  <si>
    <t>Lichtenberger, Elizabeth O.; Mather, Nancy; Kaufman, Nadeen L.; Kaufman, Alan S.</t>
  </si>
  <si>
    <t>Essentials of Group Therapy</t>
  </si>
  <si>
    <t>Brabender, Virginia A.; Smolar, Andrew I.; Fallon, April E.</t>
  </si>
  <si>
    <t>Food Labeling Compliance Review</t>
  </si>
  <si>
    <t>Summers, James L.; Campbell, Elizabeth J.; Campbell, Elizabeth J (Betty)</t>
  </si>
  <si>
    <t>Law of Tax-Exempt Healthcare Organizations</t>
  </si>
  <si>
    <t>Hyatt, Thomas K.; Hopkins, Bruce R.</t>
  </si>
  <si>
    <t>Ocular Tumors in Animals and Humans</t>
  </si>
  <si>
    <t>Peiffer, Robert L.; Simons, Kenneth B.; Peiffer, Robert L., Jr.</t>
  </si>
  <si>
    <t>Vitamins in Animal and Human Nutrition</t>
  </si>
  <si>
    <t>McDowell, Lee Russell</t>
  </si>
  <si>
    <t>Agriculture; Health</t>
  </si>
  <si>
    <t>Vitality : A Psychiatrist's Answer to Life's Problems</t>
  </si>
  <si>
    <t>Esser, Richard</t>
  </si>
  <si>
    <t>Nuclear Receptors as Molecular Targets for Cardiometabolic and Central Nervous System Diseases</t>
  </si>
  <si>
    <t>Junien, J.L.; Staels, B.</t>
  </si>
  <si>
    <t>Medicine; Science; Pharmacy; Science: Biology/Natural History</t>
  </si>
  <si>
    <t>Commercial and Pre-Commercial Cell Detection Technologies for Defence against Bioterror : Technology, Market and Society</t>
  </si>
  <si>
    <t>Lechuga, L.M.; Milanovich, F.P.; Skládal, P.</t>
  </si>
  <si>
    <t>Engineering; Engineering: Manufacturing; Medicine</t>
  </si>
  <si>
    <t>Computer-based Medical Guidelines and Protocols : A Primer and Current Trends</t>
  </si>
  <si>
    <t>Ten Teije, A.; Miksch, S.; Lucas, P.</t>
  </si>
  <si>
    <t>Global Healthgrid : e-Science Meets Biomedical Informatics</t>
  </si>
  <si>
    <t>Solomonides, T.; Silverstein, J.C.; Saltz, J.; Legre, Y. ; Kratz, M. ; Breton, Vincent ; Beck, J.R.</t>
  </si>
  <si>
    <t>Ocular Transporters in Ophthalmic Diseases and Drug Delivery : Opthamology Research</t>
  </si>
  <si>
    <t>Tombran-Tink, Joyce; Barnstable, Colin J.; Tombran-Tink, Joyce</t>
  </si>
  <si>
    <t>Stem Cells, Human Embryos and Ethics : Interdisciplinary Perspectives</t>
  </si>
  <si>
    <t>Springer Netherlands</t>
  </si>
  <si>
    <t>Østnor, Lars</t>
  </si>
  <si>
    <t>Science: Biology/Natural History; Science; Philosophy</t>
  </si>
  <si>
    <t>Art Therapy and Clinical Neuroscience</t>
  </si>
  <si>
    <t>Bridgham, Terre; Christian, Darryl; Findlay, Joanna Clyde; Galbraith, Anne; King-West, Erin; Kravits, Kathy; Loya, Nicole; Hass-Cohen, Noah; Carr, Richard; Kaplan, Frances</t>
  </si>
  <si>
    <t>Bulimics on Bulimia</t>
  </si>
  <si>
    <t>Stavrou, Maria</t>
  </si>
  <si>
    <t>Concepts of Normality : The Autistic and Typical Spectrum</t>
  </si>
  <si>
    <t>Lawson, Wendy; Murray, Dinah; Wolfond, Estee; Clark, Lucy</t>
  </si>
  <si>
    <t>Counselling and Reflexive Research in Healthcare : Working Therapeutically with Clients with Inflammatory Bowel Disease</t>
  </si>
  <si>
    <t>Thomas, Gillian</t>
  </si>
  <si>
    <t>Counselling for Asperger Couples</t>
  </si>
  <si>
    <t>Thompson, Barrie; Bagnall, Steve</t>
  </si>
  <si>
    <t>The Girl Who Spoke with Pictures : Autism Through Art</t>
  </si>
  <si>
    <t>Miller, Eileen; Miller, Kim; Nickel, Robert</t>
  </si>
  <si>
    <t>Multisensory Rooms and Environments : Controlled Sensory Experiences for People with Profound and Multiple Disabilities</t>
  </si>
  <si>
    <t>Fowler, Susan; Pagliano, Paul</t>
  </si>
  <si>
    <t>Music Therapy and Traumatic Brain Injury : A Light on a Dark Night</t>
  </si>
  <si>
    <t>Gilbertson, Simon; Aldridge, David</t>
  </si>
  <si>
    <t>Playing, Laughing and Learning with Children on the Autism Spectrum : A Practical Resource of Play Ideas for Parents and Carers</t>
  </si>
  <si>
    <t>Moor, Julia; Moore, Julia</t>
  </si>
  <si>
    <t>Social Skills for Teenagers and Adults with Asperger Syndrome : A Practical Guide to Day-to-Day Life</t>
  </si>
  <si>
    <t>Patrick, Nancy J.</t>
  </si>
  <si>
    <t>Speaking of Dying : A Practical Guide to Using Counselling Skills in Palliative Care</t>
  </si>
  <si>
    <t>Heyse-Moore, Louis; Parkes, Colin Murray</t>
  </si>
  <si>
    <t>Therapy to Go : Gourmet Fast Food Handouts for Working with Child, Adolescent and Family Clients</t>
  </si>
  <si>
    <t>Rosoman, Clare</t>
  </si>
  <si>
    <t>Pharma-Ecology : The Occurrence and Fate of Pharmaceuticals and Personal Care Products in the Environment</t>
  </si>
  <si>
    <t>Jjemba, Patrick K.</t>
  </si>
  <si>
    <t>Pharmacy; Medicine; Health; Social Science</t>
  </si>
  <si>
    <t>Stoma Care</t>
  </si>
  <si>
    <t>Burch, Jennie; Burch, Jennie</t>
  </si>
  <si>
    <t>Overcoming Steroid Insensitivity in Respiratory Disease</t>
  </si>
  <si>
    <t>Chung, Kian Fan; Adcock, Ian; Chung, Professor Prof Kian Fan</t>
  </si>
  <si>
    <t>Pulmonary Arterial Hypertension : Diagnosis and Evidence-Based Treatment</t>
  </si>
  <si>
    <t>Barst, Robyn</t>
  </si>
  <si>
    <t>Computer Modeling in Bioengineering : Theoretical Background, Examples and Software</t>
  </si>
  <si>
    <t>Filipovic, Nenad; Stojanovic, Boban; Kojić, Milos; Kojic , Nikola; Kojić, Nikola; Kojić, Miloš</t>
  </si>
  <si>
    <t>Palaeopathology</t>
  </si>
  <si>
    <t>Waldron, Tony</t>
  </si>
  <si>
    <t>Atlas of Gross Pathology : With Histologic Correlation</t>
  </si>
  <si>
    <t>Rose, Alan G.</t>
  </si>
  <si>
    <t>A Guide to the World Anti-Doping Code : A Fight for the Spirit of Sport</t>
  </si>
  <si>
    <t>David, Paul</t>
  </si>
  <si>
    <t>Uncommon Causes of Stroke</t>
  </si>
  <si>
    <t>Caplan, Louis R.; Bogousslavsky, Julien</t>
  </si>
  <si>
    <t>Echoes of the Trauma : Relational Themes and Emotions in Children of Holocaust Survivors</t>
  </si>
  <si>
    <t>Wiseman, Hadas; Barber, Jacques P.</t>
  </si>
  <si>
    <t>Teaching Medical Professionalism</t>
  </si>
  <si>
    <t>Cruess, Richard L.; Cruess, Sylvia R.; Steinert, Yvonne</t>
  </si>
  <si>
    <t>Squamous Cell Cancer of the Neck</t>
  </si>
  <si>
    <t>Hermans, Robert</t>
  </si>
  <si>
    <t>Naturalized Bioethics : Toward Responsible Knowing and Practice</t>
  </si>
  <si>
    <t>Lindemann, Hilde; Verkerk, Marian; Urban Walker, Margaret</t>
  </si>
  <si>
    <t>International Public Health Policy and Ethics</t>
  </si>
  <si>
    <t>Boylan, Michael; Boylan, Michael</t>
  </si>
  <si>
    <t>Biopolitics of Breast Cancer : Changing Cultures of Disease and Activism</t>
  </si>
  <si>
    <t>Klawiter, Maren</t>
  </si>
  <si>
    <t>Combined Estrogen-Progestogen Contraceptives and Combined Estrogen-Progestogen Menopausal Therapy</t>
  </si>
  <si>
    <t>WHO; International Agency for Research on Cancer,; World Health Organization,; UNAIDS,; The International Agency for Research on Cancer,</t>
  </si>
  <si>
    <t>World Health Report 2008 : Primary Health Care Now More Than Ever</t>
  </si>
  <si>
    <t>Applied Animal Endocrinology</t>
  </si>
  <si>
    <t>Squires, E.J.</t>
  </si>
  <si>
    <t>Chemical Pesticide Markets, Health Risks and Residues : Chemical Pesticide Markets, Health Risks and Residues</t>
  </si>
  <si>
    <t>Harris, J.</t>
  </si>
  <si>
    <t>Health; Social Science; Business/Management; Environmental Studies; Economics</t>
  </si>
  <si>
    <t>Communicable Disease Epidemiology and Control : A Global Perspective</t>
  </si>
  <si>
    <t>Webber, R.</t>
  </si>
  <si>
    <t>Meat Science : An Introductory Text</t>
  </si>
  <si>
    <t>Warriss, P.D.</t>
  </si>
  <si>
    <t>Engineering; Agriculture; Engineering: Chemical; Health</t>
  </si>
  <si>
    <t>Molecular Nutrition</t>
  </si>
  <si>
    <t>Zempleni, J.; Daniel, H.; Zempleni, J.</t>
  </si>
  <si>
    <t>Worms and Human Disease</t>
  </si>
  <si>
    <t>Muller, R.</t>
  </si>
  <si>
    <t>Surgical Research</t>
  </si>
  <si>
    <t>Souba, Wiley W.; Wilmore, Douglas W.; Souba, Wiley W</t>
  </si>
  <si>
    <t>Trust Matters in Health Care</t>
  </si>
  <si>
    <t>Calnan, Michael; Rowe, Rosemary; Calnan, Michael</t>
  </si>
  <si>
    <t>Palliative Care Nursing : Principles and Evidence for Practice</t>
  </si>
  <si>
    <t>Payne, Sheila; Seymour, Jane; Ingleton, Christine</t>
  </si>
  <si>
    <t>To Test or Not to Test : A Guide to Genetic Screening and Risk</t>
  </si>
  <si>
    <t>Teichler-Zallen, Doris; Zallen, Doris Teichler</t>
  </si>
  <si>
    <t>Education and Care for Adolescents and Adults with Autism : A Guide for Professionals and Carers</t>
  </si>
  <si>
    <t>Wall, Kate</t>
  </si>
  <si>
    <t>Skills in Transactional Analysis Counselling &amp; Psychotherapy</t>
  </si>
  <si>
    <t>The Asperger Social Guide : How to Relate to Anyone in any Social Situation as an Adult with Asperger's Syndrome</t>
  </si>
  <si>
    <t>Edmonds, Genevieve; Worton, Dean</t>
  </si>
  <si>
    <t>Cyanobacterial Harmful Algal Blooms: State of the Science and Research Needs</t>
  </si>
  <si>
    <t>Lajtha, Abel; Paoletti, Rodolfo; Hudnell, H. Kenneth</t>
  </si>
  <si>
    <t>Influenza Vaccines for the Future</t>
  </si>
  <si>
    <t>Kaufmann, Stefan H.E.; Rappuoli, Rino; Del Giudice, Giuseppe</t>
  </si>
  <si>
    <t>Prenatal Mouse Brain Atlas : Color images and annotated diagrams of: Gestational Days 12, 14, 16 and 18 Sagittal, coronal and horizontal section</t>
  </si>
  <si>
    <t>Schambra, Uta B.; Connelly, Barbara A.</t>
  </si>
  <si>
    <t>Women's Health Needs in Patient Education</t>
  </si>
  <si>
    <t>Redman, Barbara K.</t>
  </si>
  <si>
    <t>Prolongation of Life : Optimistic Studies</t>
  </si>
  <si>
    <t>Metchnikoff, Ilya Ilyich; Mitchell, P</t>
  </si>
  <si>
    <t>Women's Health During and after Pregnancy : A Theory-based Study of Adaptation to Change</t>
  </si>
  <si>
    <t>Tulman, Lorraine; Fawcett, Jacqueline</t>
  </si>
  <si>
    <t>Better Mental Health Care</t>
  </si>
  <si>
    <t>Thornicroft, Graham; Tansella, Michele</t>
  </si>
  <si>
    <t>Infertility and Assisted Reproduction</t>
  </si>
  <si>
    <t>Rizk, Botros R. M. B.; Garcia-Velasco, Juan A.; Sallam, Hassan N.; Makrigiannakis, Antonis</t>
  </si>
  <si>
    <t>Neurobiology of Obesity</t>
  </si>
  <si>
    <t>Harvey, Jenni; Withers, Dominic J.</t>
  </si>
  <si>
    <t>Neuropsychological Neurology : The Neurocognitive Impairments of Neurological Disorders</t>
  </si>
  <si>
    <t>Larner, A. J.</t>
  </si>
  <si>
    <t>Single Embryo Transfer</t>
  </si>
  <si>
    <t>Gerris, Jan; Adamson, G. David; De Sutter, Petra; Racowsky, Catherine</t>
  </si>
  <si>
    <t>Treatment Manual for Smoking Cessation Groups : A Guide for Therapists</t>
  </si>
  <si>
    <t>Stritzke, Werner G. K.; Chong, Joyce L. Y.; Ferguson, Diane</t>
  </si>
  <si>
    <t>The Turnstone : A Doctor's Story</t>
  </si>
  <si>
    <t>Liverpool University Press</t>
  </si>
  <si>
    <t>Dean, Geoffrey</t>
  </si>
  <si>
    <t>Williams Dictionary of Biomaterials</t>
  </si>
  <si>
    <t>Williams, David; Williams, David F ; Williams, D F</t>
  </si>
  <si>
    <t>The Vaccination Controversy : The Rise, Reign and Fall of Compulsory Vaccination for Smallpox</t>
  </si>
  <si>
    <t>Williamson, Stanley</t>
  </si>
  <si>
    <t>Children Remembered : Responses to Untimely Death in the Past</t>
  </si>
  <si>
    <t>Woods, Robert</t>
  </si>
  <si>
    <t>Medical Research for Hire : The Political Economy of Pharmaceutical Clinical Trials</t>
  </si>
  <si>
    <t>Fisher, Jill A.</t>
  </si>
  <si>
    <t>Saving Sickly Children : The Tuberculosis Preventorium in American Life, 1909-1970</t>
  </si>
  <si>
    <t>Connolly, Cynthia A.</t>
  </si>
  <si>
    <t>Veins of Devotion : Blood Donation and Religious Experience in North India</t>
  </si>
  <si>
    <t>Copeman, Jacob</t>
  </si>
  <si>
    <t>Multiple Sclerosis Resources in the World 2008 : Atlas</t>
  </si>
  <si>
    <t>WHO; Rompani, Paul</t>
  </si>
  <si>
    <t>Cancer Control : Knowledge into Action</t>
  </si>
  <si>
    <t>Global Burden of Disease 2004 : 2004 Update</t>
  </si>
  <si>
    <t>WHO; Fat, Doris Ma ; Boerma, J. T</t>
  </si>
  <si>
    <t>International Health Regulations 2005</t>
  </si>
  <si>
    <t>WHO; World Health Organization, ; UNAIDS, ; World Health Organization,</t>
  </si>
  <si>
    <t>Social Science; Health; Law</t>
  </si>
  <si>
    <t>Policies and Practices for Mental Health in Europe : Meeting the Challenges</t>
  </si>
  <si>
    <t>Tuberculosis and Air Travel : Guidelines for Prevention and Control</t>
  </si>
  <si>
    <t>Skin Sensitization in Chemical Risk Assessment : IPCS Harmonization Project Document No. 5</t>
  </si>
  <si>
    <t>Engineering; Medicine; Engineering: Environmental</t>
  </si>
  <si>
    <t>Cancer Drug Design and Discovery</t>
  </si>
  <si>
    <t>Neidle, Stephen; Neidle, Cancer Research Campaign Biomolecular Structure Unit Stephen</t>
  </si>
  <si>
    <t>Handbook of Animal Models of Infection : Experimental Models in Antimicrobial Chemotherapy</t>
  </si>
  <si>
    <t>Sande, Merle A.; Zak, Oto; Zak, Oto</t>
  </si>
  <si>
    <t>Medical and Veterinary Entomology</t>
  </si>
  <si>
    <t>Mullen, Gary R.; Durden, Lance A.; Mullen, Gary</t>
  </si>
  <si>
    <t>Handbook of Medical Image Processing and Analysis</t>
  </si>
  <si>
    <t>Bankman, Isaac N.; Bankman, Isaac</t>
  </si>
  <si>
    <t>Gene Family Targeted Molecular Design</t>
  </si>
  <si>
    <t>Lackey, Karen</t>
  </si>
  <si>
    <t>Integrated Cardiac Safety : Assessment Methodologies for Noncardiac Drugs in Discovery, Development, and Postmarketing Surveillance</t>
  </si>
  <si>
    <t>Turner, J. Rick; Durham, Todd A.</t>
  </si>
  <si>
    <t>Cervical Cancer : A Guide for Nurses</t>
  </si>
  <si>
    <t>Dunleavey, Ruth</t>
  </si>
  <si>
    <t>Coeliac Disease : Nursing Care and Management</t>
  </si>
  <si>
    <t>Griffiths, Helen</t>
  </si>
  <si>
    <t>Ethics : The Heart of Health Care</t>
  </si>
  <si>
    <t>Seedhouse, David; Seedhouse, Dr David</t>
  </si>
  <si>
    <t>Nanomedicine : Design and Applications of Magnetic Nanomaterials, Nanosensors and Nanosystems</t>
  </si>
  <si>
    <t>Varadan, Vijay K.; Chen, Linfeng; Xie, Jining; Abraham, Jose</t>
  </si>
  <si>
    <t>Severe Combined Immune Deficiency : Early Hospitalisation and Isolation</t>
  </si>
  <si>
    <t>Vickers, Peter</t>
  </si>
  <si>
    <t>Voice Work : Art and Science in Changing Voices</t>
  </si>
  <si>
    <t>Shewell, Christina</t>
  </si>
  <si>
    <t>Literature</t>
  </si>
  <si>
    <t>The African Transformation of Western Medicine and the Dynamics of Global Cultural Exchange</t>
  </si>
  <si>
    <t>Baronov, David</t>
  </si>
  <si>
    <t>Damaged Goods? : Women Living with Incurable Sexually Transmitted Diseases</t>
  </si>
  <si>
    <t>Nack, Adina</t>
  </si>
  <si>
    <t>Collaborative Patient Centred eHealth : Proceedings of the HIT@HealthCare 2008 Joint Event: 25th MIC Congress, 3rd International Congress Sixi, Special ISV-NVKVV Event, 8th Belgian eHealth Symposium</t>
  </si>
  <si>
    <t>De Clercq, E.; De Moor, G.J.E.; Bellon, J.</t>
  </si>
  <si>
    <t>Colonial Madness : Psychiatry in French North Africa</t>
  </si>
  <si>
    <t>University of Chicago Press</t>
  </si>
  <si>
    <t>Keller, Richard C.</t>
  </si>
  <si>
    <t>Doing Psychotherapy Effectively</t>
  </si>
  <si>
    <t>Weissmark, Mona Sue; Giacomo, Daniel A.</t>
  </si>
  <si>
    <t>Dr. Golem : How to Think about Medicine</t>
  </si>
  <si>
    <t>Collins, Harry; Pinch, Trevor</t>
  </si>
  <si>
    <t>Economic Aspects of Health</t>
  </si>
  <si>
    <t>Fuchs, Victor R.</t>
  </si>
  <si>
    <t>Health and Labor Force Participation over the Life Cycle : Evidence from the Past</t>
  </si>
  <si>
    <t>Costa, Dora L.</t>
  </si>
  <si>
    <t>Social Science; Economics; Health</t>
  </si>
  <si>
    <t>Health and Welfare during Industrialization</t>
  </si>
  <si>
    <t>Steckel, Richard H.; Floud, Roderick</t>
  </si>
  <si>
    <t>Business/Management; Economics; Health; Social Science</t>
  </si>
  <si>
    <t>Health Care Issues in the United States and Japan</t>
  </si>
  <si>
    <t>Wise, David A.; Yashiro, Naohiro</t>
  </si>
  <si>
    <t>Impotence : A Cultural History</t>
  </si>
  <si>
    <t>McLaren, Angus</t>
  </si>
  <si>
    <t>Inclusion : The Politics of Difference in Medical Research</t>
  </si>
  <si>
    <t>Epstein, Steven</t>
  </si>
  <si>
    <t>Medical Care Output and Productivity</t>
  </si>
  <si>
    <t>Cutler, David M.; Berndt, Ernst R.</t>
  </si>
  <si>
    <t>Moral Stealth : How "Correct Behavior" Insinuates Itself into Psychotherapeutic Practice</t>
  </si>
  <si>
    <t>Goldberg, Arnold</t>
  </si>
  <si>
    <t>The Changing Hospital Industry : Comparing Not-for-Profit and For-Profit Institutions</t>
  </si>
  <si>
    <t>Cutler, David M.</t>
  </si>
  <si>
    <t>The Court Midwife</t>
  </si>
  <si>
    <t>Siegemund, Justine; Tatlock, Lynne; Tatlock, Lynne</t>
  </si>
  <si>
    <t>Theaters of Madness : Insane Asylums and Nineteenth-Century American Culture</t>
  </si>
  <si>
    <t>Reiss, Benjamin</t>
  </si>
  <si>
    <t>Looks : Why They Matter More Than You Ever Imagined</t>
  </si>
  <si>
    <t>AMACOM</t>
  </si>
  <si>
    <t>PATZER, Gordon</t>
  </si>
  <si>
    <t>Language Disorders in Speakers of Chinese</t>
  </si>
  <si>
    <t>Law, Sam-Po; Weekes, Dr. Brendan; Wong, Anita M-Y</t>
  </si>
  <si>
    <t>Handbook for Advanced Primary Care Nurses</t>
  </si>
  <si>
    <t>Neno, Rebecca; Price, Debby</t>
  </si>
  <si>
    <t>Caring for People with Chronic Conditions : A Health System Perspective</t>
  </si>
  <si>
    <t>Nolte, Ellen</t>
  </si>
  <si>
    <t>Health Promotion : A Psychosocial Approach</t>
  </si>
  <si>
    <t>Stephens, Christine</t>
  </si>
  <si>
    <t>Flatlined : Resuscitating American Medicine</t>
  </si>
  <si>
    <t>Clifton, Guy L.</t>
  </si>
  <si>
    <t>Interventional Radiological Treatment of Liver Tumors</t>
  </si>
  <si>
    <t>Adam, Andy; Mueller, Peter R.</t>
  </si>
  <si>
    <t>Ticks : Biology, Disease and Control</t>
  </si>
  <si>
    <t>Bowman, Alan S.; Nuttall, Patricia A.</t>
  </si>
  <si>
    <t>Social Science; Science; Health; Science: Biology/Natural History</t>
  </si>
  <si>
    <t>Descriptive Psychopathology : The Signs and Symptoms of Behavioral Disorders</t>
  </si>
  <si>
    <t>Taylor, Michael Alan; Vaidya, Nutan Atre</t>
  </si>
  <si>
    <t>How to Think Like a Radiologist : Ordering Imaging Studies</t>
  </si>
  <si>
    <t>Catanzano, Tara Marie</t>
  </si>
  <si>
    <t>Diagnostic Imaging</t>
  </si>
  <si>
    <t>Medically Assisted Death</t>
  </si>
  <si>
    <t>Young, Robert</t>
  </si>
  <si>
    <t>Pharmaceutical Biotechnology</t>
  </si>
  <si>
    <t>Sambamurthy, K.; Kar, Ashutosh</t>
  </si>
  <si>
    <t>The Wounded Breast : Intimate Journeys Through Cancer</t>
  </si>
  <si>
    <t>Spinifex Press</t>
  </si>
  <si>
    <t>Accad, Evelyne</t>
  </si>
  <si>
    <t>Defiant Birth : Women Who Resist Medical Eugenics</t>
  </si>
  <si>
    <t>Reist, Melinda Tankard</t>
  </si>
  <si>
    <t>Language in Psychiatry : A Handbook of Clinical Practice</t>
  </si>
  <si>
    <t>Equinox Publishing Ltd</t>
  </si>
  <si>
    <t>Fine, Jonathan</t>
  </si>
  <si>
    <t>Common Neuro-Ophthalmic Pitfalls : Case-Based Teaching</t>
  </si>
  <si>
    <t>Purvin, Valerie A.; Kawasaki, Aki</t>
  </si>
  <si>
    <t>Evidence-Based Diagnosis</t>
  </si>
  <si>
    <t>Newman, Thomas B.; Kohn, Michael A.</t>
  </si>
  <si>
    <t>Just Health : Meeting Health Needs Fairly</t>
  </si>
  <si>
    <t>Daniels, Norman</t>
  </si>
  <si>
    <t>Manual of Botulinum Toxin Therapy</t>
  </si>
  <si>
    <t>Beijing World Publishing Corporation (BJWPC)</t>
  </si>
  <si>
    <t>Truong, Daniel; Dressler, Dirk; Hallett, Mark</t>
  </si>
  <si>
    <t>Dupont, William D.; Dupont, William D.</t>
  </si>
  <si>
    <t>Therapy after Terror : 9/11, Psychotherapists, and Mental Health</t>
  </si>
  <si>
    <t>Seeley, Karen M.</t>
  </si>
  <si>
    <t>Treatment of Multiple Myeloma and Related Disorders</t>
  </si>
  <si>
    <t>Rajkumar, S. Vincent; Kyle, Robert A.</t>
  </si>
  <si>
    <t>Therapeutic Relationships with Offenders : An Introduction to the Psychodynamics of Forensic Mental Health Nursing</t>
  </si>
  <si>
    <t>Adshead, Gwen; Barber, Miranda; Bose, Sarita; Brown, Valerie Anne; Clarke, Tom; Downes, Katie; Gordon, Neil; Kay, Malcolm; Aiyegbusi, Anne; Clarke-Moore, Jenifer</t>
  </si>
  <si>
    <t>Personality Disorder : The Definitive Reader</t>
  </si>
  <si>
    <t>Hinshelwood, Robert; Norton, Kingsley; Adshead, Gwen; Jacob, Caroline</t>
  </si>
  <si>
    <t>Early Psychosocial Interventions in Dementia : Evidence-Based Practice</t>
  </si>
  <si>
    <t>Burnham, Molly; Cahill, Suzanne; Cantegreil-Kallen, Inge; Carr, Irene; Charlesworth, Georgina; Chattat, Rabih; Cheston, Richard; Clare, Linda; Moniz-Cook, Esme; Manthorpe, Jill</t>
  </si>
  <si>
    <t>Girls Growing up on the Autism Spectrum : What Parents and Professionals Should Know about the Pre-teen and Teenage Years</t>
  </si>
  <si>
    <t>Nichols, Shana; Moravcik, Gina Marie; Tetenbaum, Samara Pulver; Willey, Liane Holliday</t>
  </si>
  <si>
    <t>How to Make Your Care Home Fun : Simple Activities for People of All Abilities</t>
  </si>
  <si>
    <t>Agar, Kenneth; Rolfe, Sue</t>
  </si>
  <si>
    <t>Dietary Interventions in Autism Spectrum Disorders : Why They Work When They Do, Why They Don't When They Don't</t>
  </si>
  <si>
    <t>Aitken, Kenneth J.</t>
  </si>
  <si>
    <t>The Asperger Couple's Workbook : Practical Advice and Activities for Couples and Counsellors</t>
  </si>
  <si>
    <t>Aston, Maxine C.; Corbett, Antony; Aston, William</t>
  </si>
  <si>
    <t>Losing Clive to Younger Onset Dementia : One Family's Story</t>
  </si>
  <si>
    <t>Beaumont, Helen</t>
  </si>
  <si>
    <t>Asperger Syndrome and Employment : What People with Asperger Syndrome Really Really Want</t>
  </si>
  <si>
    <t>Hendrickx, Sarah; Biddulph, John</t>
  </si>
  <si>
    <t>Hope for the Autism Spectrum : A Mother and Son Journey of Insight and Biomedical Intervention</t>
  </si>
  <si>
    <t>Kirk, Sally; Kirchoff, Sallie; Kirk, Sally</t>
  </si>
  <si>
    <t>Adults on the Autism Spectrum Leave the Nest : Achieving Supported Independence</t>
  </si>
  <si>
    <t>Perry, Nancy</t>
  </si>
  <si>
    <t>Focusing-Oriented Art Therapy : Accessing the Body's Wisdom and Creative Intelligence</t>
  </si>
  <si>
    <t>Rappaport, Laury</t>
  </si>
  <si>
    <t>Recovery from Depression Using the Narrative Approach : A Guide for Doctors, Complementary Therapists and Mental Health Professionals</t>
  </si>
  <si>
    <t>Ridge, Damien</t>
  </si>
  <si>
    <t>Alphabet Kids - from Add to Zellweger Syndrome : A Guide to Developmental, Neurobiological and Psychological Disorders for Parents and Professionals</t>
  </si>
  <si>
    <t>Woliver, Robbie</t>
  </si>
  <si>
    <t>Official Autism 101 Manual : Everything You Need to Know about Autism, from the People Who Know and Care the Most</t>
  </si>
  <si>
    <t>Simmons, Karen</t>
  </si>
  <si>
    <t>Essentials of Medical Genomics</t>
  </si>
  <si>
    <t>Brown, Stuart M.; Hay, John G.; Ostrer, Harry</t>
  </si>
  <si>
    <t>Mushrooms as Functional Foods</t>
  </si>
  <si>
    <t>Cheung, Peter C.</t>
  </si>
  <si>
    <t>Bioethics as Practice</t>
  </si>
  <si>
    <t>Andre, Judith</t>
  </si>
  <si>
    <t>Healing at the Borderland of Medicine and Religion</t>
  </si>
  <si>
    <t>Cohen, Michael H.</t>
  </si>
  <si>
    <t>Bittersweet : Diabetes, Insulin, and the Transformation of Illness</t>
  </si>
  <si>
    <t>Feudtner, Chris</t>
  </si>
  <si>
    <t>Early Detection : Women, Cancer, and Awareness Campaigns in the Twentieth-Century United States</t>
  </si>
  <si>
    <t>Gardner, Kirsten E.</t>
  </si>
  <si>
    <t>AIDS Pandemic : Complacency, Injustice, and Unfulfilled Expectations</t>
  </si>
  <si>
    <t>Gostin, Lawrence O.</t>
  </si>
  <si>
    <t>Handbook of Medical Imaging : Processing and Analysis</t>
  </si>
  <si>
    <t>War and Disease : Biomedical Research on Malaria in the Twentieth Century</t>
  </si>
  <si>
    <t>Slater, Leo Barney; Slater, Leo</t>
  </si>
  <si>
    <t>Advanced Practical Medicinal Chemistry</t>
  </si>
  <si>
    <t>Pharmacology for Dentistry</t>
  </si>
  <si>
    <t>Singh, Surender</t>
  </si>
  <si>
    <t>Fundamental of Biomedical Engineering</t>
  </si>
  <si>
    <t>Sawhney, G.S.</t>
  </si>
  <si>
    <t>A Clinician's Guide to Rheumatic Diseases in Children</t>
  </si>
  <si>
    <t>A Cognitive-Behavioral Approach to the Beginning of the End of Life : Minding the Body - Facilitator Guide</t>
  </si>
  <si>
    <t>Satterfield, Jason M.</t>
  </si>
  <si>
    <t>Day Apart : How Jews, Christians, and Muslims Find Faith, Freedom, and Joy on the Sabbath</t>
  </si>
  <si>
    <t>Ringwald, Christopher D.</t>
  </si>
  <si>
    <t>A Guide to Assessments That Work</t>
  </si>
  <si>
    <t>Hunsley, John; Mash, Eric J.</t>
  </si>
  <si>
    <t>Adolescent Psychopathology and the Developing Brain : Integrating Brain and Prevention Science</t>
  </si>
  <si>
    <t>Shirk, Susan L.; Romer, Daniel; Walker, Elaine F.</t>
  </si>
  <si>
    <t>Advances in Understanding Mechanisms and Treatment of Infantile Forms of Nystagmus</t>
  </si>
  <si>
    <t>Leigh, R. John; Devereaux, Michael W.</t>
  </si>
  <si>
    <t>Advancing with the Army : Medicine, the Professions, and Social Mobility in the British Isles, 1790-1850</t>
  </si>
  <si>
    <t>Ackroyd, Marcus; Brockliss, Laurence; Moss, Michael; Retford, Kate; Stevenson, John</t>
  </si>
  <si>
    <t>Military Science; Medicine</t>
  </si>
  <si>
    <t>Autism : A Very Short Introduction</t>
  </si>
  <si>
    <t>Frith, Uta; Frith, Uta</t>
  </si>
  <si>
    <t>Before Prozac : The Troubled History of Mood Disorders in Psychiatry</t>
  </si>
  <si>
    <t>Biomedical Optical Imaging</t>
  </si>
  <si>
    <t>Fujimoto, James G.; Farkas, Daniel L.</t>
  </si>
  <si>
    <t>Board Certification in Clinical Neuropsychology : A Guide to Becoming ABPP/ABCN Certified Without Sacrificing Your Sanity</t>
  </si>
  <si>
    <t>Armstrong, Kira; Beebe, Dean W.; Hilsabeck, Robin C.; Kirkwood, Michael W.</t>
  </si>
  <si>
    <t>Brain Landscape : The Coexistance of Neuroscience and Architecture</t>
  </si>
  <si>
    <t>Eberhard, John P.</t>
  </si>
  <si>
    <t>Breaking the Silence : Mental Health Professionals Disclose Their Personal and Family Experiences of Mental Illness</t>
  </si>
  <si>
    <t>Kim, David Kyuman; Hinshaw, Stephen P.</t>
  </si>
  <si>
    <t>Clean : A History of Personal Hygiene and Purity</t>
  </si>
  <si>
    <t>Smith, Virginia</t>
  </si>
  <si>
    <t>Clinician's Guide to Evidence-Based Practices : Mental Health and the Addictions</t>
  </si>
  <si>
    <t>Norcross, John C.; Hogan, Thomas P.; Koocher, Gerald P.</t>
  </si>
  <si>
    <t>Cognitive-Behavioral Stress Management for Prostate Cancer Recovery : Facilitator Guide</t>
  </si>
  <si>
    <t>Penedo, Frank J.; Antoni, Michael H.; Schneiderman, Neil</t>
  </si>
  <si>
    <t>Cognitive-Behavioral Stress Management for Prostate Cancer Recovery : Workbook</t>
  </si>
  <si>
    <t>Collaborative Intervention in Early Childhood : Consulting with Parents and Teachers of 3- To 7-year-olds</t>
  </si>
  <si>
    <t>Hirschland, Deborah</t>
  </si>
  <si>
    <t>Comprehensive Review of Headache Medicine</t>
  </si>
  <si>
    <t>Levin, Morris</t>
  </si>
  <si>
    <t>Comprehensive Textbook of AIDS Psychiatry</t>
  </si>
  <si>
    <t>Cohen, Mary Ann; Gorman, Jack M.</t>
  </si>
  <si>
    <t>Compulsive Hoarding and Acquiring : Workbook</t>
  </si>
  <si>
    <t>Steketee, Gail; Frost, Randy</t>
  </si>
  <si>
    <t>Compulsive Hoarding and Acquiring : Therapist Guide</t>
  </si>
  <si>
    <t>Steketee, Gail; Frost, Randy O.</t>
  </si>
  <si>
    <t>Coping Effectively with Spinal Cord Injuries : A Group Program : Therapist Guide</t>
  </si>
  <si>
    <t>Kennedy, Paul</t>
  </si>
  <si>
    <t>Coping Effectively with Spinal Cord Inuries : A Group Program</t>
  </si>
  <si>
    <t>Coping Power : Parent Group Program : Facilitator Guide</t>
  </si>
  <si>
    <t>Wells, Karen C.; Lochman, John E.; Lenhart, Lisa A.; Lenhart, Lisa A.</t>
  </si>
  <si>
    <t>Coping Power : Parent Group Facilitator's Guide</t>
  </si>
  <si>
    <t>Weirich, Paul; Lenhart, Lisa; Lochman, John E.; Wells, Karen</t>
  </si>
  <si>
    <t>Coping with Breast Cancer : A Couples-focused Group Intervention : Therapist Guide</t>
  </si>
  <si>
    <t>Manne, Sharon L.; Ostroff, Jamie S.</t>
  </si>
  <si>
    <t>Coping with Chronic Illness : A Cognitive-Behavioral Approach for Adherence and Depression</t>
  </si>
  <si>
    <t>Feder, Ellen K.; Gonzalez, Jeffrey; Safren, Steven; Soroudi, Nafisseh</t>
  </si>
  <si>
    <t>Coping with the Seasons : A Cognitive-behavioral Approach to Seasonal Affective Disorder : Therapist Guide</t>
  </si>
  <si>
    <t>Rohan, Kelly J.</t>
  </si>
  <si>
    <t>Coping with the Seasons : A Cognitive-behavioral Approach to Seasonal Affective Disorder : Workbook</t>
  </si>
  <si>
    <t>Deadly Companions : How Microbes Shaped Our History</t>
  </si>
  <si>
    <t>Crawford, Dorothy H.</t>
  </si>
  <si>
    <t>Dialysis Without Fear : A Guide to Living Well on Dialysis for Patients and Their Families</t>
  </si>
  <si>
    <t>Offer, Daniel; Offer, Marjorie Kaiz; Szafir, Susan Offer</t>
  </si>
  <si>
    <t>Diversity Issues in the Diagnosis, Treatment, and Research of Mood Disorders</t>
  </si>
  <si>
    <t>Daley, Dennis C.; Loue, Sana; Sajatovic, Martha</t>
  </si>
  <si>
    <t>Easeful Death : Is There a Case for Assisted Dying?</t>
  </si>
  <si>
    <t>Warnock, Mary; Macdonald, Elisabeth</t>
  </si>
  <si>
    <t>Medicine; Economics</t>
  </si>
  <si>
    <t>Effective Practices for Children with Autism : Educational and Behavior Support Interventions That Work</t>
  </si>
  <si>
    <t>Dattalo, Patrick; Christian, Walter P.; Luiselli, James K.; Wilcyznski, Susan M.; Russo, Dennis C.</t>
  </si>
  <si>
    <t>Eight Stories Up : An Adolescent Chooses Hope over Suicide</t>
  </si>
  <si>
    <t>Lezine, DeQuincy A.; Brent, David A.</t>
  </si>
  <si>
    <t>Electroconvulsive Therapy : A Guide for Professionals and Their Patients</t>
  </si>
  <si>
    <t>Ethics, Prevention, and Public Health</t>
  </si>
  <si>
    <t>Dawson, Angus; Verweij, Marcel</t>
  </si>
  <si>
    <t>Evidence-Based Outcome Research : A Practical Guide to Conducting Randomized Controlled Trials for Psychosocial Interventions</t>
  </si>
  <si>
    <t>Nezu, Arthur M.; Nezu, Christine Maguth</t>
  </si>
  <si>
    <t>Evolution in Health and Disease</t>
  </si>
  <si>
    <t>Stearns, S. C.; Koella, Jacob C.</t>
  </si>
  <si>
    <t>Evolutionary Forensic Psychology : Darwinian Foundations of Crime and Law</t>
  </si>
  <si>
    <t>Shackelford, Todd K.; Duntley, Joshua; Shackelford, Todd K.</t>
  </si>
  <si>
    <t>Eye Movement Disorders</t>
  </si>
  <si>
    <t>Wong, Agnes M. F.</t>
  </si>
  <si>
    <t>From Development to Degeneration and Regeneration of the Nervous System</t>
  </si>
  <si>
    <t>Ribak, Charles E.; Jones, Edward G.; Sahd, Jorge A. Larriva; Swanson, Larry W.; de la Hoz, Carlos Aramburo</t>
  </si>
  <si>
    <t>Ethics of Autism : Among Them, but Not of Them</t>
  </si>
  <si>
    <t>Barnbaum, Deborah R.</t>
  </si>
  <si>
    <t>Getting Your Child to Say "Yes" to School : A Guide for Parents of Youth with School Refusal Behavior</t>
  </si>
  <si>
    <t>Kearney, Christopher</t>
  </si>
  <si>
    <t>Handbook of Evidence-Based Treatment Manuals for Children and Adolescents</t>
  </si>
  <si>
    <t>LeCroy, Craig Winston</t>
  </si>
  <si>
    <t>Helping Parents with Challenging Children : Positive Family Intervention - Facilitator Guide</t>
  </si>
  <si>
    <t>Durand, V. Mark; Hieneman, Meme</t>
  </si>
  <si>
    <t>HIV/AIDS : A Very Short Introduction</t>
  </si>
  <si>
    <t>Whiteside, Alan</t>
  </si>
  <si>
    <t>Integrating Health Promotion and Mental Health : An Introduction to Policies, Principles, and Practices</t>
  </si>
  <si>
    <t>Vandiver, Vikki</t>
  </si>
  <si>
    <t>Joseph Babinski : A Biography</t>
  </si>
  <si>
    <t>Philippon, Jacques; Poirier, Jacques</t>
  </si>
  <si>
    <t>Living with Germs : In Health and Disease</t>
  </si>
  <si>
    <t>Playfair, John</t>
  </si>
  <si>
    <t>Making Women's Medicine Masculine : The Rise of Male Authority in Pre-modern Gynaecology</t>
  </si>
  <si>
    <t>Green, Monica Helen</t>
  </si>
  <si>
    <t>Managing Chronic Pain : A Cognitive-behavioral Therapy Approach</t>
  </si>
  <si>
    <t>Otis, John D.</t>
  </si>
  <si>
    <t>Managing Tourette Syndrome : A Behavioral Intervention for Children and Adults : Therapist Guide</t>
  </si>
  <si>
    <t>Woods, Douglas W.; Chang, Susanna; Deckersbach, Thilo; Ginsburg, Golda; Peterson, Alan; Piacentini, John; Scahill, Lawrence D.; Walkup, John T.; Wilhelm, Sabine</t>
  </si>
  <si>
    <t>Managing Tourette Syndrome : A Behavioral Intervention</t>
  </si>
  <si>
    <t>Mastery of Anxiety and Panic for Adolescents : Riding the Wave - Therapist Guide</t>
  </si>
  <si>
    <t>Pincus, Donna B.; Ehrenreich, Jill T.; Mattis, Sara G.</t>
  </si>
  <si>
    <t>Me, Myself, and Them : A Firsthand Account of One Young Person's Experience with Schizophrenia</t>
  </si>
  <si>
    <t>Snyder, Kurt; Gur, Raquel E.; Andrews, Linda Wasmer</t>
  </si>
  <si>
    <t>Neuroergonomics : The Brain at Work</t>
  </si>
  <si>
    <t>Parasuraman, Raja; Rizzo, Matthew</t>
  </si>
  <si>
    <t>Science; Engineering; Engineering: General; Science: Biology/Natural History</t>
  </si>
  <si>
    <t>Neurologic Complications of Cancer</t>
  </si>
  <si>
    <t>DeAngelis, Lisa M.; Posner, Jerome B.</t>
  </si>
  <si>
    <t>Neuropsychological Assessment of Neuropsychiatric Disorders</t>
  </si>
  <si>
    <t>Grant, Igor; Adams, Kenneth M.</t>
  </si>
  <si>
    <t>Next to Nothing : A Firsthand Account of One Teenager's Experience with an Eating Disorder</t>
  </si>
  <si>
    <t>Arnold, Carrie; Walsh, B. Timothy</t>
  </si>
  <si>
    <t>Observed Brain Dynamics</t>
  </si>
  <si>
    <t>Mitra, Partha; Bokil, Hemant</t>
  </si>
  <si>
    <t>Science; Science: Biology/Natural History; Literature</t>
  </si>
  <si>
    <t>Overcoming Alcohol Problems : Workbook for Couples</t>
  </si>
  <si>
    <t>McCrady, Barbara S.; Epstein, Elizabeth E.</t>
  </si>
  <si>
    <t>Overcoming Insomnia : A Cognitive-behavioral Therapy Approach : Therapist Guide</t>
  </si>
  <si>
    <t>Edinger, Jack D.; Carney, Colleen E.</t>
  </si>
  <si>
    <t>Overcoming Insomnia : A Cognitive-Behavioral Therapy Approach, Workbook</t>
  </si>
  <si>
    <t>Edinger, Jack; Carney, Colleen</t>
  </si>
  <si>
    <t>Overcoming Pathological Gambling : Therapist Guide</t>
  </si>
  <si>
    <t>Ladouceur, Robert; Lachance, Stella</t>
  </si>
  <si>
    <t>Overcoming Your Eating Disorder : A Cognitive-behavioral Treatment for Bulimia Nervosa and Binge-eating Disorder</t>
  </si>
  <si>
    <t>Agras, W. Stewart; Apple, Robin F.</t>
  </si>
  <si>
    <t>Overcoming Your Pathological Gambling : Workbook</t>
  </si>
  <si>
    <t>Safren, Steven; Gonzalez, Jeffrey; Lachance, Stella; Ladouceur, Robert</t>
  </si>
  <si>
    <t>Paranoia : The Twenty-first Century Fear</t>
  </si>
  <si>
    <t>Freeman, Daniel; Freeman, Jason</t>
  </si>
  <si>
    <t>Personality Assessment in Treatment Planning : Use of the MMPI-2 and BTPI</t>
  </si>
  <si>
    <t>Butcher, James Neal; Perry, Julia N.</t>
  </si>
  <si>
    <t>Plum and Posner's Diagnosis of Stupor and Coma</t>
  </si>
  <si>
    <t>Levesque, Roger J. R.; Plum, Fred; Posner, Jerome B.; Schiff, Nicholas; Saper, Clifford B.</t>
  </si>
  <si>
    <t>Prescribing under Pressure : Parent-Physician Conversations and Antibiotics</t>
  </si>
  <si>
    <t>Wells, Louis T.</t>
  </si>
  <si>
    <t>Prolonged Exposure Therapy for Adolescents with PTSD : Emotional Processing of Traumatic Experiences</t>
  </si>
  <si>
    <t>Foa, Edna B.; Chrestman, Kelly R.; Gilboa-Schechtman, Eva</t>
  </si>
  <si>
    <t>Recipes for Immortality : Medicine, Religion, and Community in South India</t>
  </si>
  <si>
    <t>Weiss, Richard S.</t>
  </si>
  <si>
    <t>Recovery from Schizophrenia: an International Perspective</t>
  </si>
  <si>
    <t>Silverstone, Barbara; Harrison, Glynn; Hopper, Kim; Sartorius, Norman; Janca, Aleksandar</t>
  </si>
  <si>
    <t>Sex Differences in the Brain : From Genes to Behavior</t>
  </si>
  <si>
    <t>Millington, Barry; Becker, Jill B.; Berkley, Karen J.; Young, Elizabeth; Geary, Nori; Hampson, Elizabeth; Herman, James P.</t>
  </si>
  <si>
    <t>Sex Offenders : Identification, Risk Assessment, Treatment, and Legal Issues</t>
  </si>
  <si>
    <t>Saleh, Fabian M.; Grudzinskas, Albert J.; Bradford, John M.; Brodsky, Daniel J.; Appelbaum, Paul</t>
  </si>
  <si>
    <t>Stalking : Psychiatric Perspectives and Practical Approaches</t>
  </si>
  <si>
    <t>Pinals, Debra A.</t>
  </si>
  <si>
    <t>Synergy</t>
  </si>
  <si>
    <t>Latash, Mark L.</t>
  </si>
  <si>
    <t>The Fragmenting Family</t>
  </si>
  <si>
    <t>Almond, Brenda</t>
  </si>
  <si>
    <t>The Loss of Sadness : How Psychiatry Transformed Normal Sorrow into Depressive Disorder</t>
  </si>
  <si>
    <t>Dregni, Michael; Horwitz, Allan V.; Wakefield, Jerome C.</t>
  </si>
  <si>
    <t>The Mark of Shame : Stigma of Mental Illness and an Agenda for Change</t>
  </si>
  <si>
    <t>Baird, Joseph L.; Hinshaw, Stephen P.; Toth, Sheree L.</t>
  </si>
  <si>
    <t>The Resilient Clinician : Secondary Stress, Mindfulness, Positive Psychology, and Enhancing the Self-Care Protocol of the Psychotherapist, Counselor, and Social Worker</t>
  </si>
  <si>
    <t>Wicks, Robert J.; Wicks</t>
  </si>
  <si>
    <t>The Science of Real-Time Data Capture : Self-Reports in Health Research</t>
  </si>
  <si>
    <t>Ross, John; Schreiber, Igor; Atienza, Audie; Shiffman, Saul; Stone, Arthur; Nebeling, Linda</t>
  </si>
  <si>
    <t>The Thought That Counts : A Firsthand Account of One Teenager's Experience with Obsessive-compulsive Disorder</t>
  </si>
  <si>
    <t>Kant, Jared Douglas; Franklin, Martin; Andrews, Linda Wasmer</t>
  </si>
  <si>
    <t>The Woman Who Decided to Die : Challenges and Choices at the Edges of Medicine</t>
  </si>
  <si>
    <t>Triumph of the Heart : The Story of Statins</t>
  </si>
  <si>
    <t>Li, Jie Jack</t>
  </si>
  <si>
    <t>Understanding Body Dysmorphic Disorder</t>
  </si>
  <si>
    <t>Phillips, Katharine A.</t>
  </si>
  <si>
    <t>Vanities of the Eye : Vision in Early Modern European Culture</t>
  </si>
  <si>
    <t>Oxford University Press, UK</t>
  </si>
  <si>
    <t>Clark, Stuart</t>
  </si>
  <si>
    <t>What You Must Think of Me : A Firsthand Account of One Teenager's Experience with Social Anxiety Disorder</t>
  </si>
  <si>
    <t>Ford, Emily; Liebowitz, Michael; Andrews, Linda Wasmer</t>
  </si>
  <si>
    <t>When Children Don't Sleep Well : Interventions for Pediatric Sleep Disorders : Parent Workbook</t>
  </si>
  <si>
    <t>Durand, V. Mark</t>
  </si>
  <si>
    <t>When Children Don't Sleep Well : Interventions for Pediatric Sleep Disorders : Therapist Guide</t>
  </si>
  <si>
    <t>Drug Efficacy, Safety, and Biologics Discovery: Emerging Technologies and Tools</t>
  </si>
  <si>
    <t>Ekins, Sean; Xu, Jinghai J.; Johnson, Winthrop Professor of History and Professor of African and African American Studies Walter; Ekins, Sean; Xu, Senior Director Jinghai J; Rice, Stuart A</t>
  </si>
  <si>
    <t>Process Scale Purification of Antibodies</t>
  </si>
  <si>
    <t>Gottschalk, Uwe; Gottschalk, Uwe</t>
  </si>
  <si>
    <t>Engineering: Chemical; Pharmacy; Medicine; Engineering</t>
  </si>
  <si>
    <t>Computational Drug Design : A Guide for Computational and Medicinal Chemists</t>
  </si>
  <si>
    <t>Young, D. C.; Nelson Cpa, Mba MS Stephen L</t>
  </si>
  <si>
    <t>Anatomy of the Heart by Multislice Computed Tomography</t>
  </si>
  <si>
    <t>Faletra, Francesco; Pandian, Natesa; Ho, Siew Yen; Allen, James P; Overshott, Kenneth J</t>
  </si>
  <si>
    <t>Cardiac Resynchronization Therapy</t>
  </si>
  <si>
    <t>Auricchio, Angelo; Hayes, David L.; Yu, Cheuk-Man</t>
  </si>
  <si>
    <t>Cardiovascular Risk Management</t>
  </si>
  <si>
    <t>Hobbs, Richard; Arroll, Bruce; Hobbs, Professor Richard; Arroll, Bruce</t>
  </si>
  <si>
    <t>Day Surgery : Contemporary Approaches to Nursing Care</t>
  </si>
  <si>
    <t>Timmins, Fiona; McCabe, Catherine</t>
  </si>
  <si>
    <t>Diabetes in Hospital : A Practical Approach for Healthcare Professionals</t>
  </si>
  <si>
    <t>Holt, Paula</t>
  </si>
  <si>
    <t>Gastrointestinal Emergencies</t>
  </si>
  <si>
    <t>Collins, John S. A.; Soetikno, Roy M.; Tham, Tony C. K.</t>
  </si>
  <si>
    <t>Human Blood Plasma Proteins : Structure and Function</t>
  </si>
  <si>
    <t>Schaller, Johann; Gerber, Simon; Kaempfer, Urs; Lejon, Sofia; Trachsel, Christian</t>
  </si>
  <si>
    <t>Intracranial Atherosclerosis</t>
  </si>
  <si>
    <t>Kim, Jong S.; Caplan, Louis R.; Wong, K. S. Lawrence; Kim, Jong S; Caplan, Louis R; Wong, K S Lawrence</t>
  </si>
  <si>
    <t>Medical Disorders in Pregnancy : A Manual for Midwives</t>
  </si>
  <si>
    <t>Robson, S. Elizabeth; Waugh, Jason; Waugh, Jason</t>
  </si>
  <si>
    <t>Paediatric Audiological Medicine</t>
  </si>
  <si>
    <t>Newton, Valerie E.</t>
  </si>
  <si>
    <t>Profound Intellectual and Multiple Disabilities : Nursing Complex Needs</t>
  </si>
  <si>
    <t>Pawlyn, Jillian; Carnaby, Steven</t>
  </si>
  <si>
    <t>Public Health Skills : A Practical Guide for Nurses and Public Health Practitioners</t>
  </si>
  <si>
    <t>Coles, Lesley; Porter, Elizabeth</t>
  </si>
  <si>
    <t>Quality in Laboratory Hemostasis and Thrombosis</t>
  </si>
  <si>
    <t>Kitchen, Steve; Olson, John D.; Preston, F. Eric; Rosendaal, Frits R.; Rosendaal, Frits R</t>
  </si>
  <si>
    <t>Sample Size Tables for Clinical Studies</t>
  </si>
  <si>
    <t>Machin, David; Campbell, Michael J.; Tan, Say-Beng; Tan, Say-Beng; Tan, Sze-Huey; Tan, SzeHuey</t>
  </si>
  <si>
    <t>Statistics Workbook for Evidence-Based Health Care</t>
  </si>
  <si>
    <t>Peat, Jennifer; Barton, Belinda; Elliott, Elizabeth</t>
  </si>
  <si>
    <t>Virchow's Eulogies : Rudolf Virchow in Tribute to His Fellow Scientists</t>
  </si>
  <si>
    <t>Virchow, Rudolf Ludwig Karl; Coghlan, Brian L. D.; Bignold, Leon P.</t>
  </si>
  <si>
    <t>Microtubule Targets in Cancer Therapy</t>
  </si>
  <si>
    <t>Markman, Maurie; Fojo, Antonio T.</t>
  </si>
  <si>
    <t>What Works in Tackling Health Inequalities? : Pathways, Policies, and Practice Through the Lifecourse</t>
  </si>
  <si>
    <t>Policy Press</t>
  </si>
  <si>
    <t>Asthana, Sheena; Halliday, Joyce</t>
  </si>
  <si>
    <t>Ethics : Contemporary Challenges in Health and Social Care</t>
  </si>
  <si>
    <t>Leathard, Audrey; McLaren, Susan</t>
  </si>
  <si>
    <t>Rethinking Professional Governance : International Directions in Health Care</t>
  </si>
  <si>
    <t>Kuhlmann, Ellen; Saks, Mike</t>
  </si>
  <si>
    <t>Rethinking Palliative Care : A Social Role Valorisation Approach</t>
  </si>
  <si>
    <t>Sinclair, Paul</t>
  </si>
  <si>
    <t>Their Footprints Remain : Biomedical Beginnings Across the Indo-Tibetan Frontier</t>
  </si>
  <si>
    <t>Amsterdam University Press</t>
  </si>
  <si>
    <t>McKay, Alex</t>
  </si>
  <si>
    <t>In Death's Waiting Room : Living and Dying with Dementia in a Multicultural Society</t>
  </si>
  <si>
    <t>The, Anne-Mei</t>
  </si>
  <si>
    <t>It's the Molecule, Stupid</t>
  </si>
  <si>
    <t>Van Noesel, Carel J.M.</t>
  </si>
  <si>
    <t>Science; Medicine; Science: Chemistry</t>
  </si>
  <si>
    <t>Rise of Mental Health Nursing : A History of Psychiatric Care in Dutch Asylums, 1890-1920</t>
  </si>
  <si>
    <t>Boschma, Geertje</t>
  </si>
  <si>
    <t>Regulating Modern Biotechnology in a Global Risk Society : Challenges for Science, Law and Society</t>
  </si>
  <si>
    <t>Somsen, J.</t>
  </si>
  <si>
    <t>Engineering: Chemical; Engineering: General; Engineering</t>
  </si>
  <si>
    <t>Physical Manoeuvres to Prevent Vasovagal Syncope and Initial Orthostatic Hypotension</t>
  </si>
  <si>
    <t>Krediet, Paul</t>
  </si>
  <si>
    <t>Think bigger</t>
  </si>
  <si>
    <t>Verrips, Erik</t>
  </si>
  <si>
    <t>Psychiatric Cultures Compared : Psychiatry and Mental Health Care in the Twentieth Century - Comparisons and Approaches</t>
  </si>
  <si>
    <t>Gijswijt-Hofstra, Marijke; Oosterhuis, Harry; Vijselaar, Joost; Freeman, Hugh</t>
  </si>
  <si>
    <t>Policy, People, and the New Professional : De-professionalisation and Re-professionalisation in Care and Welfare</t>
  </si>
  <si>
    <t>Duyvendak, Jan Willem; Knijn, Trudie; Kremer, Monique</t>
  </si>
  <si>
    <t>Reactions of the Organic Matrix in Dentin Caries</t>
  </si>
  <si>
    <t>Kleter, Gijs A.</t>
  </si>
  <si>
    <t>Science: Zoology; Medicine; Science</t>
  </si>
  <si>
    <t>Cured of Cancer : From Childhood to Adulthood, Quality of Survival</t>
  </si>
  <si>
    <t>Langeveld, Nelia E.</t>
  </si>
  <si>
    <t>Effective Practice in Health, Social Care and Criminal Justice : A Partnership Approach</t>
  </si>
  <si>
    <t>Carnwell, Ros; Buchanan, Julian</t>
  </si>
  <si>
    <t>Essential Calculation Skills for Nurses, Midwives and Healthcare Practitioners</t>
  </si>
  <si>
    <t>Hutton, Meriel</t>
  </si>
  <si>
    <t>Pharmacy; Mathematics; Medicine</t>
  </si>
  <si>
    <t>Doctors of Deception : What They Don't Want You to Know about Shock Treatment</t>
  </si>
  <si>
    <t>Andre, Linda</t>
  </si>
  <si>
    <t>Counseling Survivors of Childhood Sexual Abuse (US ONLY)</t>
  </si>
  <si>
    <t>The Politics of Healthcare in Britain</t>
  </si>
  <si>
    <t>Harrison, Stephen; McDonald, Ruth</t>
  </si>
  <si>
    <t>Critical Thinking in Health and Social Care</t>
  </si>
  <si>
    <t>Jones-Devitt, Stella; Smith, Liz</t>
  </si>
  <si>
    <t>The Asperger Love Guide : A Practical Guide for Adults with Asperger's Syndrome to Seeking, Establishing and Maintaining Successful Relationships</t>
  </si>
  <si>
    <t>Positive Behaviour Strategies to Support Children &amp; Young People with Autism</t>
  </si>
  <si>
    <t>Hanbury, Martin</t>
  </si>
  <si>
    <t>A Psychodynamic Approach to Brief Therapy</t>
  </si>
  <si>
    <t>Mander, Gertrud</t>
  </si>
  <si>
    <t>I Can't Walk but I Can Crawl : A Long Life with Cerebral Palsy</t>
  </si>
  <si>
    <t>Ross, Joan</t>
  </si>
  <si>
    <t>Mental Health Aspects of Women's Reproductive Health : A Global Review of the Literature</t>
  </si>
  <si>
    <t>Emergency Triage Assessment and Treatment (ETAT) : Manual of Participants and Facilitator Guide</t>
  </si>
  <si>
    <t>WHO; Willcox, R.R.</t>
  </si>
  <si>
    <t>Exposure Assessment of Microbiological Hazards in Food : Guidelines</t>
  </si>
  <si>
    <t>Science; Engineering; Engineering: Chemical; Science: Biology/Natural History</t>
  </si>
  <si>
    <t>Guidelines for the Programmatic Management of Drug-resistant Tuberculosis : Emergency Update 2008</t>
  </si>
  <si>
    <t>WHO; World Health Organization, ; World Health Organization, ; UNAIDS, ; World Health Organization,</t>
  </si>
  <si>
    <t>Use of Rapid Syphilis Tests</t>
  </si>
  <si>
    <t>World Report on Child Injury Prevention</t>
  </si>
  <si>
    <t>Peden, M.; Oyegbite, K.; Ozanne-Smith, J.</t>
  </si>
  <si>
    <t>Inequalities in Young People's Health : Health Behaviour in School-Aged Children</t>
  </si>
  <si>
    <t>WHO; Godeau, E.</t>
  </si>
  <si>
    <t>Comprehensive Handbook of Iodine : Nutritional, Biochemical, Pathological, and Therapeutic Aspects</t>
  </si>
  <si>
    <t>Watson, Ronald R.; Preedy, Victor R.; Burrow, Gerard N.; Watson, Ronald Ross</t>
  </si>
  <si>
    <t>Children on Demand : The Ethics of Defying Nature</t>
  </si>
  <si>
    <t>University of NSW Press</t>
  </si>
  <si>
    <t>Frame, Tom</t>
  </si>
  <si>
    <t>Bureaucrats and Bleeding Hearts : Indigenous Health in Northern Australia</t>
  </si>
  <si>
    <t>Lea, Tess</t>
  </si>
  <si>
    <t>Treating and Preventing Adolescent Mental Health Disorders : What We Know and What We Don't Know</t>
  </si>
  <si>
    <t>Evans, Dwight L.; Foa, Edna B.; Gur, Raquel E.; Hendin, Herbert; O'Brien, Charles P.; Seligman, Martin E. P.; Walsh, B. Timothy</t>
  </si>
  <si>
    <t>Conservation Medicine : Ecological Health in Practice</t>
  </si>
  <si>
    <t>Aguirre, A. Alonso; Ostfeld, Richard S.; Tabor, Gary M.; House, Carol; Pearl, Mary C.</t>
  </si>
  <si>
    <t>Nelson's Surgeon : William Beatty, Naval Medicine, and the Battle of Trafalgar</t>
  </si>
  <si>
    <t>Brockliss, Laurence; Cardwell, John; Moss, Michael; Moss, Michael</t>
  </si>
  <si>
    <t>War Epidemics : An Historical Geography of Infectious Diseases in Military Conflict and Civil Strife, 1850-2000</t>
  </si>
  <si>
    <t>Smallman-Raynor, Matthew; Cliff, Andrew</t>
  </si>
  <si>
    <t>The Lost Self : Pathologies of the Brain and Identity</t>
  </si>
  <si>
    <t>Feinberg, Todd E.; Keenan, Julian Paul</t>
  </si>
  <si>
    <t>Introduction to the Cellular and Molecular Biology of Cancer</t>
  </si>
  <si>
    <t>Knowles, Margaret; Selby, Peter</t>
  </si>
  <si>
    <t>Brain and Visual Perception : The Story of a 25-Year Collaboration</t>
  </si>
  <si>
    <t>Hubel, David H.; Wiesel, Torsten N.</t>
  </si>
  <si>
    <t>Psychology; Science; Science: Biology/Natural History</t>
  </si>
  <si>
    <t>Spectra of Atoms and Molecules</t>
  </si>
  <si>
    <t>Bernath</t>
  </si>
  <si>
    <t>Birthing the Nation : Sex, Science, and the Conception of Eighteenth-Century Britons</t>
  </si>
  <si>
    <t>Cody, Lisa Forman</t>
  </si>
  <si>
    <t>Elements of Murder, The: A History of Poison</t>
  </si>
  <si>
    <t>Social Science; Medicine; Fiction</t>
  </si>
  <si>
    <t>Spirituality and the Healthy Mind : Science, Therapy, and the Need for Personal Meaning</t>
  </si>
  <si>
    <t>Galanter, Marc</t>
  </si>
  <si>
    <t>Choosing Children : Genes, Disability, and Design</t>
  </si>
  <si>
    <t>Glover, Jonathan</t>
  </si>
  <si>
    <t>Synthetic Peptides : A User's Guide</t>
  </si>
  <si>
    <t>Grant, Gregory A.</t>
  </si>
  <si>
    <t>Medical Ethics : A Very Short Introduction</t>
  </si>
  <si>
    <t>Hope, Tony</t>
  </si>
  <si>
    <t>Toxin : The Cunning of Bacterial Poisons</t>
  </si>
  <si>
    <t>Lax, Alistair J.</t>
  </si>
  <si>
    <t>The Amnesias : A Clinical Textbook of Memory Disorders</t>
  </si>
  <si>
    <t>Papanicolaou, Andrew C.</t>
  </si>
  <si>
    <t>Mental Retardation and Developmental Delay : Genetic and Epigenetic Factors</t>
  </si>
  <si>
    <t>Smith, Moyra</t>
  </si>
  <si>
    <t>Mind, Brain, and Schizophrenia</t>
  </si>
  <si>
    <t>Williamson, Peter</t>
  </si>
  <si>
    <t>Vernacular Bodies : The Politics of Reproduction in Early Modern England</t>
  </si>
  <si>
    <t>Fissell, Mary E.</t>
  </si>
  <si>
    <t>Medicine and Magic in Elizabethan London : Simon Forman - Astrologer, Alchemist, and Physician</t>
  </si>
  <si>
    <t>Kassell, Lauren</t>
  </si>
  <si>
    <t>Living Laboratories : Women and Reproductive Technologies</t>
  </si>
  <si>
    <t>Rowland, Robyn</t>
  </si>
  <si>
    <t>Bathing Without a Battle : Person-Directed Care of Individuals with Dementia, Second Edition</t>
  </si>
  <si>
    <t>Barrick, Ann Louise, PhD; Rader, Joanne, RN, MN, PMHNP; Hoeffer, Beverly, DNSc, RN, FAAN; Sloane, Philip D., MD, MPH; Biddle, Stacey, COTA/L</t>
  </si>
  <si>
    <t>Professional Nursing : Concepts, Issues, and Challenges</t>
  </si>
  <si>
    <t>Daly, John; Speedy, Sandra; Jackson, Debra</t>
  </si>
  <si>
    <t>Rural Women's Health : Mental, Behavioral, and Physical Issues</t>
  </si>
  <si>
    <t>Coward, Raymond T.; Davis, Lisa A.; Gold, Carol H.; Smiciklas-Wright, Helen; Thorndyke, Luanne E.; Vonracek, Fred W.</t>
  </si>
  <si>
    <t>Evidence-based Cancer Care and Prevention : Behavioral Interventions</t>
  </si>
  <si>
    <t>Given, Charles; Given, Barbara; Kozachik, Sharon; Champion, Victoria L.</t>
  </si>
  <si>
    <t>Restraint-free Care : Individualized Approaches for Frail Elders</t>
  </si>
  <si>
    <t>Strumpf, Neville; Robinson, Joanne; Wagner, Joan</t>
  </si>
  <si>
    <t>101 Careers in Nursing</t>
  </si>
  <si>
    <t>Novotny, Jeanne M.; Lippman, Doris; Sanders, Nicole</t>
  </si>
  <si>
    <t>Annual Review of Gerontology and Geriatrics, 19 (1999) : Focus on Psychopharmacologic Interventions in Late Life</t>
  </si>
  <si>
    <t>Oslin, David; Katz, Ira; Lawton, M. Powell</t>
  </si>
  <si>
    <t>Intimate Partner Violence : A Clinical Training Guide for Mental Health Professionals</t>
  </si>
  <si>
    <t>Jordan, Carol E.; Nietzel, Michael T.; Walker, Robert</t>
  </si>
  <si>
    <t>Nurses' Work : Issues Across Time and Place</t>
  </si>
  <si>
    <t>D'Antonio, Patricia; Baer, Ellen; Rinker, Sylvia; Lynaugh, Joan E.</t>
  </si>
  <si>
    <t>Enduring Issues in American Nursing</t>
  </si>
  <si>
    <t>Baer, Ellen; D'Antonio, Patricia; Rinker, Sylvia</t>
  </si>
  <si>
    <t>Cognition and Psychotherapy : Second Edition</t>
  </si>
  <si>
    <t>Freeman, Arthur, EdD, ABPP; Mahoney, Michael J., PhD; Devito, Paul, PhD; Martin, Donna, PsyD</t>
  </si>
  <si>
    <t>Recruitment and Retention in Minority Populations : Lessons Learned in Conducting Research on Health Promotion and Minority Aging</t>
  </si>
  <si>
    <t>Levkoff, Sue E.; Prohaska, Thomas R.; Weitzman, Patricia Flynn</t>
  </si>
  <si>
    <t>New Ways to Care for Older People : Building Systems Based on Evidence</t>
  </si>
  <si>
    <t>Calkins, Evan; Boult, Chad; Wagner, Edward H.</t>
  </si>
  <si>
    <t>Management of Diabetes Mellitus : A Guide to the Pattern Approach, Sixth Edition</t>
  </si>
  <si>
    <t>Guthrie, Diana W., Dr., PhD, BC-ADM, CDE, FAADE; Guthrie, Richard A., Dr., MD, FACE</t>
  </si>
  <si>
    <t>Serving Mentally Ill Offenders : Challenges and Opportunities for Mental Health Professionals</t>
  </si>
  <si>
    <t>Landsberg, Gerald; Rock, Marjorie; Berg, Lawerence</t>
  </si>
  <si>
    <t>Alcohol Problems in Older Adults : Prevention and Management</t>
  </si>
  <si>
    <t>Barry, Kristen; Blow, Frederic; Oslin, David</t>
  </si>
  <si>
    <t>Religious Influences on Health and Well-being in the Elderly</t>
  </si>
  <si>
    <t>Schaie, K. Warner; Krause, Neal; Booth, Alan</t>
  </si>
  <si>
    <t>Expertise in Nursing Practice, Second Edition : Caring, Clinical Judgment, and Ethics</t>
  </si>
  <si>
    <t>Benner, Patricia, RN, PhD, FAAN; Tanner, Christine A., RN, PhD, FAAN; Chesla, Catherine A., RN, DNSc</t>
  </si>
  <si>
    <t>Introduction to Hospitals and Inpatient Care</t>
  </si>
  <si>
    <t>Siegler, Eugenia L.; Mirafzali, Saeid; Foust, Janice</t>
  </si>
  <si>
    <t>Cognitive Therapy and Dreams</t>
  </si>
  <si>
    <t>Freeman, Arthur; Rosner, Rachael I.; Lyddon, William J.</t>
  </si>
  <si>
    <t>Guided Care : A New Nurse-physician Partnership in Chronic Care</t>
  </si>
  <si>
    <t>Giddens, Dr. Jean; Frey, Katherine; Boult, Chad; Reider, Lisa; Novak, Tracy</t>
  </si>
  <si>
    <t>Planned Group Counseling : An Alternative Group Method for Reluctant Chemically Dependent and Psychiatric Patients</t>
  </si>
  <si>
    <t>Biancoviso, Anthony N.; Bishop-Towle, Wandajune; Fuertes, Jairo N.</t>
  </si>
  <si>
    <t>Clinical Nurse Specialist Toolkit : A Guide for the New Clinical Nurse Specialist</t>
  </si>
  <si>
    <t>Duffy, Melanie; Dresser, Susan; Fulton, Dr. Janet</t>
  </si>
  <si>
    <t>Assessing Satisfaction in Health and Long Term Care : Practical Approaches to Hearing the Voices of Consumers</t>
  </si>
  <si>
    <t>Applebaum, Robert; Straker, Jane; Geron, Scott</t>
  </si>
  <si>
    <t>Alternative Therapies : Expanding Options in Health Care</t>
  </si>
  <si>
    <t>Gordon, Rena; Nienstedt, Barbara; Gesler, Wilbert</t>
  </si>
  <si>
    <t>Cognitive Therapy with Chronic Pain Patients</t>
  </si>
  <si>
    <t>Winterowd, Carrie; Beck, Aaron T.; Gruener, Daniel</t>
  </si>
  <si>
    <t>Integrating Community Service into Nursing Education : A Guide to Service-learning</t>
  </si>
  <si>
    <t>Bailey, Patricia A.; Carpenter, Dona Rinaldi; Harrington, Patricia A.</t>
  </si>
  <si>
    <t>Encyclopedia of Complementary Health Practice</t>
  </si>
  <si>
    <t>Clark, Carolyn Chambers; Gordon, Rena; Harris, Barbara</t>
  </si>
  <si>
    <t>Health and Behavior in Childhood and Adolescence</t>
  </si>
  <si>
    <t>Hayman, Laura L.; Mahon, Margaret M.; Turner, J. Rick</t>
  </si>
  <si>
    <t>Depression Research in Nursing : Global Perspectives</t>
  </si>
  <si>
    <t>Williams, Reg Arthur; Hagerty, Bonnie; Ketefian, Shake</t>
  </si>
  <si>
    <t>Annual Review of Gerontology and Geriatrics, 12 (1992) : Focus on Medications and the Elderly</t>
  </si>
  <si>
    <t>Rowe, John; Ahronheim, Judith; Lawton, M. Powell</t>
  </si>
  <si>
    <t>Annual Review of Gerontology and Geriatrics, 15 (1995) : Focus on Nutrition</t>
  </si>
  <si>
    <t>Morley, John E.; Miller, Douglas K.; Lawton, M. Powell</t>
  </si>
  <si>
    <t>Annual Review of Gerontology and Geriatrics, 16 (1996) : Focus on Managed Care and Quality Assurance, Integrated Acute and Chronic Care</t>
  </si>
  <si>
    <t>Newcomer, Robert; Wilkinson, Anne; Lawton, M. Powell</t>
  </si>
  <si>
    <t>Cognitive-behavioral Case Formulation to Treatment Design : A Problem-solving Approach</t>
  </si>
  <si>
    <t>Nezu, Arthur M.; Nezu, Christine Maguth; Lombardo, Elizabeth</t>
  </si>
  <si>
    <t>Comparative Treatments for Borderline Personality Disorder</t>
  </si>
  <si>
    <t>Emerging Systems in Long-term Care</t>
  </si>
  <si>
    <t>Katz, Paul R.; Kane, Robert L.; Mezey, Mathy</t>
  </si>
  <si>
    <t>Complementary and Integrative Medicine in Pain Management</t>
  </si>
  <si>
    <t>Weintraub, Michael I.; Mamtani, Ravinder; Micozzi, Marc S.</t>
  </si>
  <si>
    <t>Successful Aging Through the Life Span : Intergenerational Issues in Health</t>
  </si>
  <si>
    <t>Wykle, May L.; Whitehouse, Peter J.; Morris, Diana L.</t>
  </si>
  <si>
    <t>Developing Online Learning Environments in Nursing Education : Best Practices for Nurse Educators</t>
  </si>
  <si>
    <t>O'Neil, Carol; Fisher, Cheryl; Newbold, Susan K.</t>
  </si>
  <si>
    <t>Dying, Death, and Bereavement : A Challenge for Living, 2nd Edition</t>
  </si>
  <si>
    <t>Corless, Inge, RN, PhD, FAAN; Germino, Barbara B., PhD, RN, FAAN; Pittman, Mary A., DrPH</t>
  </si>
  <si>
    <t>Annual Review of Nursing Research, 22 (2004) : Eliminating Health Disparities among Racial and Ethnic Minorities in the United States</t>
  </si>
  <si>
    <t>Fitzpatrick, Joyce J.; Villarruel, Antonia M.; Porter, Cornelia P.</t>
  </si>
  <si>
    <t>Improving Nursing Home Care of the Dying : A Training Manual for Nursing Home Staff</t>
  </si>
  <si>
    <t>Henderson, Martha; Hanson, Laura; Reynolds, Kimberly</t>
  </si>
  <si>
    <t>The Handbook of Health Behavior Change, Third Edition</t>
  </si>
  <si>
    <t>Shumaker, Sally A., PhD; Ockene, Judith K., PhD, MEd, MA; Riekert, Kristin A., PhD</t>
  </si>
  <si>
    <t>Parkinson's Disease : A Guide to Patient Care</t>
  </si>
  <si>
    <t>Tuite, Dr. Paul; Thomas, Cathi; Ruekert, Laura; Kissoon, Narayan; Ruekert, Laura</t>
  </si>
  <si>
    <t>Annual Review of Gerontology and Geriatrics, 26 (2006) : The Crown of Life--Dynamics of the Early Postretirement Period</t>
  </si>
  <si>
    <t>James, Jacquelyn Boone; Wink, Paul; Schaie, K. Warner</t>
  </si>
  <si>
    <t>Annual Review of Nursing Research, 23 (2005) : Alcohol Use, Misuse, Abuse, and Dependence</t>
  </si>
  <si>
    <t>Fitzpatrick, Joyce J.; Stevenson, Joanne; Sommers, Marilyn</t>
  </si>
  <si>
    <t>Successful Aging and Adaptation with Chronic Diseases</t>
  </si>
  <si>
    <t>Poon, Leonard W.; Gueldner, Sarah H.; Sprouse, Betsy M.</t>
  </si>
  <si>
    <t>Innovative Interventions to Reduce Dementia Caregiver Distress : A Clinical Guide</t>
  </si>
  <si>
    <t>Coon, David W.; Gallagher-Thompson, Dolores; Thompson, Larry W.; Allen, James E; Coon, David W; Gallagher-Thompson, Dolores; Thompson, Larry W; Allen, James E</t>
  </si>
  <si>
    <t>Dementia and Wandering Behavior : Concern for the Lost Elder</t>
  </si>
  <si>
    <t>Flaherty, Gerald; Tobin, Terri; Silverstein, Nina M.</t>
  </si>
  <si>
    <t>Chronic Illness In Children : An Evidence-Based Approach</t>
  </si>
  <si>
    <t>Annual Review of Nursing Research, 24 (2006) : Focus on Patient Safety</t>
  </si>
  <si>
    <t>Stone, Patricia; Walker, Patricia Hinton; Fitzpatrick, Joyce J.</t>
  </si>
  <si>
    <t>Effective Health Behavior in Older Adults</t>
  </si>
  <si>
    <t>Schaie, K. Warner; Leventhal, Howard; Willis, Sherry</t>
  </si>
  <si>
    <t>Managing Your Practice : A Guide for Advanced Practice Nurses</t>
  </si>
  <si>
    <t>Fitzpatrick, Joyce J.; Glasgow, Ann; Young, Jane</t>
  </si>
  <si>
    <t>Annual Review of Gerontology and Geriatrics, 21 (2001) : Modern Topics in the Biology of Aging</t>
  </si>
  <si>
    <t>Cristofalo, Vincent J.; Adelman, Richard; Schaie, K</t>
  </si>
  <si>
    <t>Crisis Intervention and Trauma Response : Theory and Practice</t>
  </si>
  <si>
    <t>Wainrib, Barbara Rubin; Bloch, Ellin</t>
  </si>
  <si>
    <t>Psychotherapy and Counseling with Older Women : Cross-cultural, Family, and End-of-life Issues</t>
  </si>
  <si>
    <t>Trotman, Frances; Brody, Claire</t>
  </si>
  <si>
    <t>Notter's Essentials of Nursing Research : Sixth Edition</t>
  </si>
  <si>
    <t>Hott, Jacqueline Rose, RN,CS,PhD,FAAN; Budin, Wendy C., PhD, RN, C; Notter, Lucille E</t>
  </si>
  <si>
    <t>Six Therapists and One Client, Second Edition : 2nd Edition</t>
  </si>
  <si>
    <t>Dumont, Frank, EdD; Corsini, Raymond J., PhD</t>
  </si>
  <si>
    <t>Current Practices in High-tech Home Care</t>
  </si>
  <si>
    <t>Kaye, Lenard; Davitt, Joan</t>
  </si>
  <si>
    <t>Families Living with Chronic Illness and Disability : Interventions, Challenges, and Opportunities</t>
  </si>
  <si>
    <t>Power, Paul W.; Dell Orto, Arthur E.</t>
  </si>
  <si>
    <t>Fundraising Skills for Health Care Executives</t>
  </si>
  <si>
    <t>Deller, Sandra S.; Fitzpatrick, Joyce J.</t>
  </si>
  <si>
    <t>Measurement of Nursing Outcomes, 2nd Edition : Volume 2: Client Outcomes and Quality of Care</t>
  </si>
  <si>
    <t>Strickland, Ora Lea, PhD, RN, FAAN; Dilorio, Colleen, PhD, RN, FAAN</t>
  </si>
  <si>
    <t>Measurement of Nursing Outcomes, 3 : Self Care and Coping</t>
  </si>
  <si>
    <t>Strickland, Ora; Dilorio, Colleen</t>
  </si>
  <si>
    <t>Clinical Advances in Cognitive Psychotherapy : Theory and Application</t>
  </si>
  <si>
    <t>Leahy, Robert; Dowd, E. Thomas</t>
  </si>
  <si>
    <t>Nursing Policy Research : Turning Evidence-based Research into Health Policy</t>
  </si>
  <si>
    <t>Dickson, Dr. Geri; Flynn, Dr. Linda</t>
  </si>
  <si>
    <t>Essential Moreno : Writings on Psychodrama, Group Method, and Spontaneity</t>
  </si>
  <si>
    <t>Moreno, J.L.; Fox, Jonathan</t>
  </si>
  <si>
    <t>Cognitive Behavior Therapy in Nursing Practice</t>
  </si>
  <si>
    <t>Freeman, Arthur; Freeman, Sharon Morgillo</t>
  </si>
  <si>
    <t>Telecommunications for Nurses : Providing Successful Distance Education and Telehealth, Second Edition</t>
  </si>
  <si>
    <t>Armstrong, Myrna L., EdD, RN, FAAN; Frueh, Shari, BSN, RN; Archbold, Patricia G, DNSc, RN, FAAN</t>
  </si>
  <si>
    <t>Women's Health Care in Advanced Practice Nursing</t>
  </si>
  <si>
    <t>Fogel, Catherine Ingram; Fugate Woods, Nancy</t>
  </si>
  <si>
    <t>Health; Nursing</t>
  </si>
  <si>
    <t>Annual Review of Gerontology and Geriatrics, 25 (2005) : Aging Healthcare Workforce Issues</t>
  </si>
  <si>
    <t>Miles, Toni; Furino, Antonio; Schaie, K</t>
  </si>
  <si>
    <t>Leadership and Management Skills for Long-term Care</t>
  </si>
  <si>
    <t>Sullivan-Marx, Eileen M.; Gray-Miceli, Deanna</t>
  </si>
  <si>
    <t>Educating Nurses for Leadership</t>
  </si>
  <si>
    <t>Feldman, Harriet; Greenberg, Martha</t>
  </si>
  <si>
    <t>Gerontological Nurse Certification Review</t>
  </si>
  <si>
    <t>Wallace, Meredith; Grossman, Sheila</t>
  </si>
  <si>
    <t>Teaching Nursing Care of Chronic Illness : [A Storied Approach to Whole Person Care]</t>
  </si>
  <si>
    <t>Minden, Pamela; Gullickson, Colleen</t>
  </si>
  <si>
    <t>Diversity in Health Care Research : Strategies for Multisite, Multidisciplinary, and Multicultural Projects</t>
  </si>
  <si>
    <t>Hawkins, Joellen W.; Haggerty, Lois</t>
  </si>
  <si>
    <t>Linking Quality of Long Term Care and Quality of Life</t>
  </si>
  <si>
    <t>Noelker, Linda S.; Harel, Zev; Noelker, Linda S.; Harel, Zev</t>
  </si>
  <si>
    <t>Social Work and Health Care in an Aging Society : Education, Policy, Practice, and Research</t>
  </si>
  <si>
    <t>Berkman, Barbara; Harootyan, Linda</t>
  </si>
  <si>
    <t>Handbook of Forensic Neuropsychology</t>
  </si>
  <si>
    <t>Horton, Arthur MacNeill; Hartlage, Lawrence</t>
  </si>
  <si>
    <t>Essentials of Neuropsychological Assessment : Treatment Planning for Rehabilitation, Second Edition</t>
  </si>
  <si>
    <t>D'Amato, Rik Carl, PhD; Hartlage, Lawrence C., PhD</t>
  </si>
  <si>
    <t>Zen and Psychotherapy : Integrating Traditional and Nontraditional Approaches</t>
  </si>
  <si>
    <t>Mruk, Christopher J.; Hartzell, Joan</t>
  </si>
  <si>
    <t>Handbook of Applied Disability and Rehabilitation Research</t>
  </si>
  <si>
    <t>Hagglund, Kristofer J.; Heinemann, Allen W.</t>
  </si>
  <si>
    <t>Annual Review of Nursing Education, 5 (2007) : Challenges and New Directions in Nursing Education</t>
  </si>
  <si>
    <t>Oermann, Marilyn H.; Heinrich, Kathleen T.</t>
  </si>
  <si>
    <t>Annual Review of Nursing Education, 1 (2003)</t>
  </si>
  <si>
    <t>Dictionary of Health Economics and Finance</t>
  </si>
  <si>
    <t>Marcinko, David Edward; Hetico, Hope</t>
  </si>
  <si>
    <t>Caregiving : A Guide for Those Who Give Care and Those Who Receive It</t>
  </si>
  <si>
    <t>Bumagin, Victoria; Hirn, Kathryn</t>
  </si>
  <si>
    <t>Hospice Care for Patients with Advanced Progressive Dementia</t>
  </si>
  <si>
    <t>Volicer, Ladislav; Hurley, Ann; Hurley, Ann</t>
  </si>
  <si>
    <t>Fostering Learning in Small Groups : A Practical Guide</t>
  </si>
  <si>
    <t>Westberg, Jane; Jason, Hilliard</t>
  </si>
  <si>
    <t>Fostering Reflection and Providing Feedback : Helping Others Learn from Experience</t>
  </si>
  <si>
    <t>Collaborative Clinical Education : The Foundation of Effective Health Care</t>
  </si>
  <si>
    <t>Measurement of Nursing Outcomes, 2nd Edition : Volume 1: Measuring Nursing Performance in Practice, Education, and Research</t>
  </si>
  <si>
    <t>Jenkins, Louise Sherman, PhD, RN; Waltz, Carolyn F., Dr., PhD, RN, FAAN</t>
  </si>
  <si>
    <t>Empirically Supported Cognitive Therapies : Current and Future Applications</t>
  </si>
  <si>
    <t>Lyddon, William J.; Jones, John V.</t>
  </si>
  <si>
    <t>Nursing Knowledge Development and Clinical Practice : Opportunities and Directions</t>
  </si>
  <si>
    <t>Roy, Sister Callista; Jones, Dorothy A.</t>
  </si>
  <si>
    <t>Best Practices in Nursing Education : Stories of Exemplary Teachers</t>
  </si>
  <si>
    <t>Smith, Mary Jane; Fitzpatrick, Joyce J.</t>
  </si>
  <si>
    <t>Dictionary of Nursing Theory and Research</t>
  </si>
  <si>
    <t>Powers, Bethel Ann; Knapp, Thomas R.</t>
  </si>
  <si>
    <t>Academic Nursing Practice : [Helping to Shape the Future of Healthcare]</t>
  </si>
  <si>
    <t>Evans, Lois K.; Lang, Norma M.</t>
  </si>
  <si>
    <t>Annual Review of Gerontology and Geriatrics, 13 (1993) : Focus on Kinship, Aging, and Social Change</t>
  </si>
  <si>
    <t>Maddox, George; Lawton, M. Powell; Lawton, M. Powell</t>
  </si>
  <si>
    <t>Annual Review of Gerontology and Geriatrics, 8 (1988) : Varieties of Aging</t>
  </si>
  <si>
    <t>Maddox, George; Lawton, M. Powell</t>
  </si>
  <si>
    <t>Annual Review of Gerontology and Geriatrics, 17 (1997) : Focus on Emotion and Adult Development</t>
  </si>
  <si>
    <t>Schaie, K. Warner; Lawton, M. Powell</t>
  </si>
  <si>
    <t>Nurses in the Political Arena : The Public Face of Nursing</t>
  </si>
  <si>
    <t>Feldman, Harriet; Lewenson, Sandra</t>
  </si>
  <si>
    <t>Environmental Health and Nursing Practice</t>
  </si>
  <si>
    <t>Sattler, Barbara; Lipscomb, Jane</t>
  </si>
  <si>
    <t>Successful Grant Writing : Strategies for Health and Human Service Professionals, Third Edition</t>
  </si>
  <si>
    <t>Gitlin, Laura N., PhD; Lyons, Kevin J., PhD</t>
  </si>
  <si>
    <t>Improving Hospital Care for Persons with Dementia</t>
  </si>
  <si>
    <t>Silverstein, Nina M.; Maslow, Katie</t>
  </si>
  <si>
    <t>Structured Group Psychotherapy for Bipolar Disorder : The Life Goals Program, Second Edition</t>
  </si>
  <si>
    <t>Bauer, Mark S., MD; McBride, Linda, MSN</t>
  </si>
  <si>
    <t>Care of Arthritis in the Older Adult</t>
  </si>
  <si>
    <t>Luggen, Ann Schmidt; Meiner, Sue E.</t>
  </si>
  <si>
    <t>Perinatal and Postpartum Mood Disorders : Perspectives and Treatment Guide for the Health Care Practitioner</t>
  </si>
  <si>
    <t>Dowd Stone, Susan; Menken, Alexis E.</t>
  </si>
  <si>
    <t>Ethics in Community-based Elder Care : Ethics, Aging, and Caring Practices</t>
  </si>
  <si>
    <t>Holstein, Martha B.; Mitzen, Phyllis B.</t>
  </si>
  <si>
    <t>Health Professionals Style Manual</t>
  </si>
  <si>
    <t>Fondiller, Shirley; Nerone, Barbara</t>
  </si>
  <si>
    <t>Using Grounded Theory in Nursing</t>
  </si>
  <si>
    <t>Schreiber, Rita Sara; Noerager Stern, Phyllis</t>
  </si>
  <si>
    <t>Drug Discovery and Development for Alzheimer's Disease 2000</t>
  </si>
  <si>
    <t>Fillit, Howard M.; O'Connell, Alan W.</t>
  </si>
  <si>
    <t>Mentor Connection in Nursing</t>
  </si>
  <si>
    <t>Vance, Connie; Olson, Roberta</t>
  </si>
  <si>
    <t>Nurse Executive : The Four Principles of Management</t>
  </si>
  <si>
    <t>Adams, Linda Thompson; O'Neil, Edward H.</t>
  </si>
  <si>
    <t>Self-care in Later Life : Research, Program, and Policy Issues</t>
  </si>
  <si>
    <t>DeFriese, Gordon H.; Ory, Marcia G.</t>
  </si>
  <si>
    <t>Middle Range Theory for Nursing, Second Edition : Second Edition</t>
  </si>
  <si>
    <t>Smith, Mary Jane, PhD, RN; Liehr, Patricia R., PhD, ARNP</t>
  </si>
  <si>
    <t>Comforting the Confused : Strategies for Managing Dementia, 2nd Edition</t>
  </si>
  <si>
    <t>Hoffman, Stephanie B., PhD; Platt, Constance A., MA</t>
  </si>
  <si>
    <t>Listening to Patients : A Phenomenological Approach to Nursing Research and Practice</t>
  </si>
  <si>
    <t>Thomas, Sandra P.; Pollio, Howard R.</t>
  </si>
  <si>
    <t>Prostate Cancer : Nursing Assessment, Management, and Care</t>
  </si>
  <si>
    <t>Wallace, Meredith; Powel, Lorrie</t>
  </si>
  <si>
    <t>Baby Boomers : Can My Eighties Be Like My Fifties?</t>
  </si>
  <si>
    <t>Mellor, M. Joanna; Rehr, Helen</t>
  </si>
  <si>
    <t>Nursing Workforce Development : Strategic State Initiatives</t>
  </si>
  <si>
    <t>Cleary, Brenda; Rice, Rebecca</t>
  </si>
  <si>
    <t>Nursing; Economics</t>
  </si>
  <si>
    <t>Helping Victims of Violent Crime : Assessment, Treatment, and Evidence-based Practice</t>
  </si>
  <si>
    <t>Green, Diane L.; Roberts, Albert R.</t>
  </si>
  <si>
    <t>Qualitative Gerontology : A Contemporary Perspective, Second Edition</t>
  </si>
  <si>
    <t>Rowles, Graham D., PhD; Schoenberg, Nancy E., Dr., PhD; Schoenberg, Nancy</t>
  </si>
  <si>
    <t>Strategies for Therapy with the Elderly : Living With Hope and Meaning, 2nd Edition</t>
  </si>
  <si>
    <t>Brody, Claire M., PhD; Semel, Vicki G., PsyD</t>
  </si>
  <si>
    <t>American Nursing, 3 : A Biographical Dictionary</t>
  </si>
  <si>
    <t>Bullough, Vern L.; Sentz, Lilli; Sentz, Lilli</t>
  </si>
  <si>
    <t>EMDR and the Art of Psychotherapy with Children</t>
  </si>
  <si>
    <t>Adler-Tapia, Robbie; Settle, Carolyn</t>
  </si>
  <si>
    <t>Annual Review of Gerontology and Geriatrics, 22 (2002) : Economic Outcomes in Later Life--Public Policy, Health and Cumulative Advantage</t>
  </si>
  <si>
    <t>Crystal, Stephen; Shea, Dennis; Schaie, K</t>
  </si>
  <si>
    <t>Palliative Care Nursing : Quality Care to the End of Life</t>
  </si>
  <si>
    <t>Matzo, Marianne LaPorte; Sherman, Deborah Witt</t>
  </si>
  <si>
    <t>Self Efficacy in Nursing : Research and Measurement Perspectives</t>
  </si>
  <si>
    <t>Lenz, Elizabeth R.; Shortridge-Baggett, Lillie</t>
  </si>
  <si>
    <t>Psychological Interventions in Times of Crisis</t>
  </si>
  <si>
    <t>Barbanel, Laura; Sternberg, Robert</t>
  </si>
  <si>
    <t>Annual Review of Nursing Education, 4 (2006) : Innovations in Curriculum, Teaching, and Student and Faculty Development</t>
  </si>
  <si>
    <t>Annual Review of Nursing Education, 3 (2005) : Strategies for Teaching, Assessment, and Program Planning</t>
  </si>
  <si>
    <t>Medical Teaching in Ambulatory Care, Second Edition</t>
  </si>
  <si>
    <t>Rubenstein, Warren, MD; Talbot, Yves, MD</t>
  </si>
  <si>
    <t>Problem-Based Learning : An Approach to Medical Education</t>
  </si>
  <si>
    <t>Barrows, Howard S.; Tamblyn, Robyn M.</t>
  </si>
  <si>
    <t>Self Care Theory in Nursing : Selected Papers of Dorothea Orem</t>
  </si>
  <si>
    <t>Renpenning, Katherine; Taylor, Susan; Taylor, Susan</t>
  </si>
  <si>
    <t>Annual Review of Gerontology and Geriatrics, 14 (1994) : Focus on Assessment Techniques</t>
  </si>
  <si>
    <t>Lawton, M. Powell; Teresi, Jeanne A.; Teresi, Jeanne</t>
  </si>
  <si>
    <t>Men As Caregivers : Theory, Research, and Service Implications</t>
  </si>
  <si>
    <t>Kramer, Betty; Thompson, Edward</t>
  </si>
  <si>
    <t>Doctor of Nursing Practice and Clinical Nurse Leader : Essentials of Program Development and Implementation for Clinical Practice</t>
  </si>
  <si>
    <t>Residential Choices and Experiences of Older Adults : Pathways to Life Quality</t>
  </si>
  <si>
    <t>Krout, John A.; Wethington, Elaine; Krout, John A; Wethington, Professor Elaine</t>
  </si>
  <si>
    <t>Patient Safety : Principles and Practice</t>
  </si>
  <si>
    <t>Byers, Jacqueline Fowler; White, Susan V.</t>
  </si>
  <si>
    <t>Dual Relationships and Psychotherapy</t>
  </si>
  <si>
    <t>Lazarus, Arnold; Zur, Ofer</t>
  </si>
  <si>
    <t>Nursing Home Federal Requirements : Guidelines to Surveyors and Survey Protocols</t>
  </si>
  <si>
    <t>Health Care Politics, Policy, and Services : A Social Justice Analysis</t>
  </si>
  <si>
    <t>Almgren, Gunnar</t>
  </si>
  <si>
    <t>Handbook of Violence Risk Assessment and Treatment : New Approaches for Mental Health Professionals</t>
  </si>
  <si>
    <t>Andrade, Joel T.</t>
  </si>
  <si>
    <t>Applied Exercise Psychology : A Practitioner's Guide to Improving Client Health and Fitness</t>
  </si>
  <si>
    <t>Anshel, Mark H.</t>
  </si>
  <si>
    <t>Health; Sport &amp; Recreation</t>
  </si>
  <si>
    <t>Evaluating Community Collaborations</t>
  </si>
  <si>
    <t>Backer, Thomas E.</t>
  </si>
  <si>
    <t>Spirituality in Nursing : From Traditional to New Age</t>
  </si>
  <si>
    <t>Barnum, Barbara Stevens</t>
  </si>
  <si>
    <t>Pediatrics in Practice : A Health Promotion Curriculum for Child Health Professionals</t>
  </si>
  <si>
    <t>Bernstein, Henry H.</t>
  </si>
  <si>
    <t>Emotional Problems in Later Life : Intervention Strategies for Professional Caregivers, Second Edition</t>
  </si>
  <si>
    <t>Blazer, Dan, MD, PhD</t>
  </si>
  <si>
    <t>Life in Public Health : An Insider's Retrospective</t>
  </si>
  <si>
    <t>Breslow, Lester</t>
  </si>
  <si>
    <t>Vulnerable Older Adults : Health Care Needs and Interventions</t>
  </si>
  <si>
    <t>Burbank, Patricia</t>
  </si>
  <si>
    <t>Hildegard Peplau : Psychiatric Nurse of the Century</t>
  </si>
  <si>
    <t>Callaway, Barbara J.</t>
  </si>
  <si>
    <t>Children with Complex Medical Issues in Schools : Neuropsychological Descriptions and Interventions</t>
  </si>
  <si>
    <t>Castillo, Christine L.</t>
  </si>
  <si>
    <t>Clinical Use of Hypnosis in Cognitive Behavior Therapy : A Practitioner's Casebook</t>
  </si>
  <si>
    <t>Chapman, Robin A.</t>
  </si>
  <si>
    <t>Triumphs in Early Autism Treatment : The Stories of Seven Best Outcome Cases</t>
  </si>
  <si>
    <t>Cipani, Ennio</t>
  </si>
  <si>
    <t>Holistic Assertiveness Skills for Nurses : Empower Yourself (and Others!)</t>
  </si>
  <si>
    <t>Clark, Carolyn Chambers, EdD, ARNP,FAAN</t>
  </si>
  <si>
    <t>Health Promotion in Communities : Holistic and Wellness Approaches</t>
  </si>
  <si>
    <t>Clark, Carolyn Chambers</t>
  </si>
  <si>
    <t>Group Leadership Skills for Nurses &amp; Health Professionals, Fifth Edition : Fifth Edition</t>
  </si>
  <si>
    <t>Holistic Nursing Approach to Chronic Disease</t>
  </si>
  <si>
    <t>Conducting Research in Long-term Care Settings</t>
  </si>
  <si>
    <t>Cleary, Brenda Lewis</t>
  </si>
  <si>
    <t>Art of Living Long</t>
  </si>
  <si>
    <t>Cornaro, Louis; Bacon, Francis; Temple, William; Butler, William F.</t>
  </si>
  <si>
    <t>Community Care for an Aging Society : Issues, Policies, and Services</t>
  </si>
  <si>
    <t>Annual Review of Gerontology and Geriatrics, 10 (1990) : Biology of Aging</t>
  </si>
  <si>
    <t>Cristofalo, Vincent J.; Lawton, M. Powell; Cristofalo, Vincent J.</t>
  </si>
  <si>
    <t>Counseling Individuals with Life-threatening Illness</t>
  </si>
  <si>
    <t>Doka, Kenneth J.</t>
  </si>
  <si>
    <t>Communication Skills for Working with Elders : Second Edition</t>
  </si>
  <si>
    <t>Dreher, Barbara, PhD</t>
  </si>
  <si>
    <t>HIV/AIDS and Older Adults : Challenges for Individuals, Families, and Communities</t>
  </si>
  <si>
    <t>Emlet, Charles A.</t>
  </si>
  <si>
    <t>Smart Nursing : Nurse Retention &amp; Patient Safety Improvement Strategies, Second Edition</t>
  </si>
  <si>
    <t>Fabre, June, MBA, RNC; Boynton, Beth; Erickson, Jeanette Ives; Gillen, Kristin; Halfer, Diana; Hoolahan, Susan; O'Brien, Jacqueline; Pullins, Linda; Schmehl, Patricia</t>
  </si>
  <si>
    <t>Essays on Nursing Leadership</t>
  </si>
  <si>
    <t>Fagin, Claire M.</t>
  </si>
  <si>
    <t>Nursing Shortage : Strategies for Recruitment and Retention in Clinical Practice and Education</t>
  </si>
  <si>
    <t>Feldman, Harriet</t>
  </si>
  <si>
    <t>Annual Review of Nursing Research, 16 (1998) : Health Issues in Pediatric Nursing</t>
  </si>
  <si>
    <t>Fitzpatrick, Joyce J.</t>
  </si>
  <si>
    <t>Home Health Care for Children Who Are Technology Dependent</t>
  </si>
  <si>
    <t>Fleming, Juanita W.</t>
  </si>
  <si>
    <t>Psychodrama in the 21st Century : Clinical and Educational Applications</t>
  </si>
  <si>
    <t>Gershoni, Jacob</t>
  </si>
  <si>
    <t>Corporate Transformation of Health Care : Can the Public Interest Still Be Served?</t>
  </si>
  <si>
    <t>Geyman, John P.</t>
  </si>
  <si>
    <t>Evolutionary Theory and Cognitive Therapy</t>
  </si>
  <si>
    <t>Gilbert, Paul</t>
  </si>
  <si>
    <t>History of Ideas about the Prolongation of Life</t>
  </si>
  <si>
    <t>Gruman, Gerald</t>
  </si>
  <si>
    <t>Intimate Partner and Family Abuse : A Casebook of Gender-inclusive Therapy</t>
  </si>
  <si>
    <t>Hamel, John</t>
  </si>
  <si>
    <t>Vision Loss in Older Adults : Nursing Assessment and Care Management</t>
  </si>
  <si>
    <t>Houde, Susan</t>
  </si>
  <si>
    <t>Experiential Treatment for PTSD : The Therapeutic Spiral Model</t>
  </si>
  <si>
    <t>Hudgins, M. Katherine</t>
  </si>
  <si>
    <t>Managing Pain in the Older Adult</t>
  </si>
  <si>
    <t>Jansen, Michaelene P.</t>
  </si>
  <si>
    <t>Nursing Student Retention : Understanding the Process and Making a Difference</t>
  </si>
  <si>
    <t>Ethics, Law, and Aging Review, 9 : Assuring Safety in Long Term Care--Ethical Imperatives, Legal Strategies, and Practical Limitations</t>
  </si>
  <si>
    <t>Kapp, Marshall</t>
  </si>
  <si>
    <t>Ethics, Law, and Aging Review, 11 : Deinstitutionalizing Long Term Care--Making Legal Strides, Avoiding Policy Errors</t>
  </si>
  <si>
    <t>Ethics, Law, and Aging Review, 7 : Liability Issues and Risk Management in Caring for Older Persons</t>
  </si>
  <si>
    <t>Implementing Problem-based Medical Education : Lessons from Successful Innovations</t>
  </si>
  <si>
    <t>Kaufman, Arthur</t>
  </si>
  <si>
    <t>Doing Health Anthropology : Research Methods for Community Assessment and Change</t>
  </si>
  <si>
    <t>Kiefer, Christie W.</t>
  </si>
  <si>
    <t>Applied Ethics in Nursing</t>
  </si>
  <si>
    <t>Lachman, Vicki</t>
  </si>
  <si>
    <t>Annual Review of Gerontology and Geriatrics, 20 (2000) : Focus on the End of Life--Scientific and Social Issues</t>
  </si>
  <si>
    <t>Lawton, M. Powell</t>
  </si>
  <si>
    <t>Psychology and the Economic Mind : Cognitive Processes and Conceptualization</t>
  </si>
  <si>
    <t>Leahy, Robert</t>
  </si>
  <si>
    <t>Clinician's Guide to Psychodrama : Third Edition</t>
  </si>
  <si>
    <t>Leveton, Eva, MA</t>
  </si>
  <si>
    <t>Transformative Power of Metaphor in Therapy</t>
  </si>
  <si>
    <t>Loue, Sana</t>
  </si>
  <si>
    <t>Nursing as a Spiritual Practice : A Contemporary Application of Florence</t>
  </si>
  <si>
    <t>Macrae, Janet</t>
  </si>
  <si>
    <t>Cognitive and Constructive Psychotherapies : Theory, Research, and Practice</t>
  </si>
  <si>
    <t>Mahoney, Michael J.; Michenbaum, Donald</t>
  </si>
  <si>
    <t>Business of Medical Practice : Advanced Profit Maximization Techniques for Savvy Doctors</t>
  </si>
  <si>
    <t>Marcinko, David Edward</t>
  </si>
  <si>
    <t>Mindfulness-based Elder Care : A CAM Model for Frail Elders and Their Caregivers</t>
  </si>
  <si>
    <t>McBee, Lucia</t>
  </si>
  <si>
    <t>Care of Gastrointestinal Problems in the Older Adult</t>
  </si>
  <si>
    <t>Meiner, Sue E.</t>
  </si>
  <si>
    <t>Teaching Nursing in an Associate Degree Program</t>
  </si>
  <si>
    <t>Mertig, Rita Girouard</t>
  </si>
  <si>
    <t>Complementary and Integrative Medicine in Cancer Care and Prevention : Foundations and Evidence-based Interventions</t>
  </si>
  <si>
    <t>Micozzi, Marc S.</t>
  </si>
  <si>
    <t>Counseling Crime Victims : Practical Strategies for Mental Health Professionals</t>
  </si>
  <si>
    <t>Miller, Laurence</t>
  </si>
  <si>
    <t>Preventing Patient Falls : Second Edition</t>
  </si>
  <si>
    <t>Morse, Janice M, PhD, RN, CCRN</t>
  </si>
  <si>
    <t>Antepartal and Intrapartal Fetal Monitoring : Third Edition</t>
  </si>
  <si>
    <t>Murray, Michelle, PhD, RNC</t>
  </si>
  <si>
    <t>Interpersonal Relations in Nursing : A Conceptual Frame of Reference for Psychodynamic Nursing</t>
  </si>
  <si>
    <t>Peplau, Hildegard E.</t>
  </si>
  <si>
    <t>Nursing Home Ethics : Everyday Issues Affecting Residents with Dementia</t>
  </si>
  <si>
    <t>Powers, Bethel Ann</t>
  </si>
  <si>
    <t>Home Health Care Provider : A Guide to Essential Skills</t>
  </si>
  <si>
    <t>Prieto, Emily</t>
  </si>
  <si>
    <t>Aging and Disability : Crossing Network Lines</t>
  </si>
  <si>
    <t>Putnam, Michelle</t>
  </si>
  <si>
    <t>Intuition and Metacognition in Medical Education : Keys to Developing Expertise</t>
  </si>
  <si>
    <t>Quirk, Mark</t>
  </si>
  <si>
    <t>Advances in Patient Education</t>
  </si>
  <si>
    <t>Differential Diagnosis in Adult Neuropsychological Assessment</t>
  </si>
  <si>
    <t>Ricker, Joseph H.</t>
  </si>
  <si>
    <t>Management and Leadership in Nursing and Health Care : An Experiential Approach, 2nd Edition</t>
  </si>
  <si>
    <t>Rigolosi, Elaine La Monica, EdD, JD, FAAN</t>
  </si>
  <si>
    <t>Nursing; Health; Social Science</t>
  </si>
  <si>
    <t>Popular Culture in Counseling, Psychotherapy, and Play-based Interventions</t>
  </si>
  <si>
    <t>Rubin, Lawrence C.</t>
  </si>
  <si>
    <t>Using Superheroes in Counseling and Play Therapy</t>
  </si>
  <si>
    <t>Clinical Care Classification (CCC) System Manual : A Guide to Nursing Documentation</t>
  </si>
  <si>
    <t>Saba, Virginia</t>
  </si>
  <si>
    <t>Business/Management; Nursing</t>
  </si>
  <si>
    <t>Coping Skills Manual for Treating Chronic and Terminal Illness</t>
  </si>
  <si>
    <t>Sharoff, Kenneth</t>
  </si>
  <si>
    <t>Coping Skills Therapy for Managing Chronic and Terminal Illness</t>
  </si>
  <si>
    <t>Depression and Women : An Integrative Treatment Approach</t>
  </si>
  <si>
    <t>Simonds, Susan</t>
  </si>
  <si>
    <t>Stress Management : A Comprehensive Handbook of Techniques and Strategies</t>
  </si>
  <si>
    <t>Smith, Jonathan C.</t>
  </si>
  <si>
    <t>Karen Horney and Character Disorder : A Guide for the Modern Practitioner</t>
  </si>
  <si>
    <t>Solomon, Irving</t>
  </si>
  <si>
    <t>Treating Attachment Abuse : A Compassionate Approach</t>
  </si>
  <si>
    <t>Stosny, Steven</t>
  </si>
  <si>
    <t>Advances in the Treatment of Posttraumatic Stress Disorder : Cognitive-behavioral Perspectives</t>
  </si>
  <si>
    <t>Taylor, Steven</t>
  </si>
  <si>
    <t>Transforming Nurses' Stress and Anger : Steps toward Healing, Third Edition</t>
  </si>
  <si>
    <t>Thomas, Sandra P., PhD, RN, FAAN</t>
  </si>
  <si>
    <t>Transforming Nurses' Stress and Anger : Steps Toward Healing</t>
  </si>
  <si>
    <t>Thomas, Sandra P.</t>
  </si>
  <si>
    <t>Falling In Old Age , 2nd edition : Prevention and Management</t>
  </si>
  <si>
    <t>Tideiksaar, Rein, PhD</t>
  </si>
  <si>
    <t>Coaching Standardized Patients : For Use in the Assessment of Clinical Competence</t>
  </si>
  <si>
    <t>Wallace, Peggy</t>
  </si>
  <si>
    <t>Assessing and Measuring Caring in Nursing and Health Science : Second Edition</t>
  </si>
  <si>
    <t>Watson, Jean, PhD, RN, AHN-BC, FAAN</t>
  </si>
  <si>
    <t>Grief Counseling and Grief Therapy, Fourth Edition : A Handbook for the Mental Health Practitioner</t>
  </si>
  <si>
    <t>Worden, J. William, PhD, ABPP</t>
  </si>
  <si>
    <t>Tobacco Use : Health and Behaviour</t>
  </si>
  <si>
    <t>Jiloha, R.C.</t>
  </si>
  <si>
    <t>Social Science; Health; Medicine; Psychology</t>
  </si>
  <si>
    <t>See Sam Run : A Mother's Story of Autism</t>
  </si>
  <si>
    <t>Heinkel-Wolfe, Peggy</t>
  </si>
  <si>
    <t>Reichel's Care of the Elderly : Clinical Aspects of Aging</t>
  </si>
  <si>
    <t>Arenson, Christine; Busby-Whitehead, Jan; Brummel-Smith, Kenneth; O'Brien, James G.; Palmer, Mary H.; Reichel, William</t>
  </si>
  <si>
    <t>Proactive Support of Labor : The Challenge of Normal Childbirth</t>
  </si>
  <si>
    <t>Reuwer, Paul; Bruinse, Hein; Franx, Arie</t>
  </si>
  <si>
    <t>Jackson, Henry J.; McGorry, Patrick D.</t>
  </si>
  <si>
    <t>Biopsychosocial Regulatory Processes in the Development of Childhood Behavioral Problems</t>
  </si>
  <si>
    <t>Olson, Sheryl L.; Sameroff, Arnold J.</t>
  </si>
  <si>
    <t>Label-Free Biosensors : Techniques and Applications</t>
  </si>
  <si>
    <t>Cooper, Matthew A.</t>
  </si>
  <si>
    <t>Clinical Emergency Radiology</t>
  </si>
  <si>
    <t>Fox, J. Christian</t>
  </si>
  <si>
    <t>Clinical Forensic Medicine</t>
  </si>
  <si>
    <t>McLay, W. D. S.</t>
  </si>
  <si>
    <t>Awaiting the Therapist's Baby : A Guide for Expectant Parent-Practitioners</t>
  </si>
  <si>
    <t>Fallon, April E.; Brabender, Virginia; Brabender, Virginia</t>
  </si>
  <si>
    <t>Authorized to Heal : Gender, Class, and the Transformation of Medicine in Appalachia, 1880-1930</t>
  </si>
  <si>
    <t>Barney, Sandra Lee</t>
  </si>
  <si>
    <t>Asian American Communities and Health : Context, Research, Policy, and Action</t>
  </si>
  <si>
    <t>Trinh-Shevrin, Chau; Islam, Nadia Shilpi; Rey, Mariano Jose; Trinh-Shevrin, Chau</t>
  </si>
  <si>
    <t>Drug-Drug Interactions in Pharmaceutical Development</t>
  </si>
  <si>
    <t>Wang, Binghe; Li, Albert P.</t>
  </si>
  <si>
    <t>Medical Imaging : Principles, Detectors, and Electronics</t>
  </si>
  <si>
    <t>Iniewski, Krzysztof</t>
  </si>
  <si>
    <t>Engineering; Medicine; Engineering: Electrical</t>
  </si>
  <si>
    <t>Formulation and Analytical Development for Low-Dose Oral Drug Products</t>
  </si>
  <si>
    <t>Zheng, Jack</t>
  </si>
  <si>
    <t>Speech and Language Disorders Associated with Subcortical Pathology</t>
  </si>
  <si>
    <t>Murdoch, Bruce E.; Whelan, Brooke-Mai; Whelan, Brooke-Mai</t>
  </si>
  <si>
    <t>A Casebook of Family Interventions for Psychosis</t>
  </si>
  <si>
    <t>Lobban, Fiona; Barrowclough, Christine</t>
  </si>
  <si>
    <t>Ethics in Speech and Language Therapy</t>
  </si>
  <si>
    <t>Body, Richard; McAllister, Lindy</t>
  </si>
  <si>
    <t>Severe and Enduring Eating Disorder (SEED) : Management of Complex Presentations of Anorexia and Bulimia Nervosa</t>
  </si>
  <si>
    <t>Robinson, Paul</t>
  </si>
  <si>
    <t>Cancer Chemotherapy : Basic Science to the Clinic</t>
  </si>
  <si>
    <t>Airley, Rachel</t>
  </si>
  <si>
    <t>Photosensitisers in Biomedicine</t>
  </si>
  <si>
    <t>Wainwright, Mark</t>
  </si>
  <si>
    <t>Schema Therapy for Borderline Personality Disorder</t>
  </si>
  <si>
    <t>Arntz, Arnoud; van Genderen, Hannie; van Genderen, Hannie; Drost, Jolijn</t>
  </si>
  <si>
    <t>Pediatric Headaches in Clinical Practice</t>
  </si>
  <si>
    <t>Hershey, Andrew D.; Powers, Scott W.; Winner, Paul; Kabbouche, Marielle A.</t>
  </si>
  <si>
    <t>Exercise Leadership in Cardiac Rehabilitation for High Risk Groups : An Evidence-Based Approach</t>
  </si>
  <si>
    <t>Thow, Morag</t>
  </si>
  <si>
    <t>Advanced Techniques in Diagnostic Cellular Pathology</t>
  </si>
  <si>
    <t>Hannon-Fletcher, Mary; Maxwell, Perry; Hannon-Fletcher, Mary</t>
  </si>
  <si>
    <t>Exercise and Cognitive Function</t>
  </si>
  <si>
    <t>McMorris, Terry; Tomporowski, Phillip; Audiffren, Michel</t>
  </si>
  <si>
    <t>Psychology; Science; Science: Anatomy/Physiology</t>
  </si>
  <si>
    <t>Depression Care Across the Lifespan</t>
  </si>
  <si>
    <t>Walsh, Lynne</t>
  </si>
  <si>
    <t>Barnett, Tony; Kumar, Sudhesh</t>
  </si>
  <si>
    <t>The Psychology of Dyslexia : A Handbook for Teachers with Case Studies</t>
  </si>
  <si>
    <t>Thomson, Michael</t>
  </si>
  <si>
    <t>ABC of Health Informatics</t>
  </si>
  <si>
    <t>Sullivan, Frank; Wyatt, Jeremy</t>
  </si>
  <si>
    <t>Cellular Physiology of Nerve and Muscle</t>
  </si>
  <si>
    <t>Matthews, Gary G.</t>
  </si>
  <si>
    <t>A Textbook of Neuroanatomy</t>
  </si>
  <si>
    <t>Patestas, Maria A.; Gartner, Leslie P.</t>
  </si>
  <si>
    <t>The Molecular Biology of Cancer</t>
  </si>
  <si>
    <t>Pelengaris, Stella; Khan, Michael</t>
  </si>
  <si>
    <t>Cancer Nursing : Care in Context</t>
  </si>
  <si>
    <t>Corner, Jessica; Bailey, Christopher D.</t>
  </si>
  <si>
    <t>Clinical Cases in Dietetics</t>
  </si>
  <si>
    <t>Pender, Fred; Sacks, H.</t>
  </si>
  <si>
    <t>Clinical Assessment and Monitoring in Children</t>
  </si>
  <si>
    <t>Fergusson, Diana; Lawton, Lorrie</t>
  </si>
  <si>
    <t>The Handbook of Clinical Linguistics</t>
  </si>
  <si>
    <t>Ball, Martin J.; Perkins, Michael R.; MÃ¼ller, Nicole; Mller, Nicole; Howard, Sara; Müller, Nicole; M?ller, Nicole; Müller, Nicole; MÃ¼ller, Nicole</t>
  </si>
  <si>
    <t>Infectious Disease : Pathogenesis, Prevention and Case Studies</t>
  </si>
  <si>
    <t>Shetty, Nandini; Tang, J. W.; Andrews, Julie; W Tang, Julian</t>
  </si>
  <si>
    <t>ABC of Complementary Medicine</t>
  </si>
  <si>
    <t>Zollman, Catherine; Vickers, Andrew J.; Richardson, Janet</t>
  </si>
  <si>
    <t>ABC of Kidney Disease</t>
  </si>
  <si>
    <t>Goldsmith, David; Jayawardene, Satishkumar Abeythunge; Ackland, Penny</t>
  </si>
  <si>
    <t>How to Display Data</t>
  </si>
  <si>
    <t>Freeman, Jenny V.; Walters, Stephen J.; Campbell, Michael J.</t>
  </si>
  <si>
    <t>Intravenous Therapy in Nursing Practice</t>
  </si>
  <si>
    <t>Dougherty, Lisa; Lamb, Julie</t>
  </si>
  <si>
    <t>ABC of Clinical Haematology</t>
  </si>
  <si>
    <t>Provan, Drew</t>
  </si>
  <si>
    <t>International Practice Development in Nursing and Healthcare</t>
  </si>
  <si>
    <t>Manley, Kim; McCormack, Brendan; Wilson, Valerie; Wilson, Valerie</t>
  </si>
  <si>
    <t>ABC of Patient Safety</t>
  </si>
  <si>
    <t>Sandars, John; Cook, Gary</t>
  </si>
  <si>
    <t>EMQs and MCQs for Medical Finals</t>
  </si>
  <si>
    <t>Bath, Jonathan; Morgan, Rebecca</t>
  </si>
  <si>
    <t>Evidence-Based Clinical Supervision : Principles and Practice</t>
  </si>
  <si>
    <t>Milne, Derek</t>
  </si>
  <si>
    <t>ABC of Skin Cancer</t>
  </si>
  <si>
    <t>Rajpar, Sajjad; Marsden, Jerry; Rajpar, Sajjad</t>
  </si>
  <si>
    <t>Trauma Care : Initial Assessment and Management in the Emergency Department</t>
  </si>
  <si>
    <t>Cole, Elaine</t>
  </si>
  <si>
    <t>A Concise Guide to Clinical Trials</t>
  </si>
  <si>
    <t>Hackshaw, Allan; Paul, Elizabeth</t>
  </si>
  <si>
    <t>Restorative Dentistry : An Integrated Approach</t>
  </si>
  <si>
    <t>Jacobsen, Peter</t>
  </si>
  <si>
    <t>Shared Care Glaucoma : A Clinical Text for Ophthalmic Allied Professionals</t>
  </si>
  <si>
    <t>Alwitry, Amar; Vernon, Stephen</t>
  </si>
  <si>
    <t>Communities of Practice in Health and Social Care</t>
  </si>
  <si>
    <t>Le May, AndrÃ©e; Wenger, Etienne; Le May, André E; Wenger, Etienne; Le May, Andr?e</t>
  </si>
  <si>
    <t>Clinical Management in Mental Health Services</t>
  </si>
  <si>
    <t>Lloyd, Chris; King, Robert; Deane, Frank; Gournay, Kevin</t>
  </si>
  <si>
    <t>ABC of Clinical Electrocardiography</t>
  </si>
  <si>
    <t>Morris, Francis; Brady, William; Camm, John</t>
  </si>
  <si>
    <t>Lifestyle Management in Health and Social Care</t>
  </si>
  <si>
    <t>Thew, Miranda; McKenna, Jim</t>
  </si>
  <si>
    <t>ABC of Arterial and Venous Disease</t>
  </si>
  <si>
    <t>Donnelly, Richard; London, Nick J. M.</t>
  </si>
  <si>
    <t>Practical ECG Interpretation : Clues to Heart Disease in Young Adults</t>
  </si>
  <si>
    <t>Achieving Cultural Competency : A Case-Based Approach to Training Health Professionals</t>
  </si>
  <si>
    <t>Hark, Lisa; DeLisser, Horace; Morrison, Gail</t>
  </si>
  <si>
    <t>Local Anaesthesia in Dentistry</t>
  </si>
  <si>
    <t>Baart, J. A.; Brand, H. S.</t>
  </si>
  <si>
    <t>Health Care Errors and Patient Safety</t>
  </si>
  <si>
    <t>Hurwitz, Brian; Sheikh, Aziz; Hurwitz, Brian; Sheikh, Aziz</t>
  </si>
  <si>
    <t>Developing Solid Oral Dosage Forms : Pharmaceutical Theory and Practice</t>
  </si>
  <si>
    <t>Qiu, Yihong; Chen, Yisheng; Zhang, Geoff G. Z.; Porter, William; Liu, Lirong; Rao, Venkatramana; Porter, William; Porter, William</t>
  </si>
  <si>
    <t>Statistics in Medicine</t>
  </si>
  <si>
    <t>Riffenburgh, Robert H.; Riffenburgh, Robert H</t>
  </si>
  <si>
    <t>Food Bites : The Science of the Foods We Eat</t>
  </si>
  <si>
    <t>Hartel, Richard W.; Hartel, AnnaKate</t>
  </si>
  <si>
    <t>Engineering; Engineering: Chemical</t>
  </si>
  <si>
    <t>GI Microbiota and Regulation of the Immune System</t>
  </si>
  <si>
    <t>Cazacu, C. A.; Huffnagle, Gary B.; Noverr, Mairi</t>
  </si>
  <si>
    <t>Cyclin Dependent Kinase 5 (Cdk5)</t>
  </si>
  <si>
    <t>Ip, Nancy Y.; Tsai, Li-Huei</t>
  </si>
  <si>
    <t>Coming into the World : A Dialogue between Medical and Human Sciences : International Congress the 'Normal' Complexities of Coming into the World , Modena, Italy, 28-30, September 2006</t>
  </si>
  <si>
    <t>La Sala, Giovanni Battista; Blickstein, Isaac; Fagandini, Piergiuseppina; Iori, Vanna; Monti, Fiorella</t>
  </si>
  <si>
    <t>Infant Mortality : A Continuing Social Problem</t>
  </si>
  <si>
    <t>Ashgate Publishing Ltd</t>
  </si>
  <si>
    <t>Garrett, Eilidh; Woods, Robert; Galley, Chris, Dr; Woods, Robert</t>
  </si>
  <si>
    <t>Safety and Ethics in Healthcare : A Guide to Getting it Right</t>
  </si>
  <si>
    <t>Merry, Alan, Professor; Walton, Merrilyn, Professor; Runciman, Bill, Professor</t>
  </si>
  <si>
    <t>Outsourcing Clinical Development : Strategies for Working with CROs and Other Partners</t>
  </si>
  <si>
    <t>Baguley, Jane; Pharmaceutical Contract Management Group; Winter, Jane E.</t>
  </si>
  <si>
    <t>Medicine; Economics; Business/Management; Pharmacy</t>
  </si>
  <si>
    <t>Patient Compliance : Sweetening the Pill</t>
  </si>
  <si>
    <t>Kermani, Faiz; Davies, Madhu</t>
  </si>
  <si>
    <t>Forecasting for the Pharmaceutical Industry : Models for New Product and In-Market Forecasting and How to Use Them</t>
  </si>
  <si>
    <t>Cook, Arthur G.</t>
  </si>
  <si>
    <t>Medicine; Business/Management; Pharmacy</t>
  </si>
  <si>
    <t>Communicating Health Risks to the Public : A Global Perspective</t>
  </si>
  <si>
    <t>Hillier, Dawn</t>
  </si>
  <si>
    <t>Drugs, Clubs and Young People : Sociological and Public Health Perspectives</t>
  </si>
  <si>
    <t>Sanders, Bill</t>
  </si>
  <si>
    <t>Air Pollution and Health in Rapidly Developing Countries</t>
  </si>
  <si>
    <t>McGranahan, Gordon; Murray, Frank</t>
  </si>
  <si>
    <t>Engineering; Engineering: Environmental; Environmental Studies</t>
  </si>
  <si>
    <t>Un Millennium Development Library: Coming to Grips with Malaria in the New Millennium</t>
  </si>
  <si>
    <t>Millennium Project, U. N.; Singer, Burt; Spielman, Andrew</t>
  </si>
  <si>
    <t>Un Millennium Development Library: Investing in Strategies to Reverse the Global Incidence of TB</t>
  </si>
  <si>
    <t>Millennium Project, U. N.</t>
  </si>
  <si>
    <t>Mastering Your Fears and Phobias : Therapist Guide</t>
  </si>
  <si>
    <t>Craske, Michelle G.; Antony, Martin M.; Barlow, David H.</t>
  </si>
  <si>
    <t>Mastering Your Fears and Phobias : Workbook</t>
  </si>
  <si>
    <t>Barnett, Louise; Antony, Martin M.; Barlow, David H.; Craske, Michelle G.</t>
  </si>
  <si>
    <t>Social Support Measurement and Intervention : A Guide for Health and Social Scientists</t>
  </si>
  <si>
    <t>Cohen, Sheldon; Underwood, Lynn G.; Gottlieb, Benjamin H.</t>
  </si>
  <si>
    <t>Measuring the Mind : Speed, Control, and Age</t>
  </si>
  <si>
    <t>Duncan, John; McLeod, Peter; Phillips, Louise</t>
  </si>
  <si>
    <t>Neurological Eponyms</t>
  </si>
  <si>
    <t>Koehler, Peter J.; Bruyn, George W.; Pearce, John M. S.</t>
  </si>
  <si>
    <t>Preparing for Weight Loss Surgery : Therapist Guide</t>
  </si>
  <si>
    <t>Kincaid, Harold; Dupre, John; Apple, Robin F.; Lock, James; Peebles, Rebecka</t>
  </si>
  <si>
    <t>Preparing for Weight Loss Surgery : Workbook</t>
  </si>
  <si>
    <t>Antony, Martin M.; Craske, Michelle G.; Apple, Robin F.; Lock, James; Peebles, Rebecka</t>
  </si>
  <si>
    <t>Managing Bipolar Disorder : A Cognitive-behavioral Approach : Therapist Guide</t>
  </si>
  <si>
    <t>Otto, Michael W.; Henin, Aude; Knauz, Robert O.; Kogan, Jane N.; Reilly-Harrington, Noreen</t>
  </si>
  <si>
    <t>Brain Tumors</t>
  </si>
  <si>
    <t>Greenberg, Harry S.; Chandler, William F.; Sandler, Howard M.; Sandler, Howard M.</t>
  </si>
  <si>
    <t>Public Health, Ethics, and Equity</t>
  </si>
  <si>
    <t>Anand, Sudhir; Peter, Fabienne; Sen, Amartya</t>
  </si>
  <si>
    <t>Coping with Chronic Illness : A Cognitive-Behavioral Therapy Approach for Adherence and Depression - Therapist Guide</t>
  </si>
  <si>
    <t>Safren, Steven A.; Gonzalez, Jeffrey S.; Soroudi, Nafisseh</t>
  </si>
  <si>
    <t>Food in Medieval England : Diet and Nutrition</t>
  </si>
  <si>
    <t>Woolgar, C. M.; Serjeantson, D.; Waldron, T.</t>
  </si>
  <si>
    <t>Infectious Diseases in Primates : Behavior, Ecology and Evolution</t>
  </si>
  <si>
    <t>Nunn, Charles; Altizer, Sonia</t>
  </si>
  <si>
    <t>Self, Social Identity, and Physical Health : Interdisciplinary Explorations</t>
  </si>
  <si>
    <t>Contrada, Richard J.; Ashmore, Richard D.</t>
  </si>
  <si>
    <t>The First Episode of Psychosis : A Guide for Patients and Their Families</t>
  </si>
  <si>
    <t>Compton, Michael T.; Broussard, Beth</t>
  </si>
  <si>
    <t>Addictions : A Comprehensive Guidebook</t>
  </si>
  <si>
    <t>Embryonic Stem Cells : A Practical Approach</t>
  </si>
  <si>
    <t>Notarianni, Elena; Evans, Martin J.</t>
  </si>
  <si>
    <t>The Changing Nervous System : Neurobehavioral Consequences of Early Brain Disorders</t>
  </si>
  <si>
    <t>Broman, Sarah H.; Fletcher, Jack M.</t>
  </si>
  <si>
    <t>Overcoming Depression : A Cognitive Therapy Approach</t>
  </si>
  <si>
    <t>Gilson, Mark; Freeman, Arthur; Yates, M. Jane; Freeman, Sharon Morgillo</t>
  </si>
  <si>
    <t>Family-Based Treatment for Young Children with OCD : Therapist Guide</t>
  </si>
  <si>
    <t>Freeman, Jennifer B.; Garcia, Abbe Marrs; Freeman, Jennifer Beth</t>
  </si>
  <si>
    <t>Family-Based Treatment for Young Children with OCD : Workbook</t>
  </si>
  <si>
    <t>Freeman, Jennifer B.; Garcia, Abbe Marrs</t>
  </si>
  <si>
    <t>Mismatch : Why Our World No Longer Fits Our Bodies</t>
  </si>
  <si>
    <t>Gluckman, Peter; Hanson, Mark</t>
  </si>
  <si>
    <t>Oxford Book of Health Foods</t>
  </si>
  <si>
    <t>Vaughan, J.G.; Judd, P.A.</t>
  </si>
  <si>
    <t>The Complete Guide to Relieving Cancer Pain and Suffering</t>
  </si>
  <si>
    <t>Patt, Richard B.; Lang, Susan S.</t>
  </si>
  <si>
    <t>Xeno : The Promise of Transplanting Animal Organs into Humans</t>
  </si>
  <si>
    <t>Cooper, David K. C.; Lanza, Robert P.; Cook, Robin</t>
  </si>
  <si>
    <t>Overcoming Alcohol Abuse Use Problems, Therapist Guide : A Cognitive-Behavioral Treatment Program</t>
  </si>
  <si>
    <t>Epstein, Elizabeth E.; McCrady, Barbara S.</t>
  </si>
  <si>
    <t>Medicine; Religion</t>
  </si>
  <si>
    <t>A Cognitive-Behavioral Treatment Program for Overcoming Alcohol Problems : Workbook</t>
  </si>
  <si>
    <t>Evaluation of Competence to Stand Trial</t>
  </si>
  <si>
    <t>Zapf, Patricia A.; Roesch, Ronald; Zapf, Patricia</t>
  </si>
  <si>
    <t>Extreme Fear, Shyness, and Social Phobia : Origins, Biological Mechanisms, and Clinical Outcomes</t>
  </si>
  <si>
    <t>Schmidt, Louis A.; Schulkin, Jay</t>
  </si>
  <si>
    <t>When a Gene Makes You Smell Like a Fish : And Other Amazing Tales about the Genes in Your Body</t>
  </si>
  <si>
    <t>Chiu, Lisa Seachrist; Seachrist, Judith A.</t>
  </si>
  <si>
    <t>Sleep Medicine : Normal Sleep and Its Disorders</t>
  </si>
  <si>
    <t>Aldrich, Michael S.</t>
  </si>
  <si>
    <t>Emotions in Child Psychotherapy : An Integrative Framework</t>
  </si>
  <si>
    <t>Barish, Kenneth</t>
  </si>
  <si>
    <t>Alternative Medicine? : A History</t>
  </si>
  <si>
    <t>Bivins, Roberta</t>
  </si>
  <si>
    <t>William Osler : A Life in Medicine</t>
  </si>
  <si>
    <t>Bliss, Michael</t>
  </si>
  <si>
    <t>Visceral Sensory Neuroscience : Interoception</t>
  </si>
  <si>
    <t>Cameron, Oliver G.</t>
  </si>
  <si>
    <t>At War Within : The Double-edged Sword of Immunity</t>
  </si>
  <si>
    <t>Clark, William R.</t>
  </si>
  <si>
    <t>The Life Program for MS : Lifestyle, Independence, Fitness, and Energy</t>
  </si>
  <si>
    <t>Epstein, Susan J.</t>
  </si>
  <si>
    <t>Minds Behind the Brain : A History of the Pioneers</t>
  </si>
  <si>
    <t>Finger</t>
  </si>
  <si>
    <t>Cortex and Mind : Unifying Cognition</t>
  </si>
  <si>
    <t>Fuster, Joaquin M.</t>
  </si>
  <si>
    <t>Making a Place for Ourselves : The Black Hospital Movement, 1920-1945</t>
  </si>
  <si>
    <t>Gamble, Vanessa Northington</t>
  </si>
  <si>
    <t>Medical Charlatanism in Early Modern Italy</t>
  </si>
  <si>
    <t>Gentilcore, David</t>
  </si>
  <si>
    <t>Addiction : From Biology to Drug Policy</t>
  </si>
  <si>
    <t>Goldstein, Avram</t>
  </si>
  <si>
    <t>Postgraduate Year One : Lessons in Caring</t>
  </si>
  <si>
    <t>Single by Chance, Mothers by Choice : How Women Are Choosing Parenthood Without Marriage and Creating the New American Family</t>
  </si>
  <si>
    <t>Spencer, Patricia Elizabeth</t>
  </si>
  <si>
    <t>Science of Marijuana</t>
  </si>
  <si>
    <t>Iversen, Leslie L.</t>
  </si>
  <si>
    <t>Medicine; Science: Biology/Natural History; Science; Pharmacy</t>
  </si>
  <si>
    <t>The Burden of Sympathy : How Families Cope with Mental Illness</t>
  </si>
  <si>
    <t>Karp, David A.</t>
  </si>
  <si>
    <t>The Breast Cancer Wars : Hope, Fear and the Pursuit of a Cure in Twentieth-Century America</t>
  </si>
  <si>
    <t>Lerner, Barron H.</t>
  </si>
  <si>
    <t>Laughing Gas, Viagra, and Lipitor : The Human Stories Behind the Drugs We Use</t>
  </si>
  <si>
    <t>Medicine; Social Science; Pharmacy; Health</t>
  </si>
  <si>
    <t>Neuroanatomy : Draw It to Know It</t>
  </si>
  <si>
    <t>Fisch, Adam</t>
  </si>
  <si>
    <t>Viruses, Plagues, and History</t>
  </si>
  <si>
    <t>Oldstone, Michael B. A.</t>
  </si>
  <si>
    <t>Evaluation of Criminal Responsibility</t>
  </si>
  <si>
    <t>Packer, Ira K.</t>
  </si>
  <si>
    <t>Affective Neuroscience : The Foundations of Human and Animal Emotions</t>
  </si>
  <si>
    <t>Panksepp, Jaak</t>
  </si>
  <si>
    <t>Raymond Adams : A Life of Mind and Muscle</t>
  </si>
  <si>
    <t>Laureno, Robert</t>
  </si>
  <si>
    <t>Talking about Treatment : Recommendations for Breast Cancer Adjuvant Therapy</t>
  </si>
  <si>
    <t>Roberts, Felicia D.</t>
  </si>
  <si>
    <t>Remembering Our Childhood : How Memory Betrays Us</t>
  </si>
  <si>
    <t>Sabbagh, Karl</t>
  </si>
  <si>
    <t>Islamic Biomedical Ethics : Principles and Application</t>
  </si>
  <si>
    <t>Sachedina, Abdulaziz Abdulhussein</t>
  </si>
  <si>
    <t>Evolution of the Human Diet : The Known, the Unknown, and the Unknowable</t>
  </si>
  <si>
    <t>Ungar, Peter S.</t>
  </si>
  <si>
    <t>Science; Science: Biology/Natural History; History</t>
  </si>
  <si>
    <t>ADHD : Attention-Deficit Hyperactivity Disorder in Children, Adolescents, and Adults</t>
  </si>
  <si>
    <t>Wender, Paul H.</t>
  </si>
  <si>
    <t>Theater of Disorder : Patients, Doctors, and the Construction of Illness</t>
  </si>
  <si>
    <t>Wenegrat, Brant</t>
  </si>
  <si>
    <t>Enhancing Sexuality : A Problem-Solving Approach to Treating Dysfunction</t>
  </si>
  <si>
    <t>Wincze, John P.</t>
  </si>
  <si>
    <t>Bad Medicine : Doctors Doing Harm since Hippocrates</t>
  </si>
  <si>
    <t>Wootton, David</t>
  </si>
  <si>
    <t>Fiber Pathways of the Brain</t>
  </si>
  <si>
    <t>Schmahmann, Jeremy D.; Pandya, Deepak N.</t>
  </si>
  <si>
    <t>Get, Set &amp; Grow : A Handbook of Medical Representatives</t>
  </si>
  <si>
    <t>Mehrotra, Vivek</t>
  </si>
  <si>
    <t>The BMT Data Book</t>
  </si>
  <si>
    <t>Munker, Reinhold; Lazarus, Hillard M.; Atkinson, Kerry</t>
  </si>
  <si>
    <t>Clinical Neuroradiology : A Case-Based Approach</t>
  </si>
  <si>
    <t>Hathout, Gasser M.; Ferguson, Tanya</t>
  </si>
  <si>
    <t>Prostate Cancer</t>
  </si>
  <si>
    <t>Hricak, Hedvig; Scardino, Peter</t>
  </si>
  <si>
    <t>Health at Older Ages : The Causes and Consequences of Declining Disability Among the Elderly</t>
  </si>
  <si>
    <t>Cutler, David M.; Wise, David A.</t>
  </si>
  <si>
    <t>Obsession : A History</t>
  </si>
  <si>
    <t>Davis, Lennard J.</t>
  </si>
  <si>
    <t>Caribbean Pleasure Industry : Tourism, Sexuality, and AIDS in the Dominican Republic</t>
  </si>
  <si>
    <t>Padilla, Mark</t>
  </si>
  <si>
    <t>Healing the Land and the Nation : Malaria and the Zionist Project in Palestine, 1920-1947</t>
  </si>
  <si>
    <t>Sufian, Sandra M.</t>
  </si>
  <si>
    <t>Postmortem : How Medical Examiners Explain Suspicious Deaths</t>
  </si>
  <si>
    <t>Timmermans, Stefan</t>
  </si>
  <si>
    <t>Living with Polio : The Epidemic and Its Survivors</t>
  </si>
  <si>
    <t>Wilson, Daniel J.</t>
  </si>
  <si>
    <t>Inherited Bleeding Disorders in Women</t>
  </si>
  <si>
    <t>Lee, Christine A.; Kadir, Rezan A.; Kouides, Peter A.; Lee, Christine A</t>
  </si>
  <si>
    <t>Head Injury : A Multidisciplinary Approach</t>
  </si>
  <si>
    <t>Whitfield, Peter C.; Thomas, Elfyn O.; Summers, Fiona; Whyte, Maggie; Hutchinson, Peter J.</t>
  </si>
  <si>
    <t>Transient Ischemic Attack and Stroke : Diagnosis, Investigation and Management</t>
  </si>
  <si>
    <t>Pendlebury, Sarah T.; Giles, Matthew F.; Rothwell, Peter M.</t>
  </si>
  <si>
    <t>Religion and Spirituality in Psychiatry</t>
  </si>
  <si>
    <t>Huguelet, Philippe; Koenig, Harold G.</t>
  </si>
  <si>
    <t>Introduction to Biomedical Instrumentation : The Technology of Patient Care</t>
  </si>
  <si>
    <t>Christe, Barbara</t>
  </si>
  <si>
    <t>Acting in Anaesthesia : Ethnographic Encounters with Patients, Practitioners and Medical Technologies</t>
  </si>
  <si>
    <t>Goodwin, Dawn</t>
  </si>
  <si>
    <t>Community Treatment of Drug Misuse : More Than Methadone</t>
  </si>
  <si>
    <t>Seivewright, Nicholas</t>
  </si>
  <si>
    <t>Information and Communication Technologies for Active Ageing : Opportunities and Challenges for the European Union</t>
  </si>
  <si>
    <t>Cabrera, M.; Malanowski, N.; IOS Press,</t>
  </si>
  <si>
    <t>Social Science; Computer Science/IT</t>
  </si>
  <si>
    <t>Towards Drugs of the Future : Key Issues in Lead Finding and Lead Optimization</t>
  </si>
  <si>
    <t>Kruse, C.G.; Timmerman, H.; Solvay Pharmaceutical Conference on Medicinal Chemistry, ; IOS Press,</t>
  </si>
  <si>
    <t>Aging, Disability and Independence : Selected Papers from the 4th International Conference on Aging, Disability and Independence</t>
  </si>
  <si>
    <t>Mann, W.C.</t>
  </si>
  <si>
    <t>Adolescent Health : Understanding and Preventing Risk Behaviors</t>
  </si>
  <si>
    <t>DiClemente, Ralph J.; Santelli, John S.; Crosby, Richard A.</t>
  </si>
  <si>
    <t>Brain Metastasis : A Multidisciplinary Approach</t>
  </si>
  <si>
    <t>Kleinberg, Lawrence R., MD</t>
  </si>
  <si>
    <t>Employment Issues and Multiple Sclerosis</t>
  </si>
  <si>
    <t>Rumrill, Phillip D.; Hennessey, Mary; Nissen, Steven W.</t>
  </si>
  <si>
    <t>Life on Wheels : The A to Z Guide to Living Fully with Mobility Issues</t>
  </si>
  <si>
    <t>Karp, Gary</t>
  </si>
  <si>
    <t>Making the Connection between Brain and Behavior : Coping with Parkinson's Disease</t>
  </si>
  <si>
    <t>Friedman, Joseph</t>
  </si>
  <si>
    <t>Medical Management of Adults with Neurologic Disabilities</t>
  </si>
  <si>
    <t>Cristian, Adrian, Dr., MD</t>
  </si>
  <si>
    <t>Nonconvulsive Status Epilepticus</t>
  </si>
  <si>
    <t>Drislane, Frank W., MD; Kaplan, Peter W., Dr., MD</t>
  </si>
  <si>
    <t>Health Risks of Ozone from Long-range Transboundary Air Pollution</t>
  </si>
  <si>
    <t>Amann, M.; Derwent, D.; Forsberg, B.</t>
  </si>
  <si>
    <t>Science; Environmental Studies; Science: Physics</t>
  </si>
  <si>
    <t>Managing Chronic Conditions : Experience in Eight Countries</t>
  </si>
  <si>
    <t>Nolte, E.; Knai, C.; McKee, M.</t>
  </si>
  <si>
    <t>Health Technology Assessment and Health Policy-making in Europe : Current Status, Challenges and Potential</t>
  </si>
  <si>
    <t>Garrido, M.V.; Kristensen, F. B.; Nielsen, C.P.</t>
  </si>
  <si>
    <t>European Report on Child Injury Prevention</t>
  </si>
  <si>
    <t>Sethi, D.; Towner, E.; Vincenten, J.</t>
  </si>
  <si>
    <t>Home Care in Europe : The Solid Facts</t>
  </si>
  <si>
    <t>Tarricone, R.; Tsouros, A.D.</t>
  </si>
  <si>
    <t>Rapport sur l'épidémie mondiale de SIDA 2008</t>
  </si>
  <si>
    <t>2008 Report on the Global AIDS Epidemic</t>
  </si>
  <si>
    <t>Integrating Poverty and Gender into Health Programmes : Foundational Module on Poverty</t>
  </si>
  <si>
    <t>WHO Regional Office for the Western Pacific</t>
  </si>
  <si>
    <t>Integrating Poverty and Gender into Health Programmes : Module on Curricular Integration</t>
  </si>
  <si>
    <t>Anti-Tuberculosis Drug Resistance in the World, Fourth Global Report : The WHO/IUATLD Global Project on Anti-Tuberculosis Drug Resistance Surveillance</t>
  </si>
  <si>
    <t>Pandemic Influenza Preparedness and Response : A WHO Guidance Nonserial Publication</t>
  </si>
  <si>
    <t>Peptides in Energy Balance and Obesity</t>
  </si>
  <si>
    <t>Fruhbeck, G.</t>
  </si>
  <si>
    <t>Science: Biology/Natural History; Science: Anatomy/Physiology; Medicine; Science</t>
  </si>
  <si>
    <t>Overcoming Hearing Aid Fears : The Road to Better Hearing</t>
  </si>
  <si>
    <t>Burkey, John M.</t>
  </si>
  <si>
    <t>The Mosquito Crusades : A History of the American Anti-Mosquito Movement from the Reed Commission to the First Earth Day</t>
  </si>
  <si>
    <t>Patterson, Gordon M.; Patterson, Gordon</t>
  </si>
  <si>
    <t>Making the American Mouth : Dentists and Public Health in the Twentieth Century</t>
  </si>
  <si>
    <t>Picard, Alyssa</t>
  </si>
  <si>
    <t>Incurable and Intolerable : Chronic Disease and Slow Death in Nineteenth-Century France</t>
  </si>
  <si>
    <t>Szabo, Jason; eBooks Corporation</t>
  </si>
  <si>
    <t>Living with Cancer : A Practical Guide</t>
  </si>
  <si>
    <t>Visel, Dave; Fisch, Michael; Fisch, Michael J.</t>
  </si>
  <si>
    <t>Annual Review of Gerontology and Geriatrics 18, 1998 : Focus on Interventions Research with Older Adults</t>
  </si>
  <si>
    <t>Lawton, M. Powell; Schulz, Richard; Maddox, George</t>
  </si>
  <si>
    <t>Making Collaborative Connections with Medical Providers : A Guide for Mental Health Professionals</t>
  </si>
  <si>
    <t>Hamberger, L. Kevin; Ovide, Christopher R.; Weiner, Eric L.</t>
  </si>
  <si>
    <t>Gerotechnology : Research and Practice in Technology and Aging</t>
  </si>
  <si>
    <t>Burdick, David; Kwon, Sunkyo</t>
  </si>
  <si>
    <t>Research in Nursing and Health : Understanding and Using Quantitative and Qualitative Methods, 2nd Edition</t>
  </si>
  <si>
    <t>Hoskins, Carol Noll, PhD, RN, FAAN; Mariano, Carla, EdD, RN, HNC</t>
  </si>
  <si>
    <t>Internet for Nursing Research : A Guide to Strategies, Skills, and Resources</t>
  </si>
  <si>
    <t>Fitzpatrick, Joyce J.; Montgomery, Kristen S.</t>
  </si>
  <si>
    <t>Gender-inclusive Treatment of Intimate Partner Abuse : A Comprehensive Approach</t>
  </si>
  <si>
    <t>Annual Review of Gerontology and Geriatrics 24, 2004 : Intergenerational Relations Across Time and Place</t>
  </si>
  <si>
    <t>Silverstein, Merril</t>
  </si>
  <si>
    <t>Systems Analysis and Design: Techniques, Methodologies, Approaches, and Architecture</t>
  </si>
  <si>
    <t>Chiang, Roger; Siau, Keng; Hardgrave, Bill C.</t>
  </si>
  <si>
    <t>Why Healthcare Matters : How Business Leaders Can Drive Transformational Change</t>
  </si>
  <si>
    <t>HRD Press</t>
  </si>
  <si>
    <t>Hone, Frank</t>
  </si>
  <si>
    <t>Business/Management; Social Science; Health</t>
  </si>
  <si>
    <t>Fostering a Child's Recovery : Family Placement for Traumatized Children</t>
  </si>
  <si>
    <t>Thomas, Mike; Philpot, Terry; Walsh, Mary; Tomlinson, Patrick</t>
  </si>
  <si>
    <t>Development of Programme Strategies for Integration of HIV Food and Nutrition Activities in Refugee Settings</t>
  </si>
  <si>
    <t>Elimination of Iodine Deficiency Disorders : A Manual for Health Workers</t>
  </si>
  <si>
    <t>WHO Regional Office for the Eastern Meditarranean</t>
  </si>
  <si>
    <t>International Travel and Health 2009 : Situation as on 1 January 2009</t>
  </si>
  <si>
    <t>Social Science; Health; Geography/Travel</t>
  </si>
  <si>
    <t>Social Determinants of Health in Countries in Conflict : A Perspective from the Eastern Mediterranean Region</t>
  </si>
  <si>
    <t>History; Social Science; Health</t>
  </si>
  <si>
    <t>STI/HIV 100% Condom Use Programme in Entertainment Establishments : 100% Condom Use Programme in Entertainment Establishments, 2000</t>
  </si>
  <si>
    <t>Strengthening National and Subnational Departments for Human Resources Development : Health Workforce Development Series, Number 1</t>
  </si>
  <si>
    <t>World Cancer Report 2008</t>
  </si>
  <si>
    <t>World Health Organization; International Agency for Research on Cancer; Levin, Bernard</t>
  </si>
  <si>
    <t>Rapport annuel de l'ONUSIDA 2007 : AIDS  : Connaître Son épidémie</t>
  </si>
  <si>
    <t>Healthcare in the UK : Understanding Continuity and Change</t>
  </si>
  <si>
    <t>Greener, Ian</t>
  </si>
  <si>
    <t>Care in Chaos : Frustration and Challenge in Community Care</t>
  </si>
  <si>
    <t>Hadley, Roger; Clough, Roger</t>
  </si>
  <si>
    <t>The Facts about Teenage Pregnancies</t>
  </si>
  <si>
    <t>Gillham, Bill</t>
  </si>
  <si>
    <t>The Architecture of the Visible : Technology and Urban Visual Culture</t>
  </si>
  <si>
    <t>MacPhee, Graham</t>
  </si>
  <si>
    <t>Drugs : Partnerships for Policy, Prevention and Education : a Practical Approach for Working Together</t>
  </si>
  <si>
    <t>O'Connor, Louise; O'Connor, Denis; Best, Rachel</t>
  </si>
  <si>
    <t>Care-Therapy for Children (Gen) : Applications in Counselling and Psychotherapy</t>
  </si>
  <si>
    <t>Redgrave</t>
  </si>
  <si>
    <t>Parkinsonian Disorders in Clinical Practice</t>
  </si>
  <si>
    <t>Schapira, Anthony; Hartmann, Andreas; Agid, Yves</t>
  </si>
  <si>
    <t>Management of Unintended and Abnormal Pregnancy : Comprehensive Abortion Care</t>
  </si>
  <si>
    <t>Paul, Maureen; Lichtenberg, Steve; Borgatta, Lynn; Grimes, David A.; Stubblefield, Phillip G.; Creinin, Mitchell D.; Stubblefield, Phillip G.</t>
  </si>
  <si>
    <t>Paediatric Handbook</t>
  </si>
  <si>
    <t>Thomson, Kate; Tey, Dean; Marks, Michael</t>
  </si>
  <si>
    <t>Handbook of Dermatology : A Practical Manual</t>
  </si>
  <si>
    <t>Mann, Margaret W.; Berk, David R.; Popkin, Daniel L.; Bayliss, Susan J.</t>
  </si>
  <si>
    <t>Ethnicity, Health and Health Care : Understanding Diversity, Tackling Disadvantage</t>
  </si>
  <si>
    <t>Ahmad, Waqar; Bradby, Hannah</t>
  </si>
  <si>
    <t>Culture and Mental Health : Sociocultural Influences, Theory, and Practice</t>
  </si>
  <si>
    <t>Eshun, Sussie; Gurung, Regan A. R.; Gurung,</t>
  </si>
  <si>
    <t>Chronic Total Occlusions : A Guide to Recanalization</t>
  </si>
  <si>
    <t>Waksman, Ron; Waksman, Ron; Saito, Shigeru</t>
  </si>
  <si>
    <t>Recovery in Mental Health : Reshaping Scientific and Clinical Responsibilities</t>
  </si>
  <si>
    <t>Amering, Michaela; Schmolke, Margit</t>
  </si>
  <si>
    <t>A Primer on Stroke Prevention and Treatment : An Overview Based on AHA/ASA Guidelines</t>
  </si>
  <si>
    <t>Goldstein, Larry B.</t>
  </si>
  <si>
    <t>Pharmaceutical Drug Analysis</t>
  </si>
  <si>
    <t>Engineering: General; Engineering; Medicine; Pharmacy</t>
  </si>
  <si>
    <t>Vital Diabetes Management</t>
  </si>
  <si>
    <t>Gadsby, Roger; Gadsby, Pam</t>
  </si>
  <si>
    <t>Vital CKD : Keeping Kidneys Healthy - Your Essential Reference for Managing CKD in Primary Care</t>
  </si>
  <si>
    <t>Higgins, Dr Rob</t>
  </si>
  <si>
    <t>Ethical Issues in Governing Biobanks : Global Perspectives</t>
  </si>
  <si>
    <t>Biller-Andorno, Nikola; Capron, Alexander M.; Elger, Bernice; Elger, Professor Bernice</t>
  </si>
  <si>
    <t>Philosophy; Science; Science: Biology/Natural History</t>
  </si>
  <si>
    <t>Medicine, Charity and Mutual Aid : The Consumption of Health and Welfare in Britain, C. 1550-1950</t>
  </si>
  <si>
    <t>Shapely, Peter; Borsay, Anne; Pinol, Professor Jean-Luc; Rodger, Professor Richard</t>
  </si>
  <si>
    <t>In Defense of an Evolutionary Concept of Health : Nature, Norms, and Human Biology</t>
  </si>
  <si>
    <t>Ananth, Mahesh; Chadwick, Ruth; Davis, Michael; Lamb, David</t>
  </si>
  <si>
    <t>Hospital Politics in Seventeenth-Century France : The Crown, Urban Elites and the Poor</t>
  </si>
  <si>
    <t>McHugh, Tim; Cunningham, Dr. Andrew; Grell, Professor Ole Peter</t>
  </si>
  <si>
    <t>Improving Healthcare Team Communication : Building on Lessons from Aviation and Aerospace</t>
  </si>
  <si>
    <t>Nemeth, Christopher P, Dr</t>
  </si>
  <si>
    <t>Assisted Suicide and Euthanasia : A Natural Law Ethics Approach</t>
  </si>
  <si>
    <t>Paterson, Craig; Bowie, Professor Norman E; Sorell, Professor Tom</t>
  </si>
  <si>
    <t>Jurisdiction of Medical Law</t>
  </si>
  <si>
    <t>Veitch, Kenneth, Mr; McLean, Professor Sheila A. M.</t>
  </si>
  <si>
    <t>Objective Cardiology</t>
  </si>
  <si>
    <t>Chandra, Mahesh</t>
  </si>
  <si>
    <t>Textbook of Medical Instruments</t>
  </si>
  <si>
    <t>Ananthi, S.</t>
  </si>
  <si>
    <t>Medicine; Engineering; Engineering: Manufacturing</t>
  </si>
  <si>
    <t>Pharmaceutical Microbiology</t>
  </si>
  <si>
    <t>Engineering; Science: Biology/Natural History; Engineering: General; Science</t>
  </si>
  <si>
    <t>The Behavioral Neurology of Dementia</t>
  </si>
  <si>
    <t>Miller, Bruce L.; Boeve, Bradley F.</t>
  </si>
  <si>
    <t>Clinical Emergency Medicine Casebook</t>
  </si>
  <si>
    <t>Levis, Joel T.; Garmel, Gus M.</t>
  </si>
  <si>
    <t>Preimplantation Genetic Diagnosis</t>
  </si>
  <si>
    <t>Harper, Joyce</t>
  </si>
  <si>
    <t>Bioscience Ethics</t>
  </si>
  <si>
    <t>Pollard, Irina</t>
  </si>
  <si>
    <t>Vegetarian Myth : Food, Justice, and Sustainability</t>
  </si>
  <si>
    <t>PM Press</t>
  </si>
  <si>
    <t>Keith, Lierre</t>
  </si>
  <si>
    <t>Dead on Arrival : The Politics of Health Care in Twentieth-Century America</t>
  </si>
  <si>
    <t>Princeton University Press</t>
  </si>
  <si>
    <t>Gordon, Colin</t>
  </si>
  <si>
    <t>In the Name of the Child : A Developmental Approach to Understanding and Helping Children of Conflicted and Violent Divorce, Second Edition</t>
  </si>
  <si>
    <t>Johnston, Janet R., Dr., PhD; Roseby, Vivienne, Dr., PhD; Kuehnle, Kathryn, Dr., PhD</t>
  </si>
  <si>
    <t>Critical Care : Concepts, Role, and Practice for the Acute Care Nurse Practitioner</t>
  </si>
  <si>
    <t>Wyckoff, Mary, Dr., PhD, APRN, BC,; Houghton, Douglas, Mr., MSN, ARNP, CCRN; LePage, Carolyn Therese, PhD</t>
  </si>
  <si>
    <t>Current Perspectives on the Anxiety Disorders : Implications for DSM-V and Beyond</t>
  </si>
  <si>
    <t>Taylor, Steven, PhD, ABPP; McKay, Dean, PhD, ABPP; Abramowitz, Jonathan S., PhD, ABPP; Asmundson, Gordon J. G., PhD</t>
  </si>
  <si>
    <t>Art of Solution Focused Therapy : The Masters Speak</t>
  </si>
  <si>
    <t>Connie, Elliott, MA, LPC; Metcalf, Linda, PhD, LPC-S, LMFT-S; Metcalf, Linda; Linda Metcalf Phd, Lpc</t>
  </si>
  <si>
    <t>Cognitive-behavior Therapy for Children : Treating Complex and Refractory Cases</t>
  </si>
  <si>
    <t>McKay, Dean, PhD, ABPP; Storch, Eric A., PhD</t>
  </si>
  <si>
    <t>Violence in the Emergency Department : Tools and Strategies to Create a Violence-free ED</t>
  </si>
  <si>
    <t>Allen, Patricia B., MBA, BS, RN</t>
  </si>
  <si>
    <t>Guide to the Standard EMDR Protocols for Clinicians, Supervisors, and Consultants</t>
  </si>
  <si>
    <t>Leeds, Andrew M., PhD</t>
  </si>
  <si>
    <t>Educating Professionals : Practice Learning in Health and Social Care</t>
  </si>
  <si>
    <t>Shardlow, Steven M.; Doel, Mark</t>
  </si>
  <si>
    <t>The Engines of Hippocrates : From the Dawn of Medicine to Medical and Pharmaceutical Informatics</t>
  </si>
  <si>
    <t>Robson, Barry; Baek, O. K.; Ekins, Sean</t>
  </si>
  <si>
    <t>Radiation Safety : Protection and Management for Homeland Security and Emergency Response</t>
  </si>
  <si>
    <t>Burchfield, Larry A.</t>
  </si>
  <si>
    <t>Introduction to Syndemics : A Critical Systems Approach to Public and Community Health</t>
  </si>
  <si>
    <t>Singer, Merrill</t>
  </si>
  <si>
    <t>Safer Surgery : Analysing Behaviour in the Operating Theatre</t>
  </si>
  <si>
    <t>Mitchell, Lucy, Ms; Flin, Rhona, Professor</t>
  </si>
  <si>
    <t>Atlas of Pancreatic Cytopathology : With Histopathologic Correlations</t>
  </si>
  <si>
    <t>Ali, Syed Z; Erozan, Yener S.; Hruban, Ralph H.</t>
  </si>
  <si>
    <t>Esophageal Cancer : Principles and Practice</t>
  </si>
  <si>
    <t>Jobe, Blair A.; Charles, Thomas R.; Hunter, John G.</t>
  </si>
  <si>
    <t>Epilepsy A to Z : A Concise Encyclopedia</t>
  </si>
  <si>
    <t>Tatum, William O.; Kaplan, Peter W.; Jallon, Pierre</t>
  </si>
  <si>
    <t>Multiple Sclerosis : The Guide to Treatment and Management</t>
  </si>
  <si>
    <t>Polman, Chris H.; Thompson, Alan J.; Murray, T. Jock</t>
  </si>
  <si>
    <t>Biliary Tract and Gallbladder Cancer : Diagnosis and Therapy</t>
  </si>
  <si>
    <t>Fuller, Clifton D., MD; Thomas, Charles R., MD</t>
  </si>
  <si>
    <t>Clinical Adult Neurology</t>
  </si>
  <si>
    <t>Corey-Bloom, Jody; David, Ronold</t>
  </si>
  <si>
    <t>Multiple Sclerosis in Clinical Practice</t>
  </si>
  <si>
    <t>Holland, Nancy J., Dr., RN, EdD; Noort, Stanley Van Den, Dr., MD</t>
  </si>
  <si>
    <t>Spinal Cord Injured Patient : Comprehensive Management</t>
  </si>
  <si>
    <t>Lee, Bok Y.; Ostrander, Lee E.</t>
  </si>
  <si>
    <t>Clinical Pediatric Neurology</t>
  </si>
  <si>
    <t>David, Ronald B.</t>
  </si>
  <si>
    <t>Advanced Concepts in Multiple Sclerosis Nursing Care</t>
  </si>
  <si>
    <t>Halper, June, MSN, APN-C, MSCN, FAAN</t>
  </si>
  <si>
    <t>Headache Medicine : Questions and Answers</t>
  </si>
  <si>
    <t>Jamieson, Dara G., MD</t>
  </si>
  <si>
    <t>Dystonia Patient : A Guide to Practical Management</t>
  </si>
  <si>
    <t>Okun, Michael S</t>
  </si>
  <si>
    <t>Estate Planning : For People with a Chronic Condition or Disability</t>
  </si>
  <si>
    <t>Shenkman, Martin M.</t>
  </si>
  <si>
    <t>Stroke Recovery and Rehabilitation</t>
  </si>
  <si>
    <t>Harvey, Richard L., MD; Macko, Richard F., MD; Stein, Joel, Dr., MD; Winstein, Carolee J., PhD, PT, FAPTA; Zorowitz, Richard D., MD; Stein, Joel, MD; Stein, Joel, MD</t>
  </si>
  <si>
    <t>Populations, Public Health, and the Law</t>
  </si>
  <si>
    <t>Georgetown University Press</t>
  </si>
  <si>
    <t>Parmet, Wendy E.</t>
  </si>
  <si>
    <t>A Handbook of Bioethics Terms</t>
  </si>
  <si>
    <t>Tubbs, James B. Jr.</t>
  </si>
  <si>
    <t>Guidelines on Design and Reporting of Glaucoma Surgical Trials</t>
  </si>
  <si>
    <t>Shaarawy, T.M.; Sherwood, MB; Grehn, F</t>
  </si>
  <si>
    <t>Glaucoma Screening</t>
  </si>
  <si>
    <t>Weinreb, R.N.; Healey, P.R.; Topouzis, F.</t>
  </si>
  <si>
    <t>Brief History of Vision and Ocular Medicine</t>
  </si>
  <si>
    <t>Vogel, W.H.; Berke, A</t>
  </si>
  <si>
    <t>Art and Ophthalmology : The Impact of Eye Diseases on Painters</t>
  </si>
  <si>
    <t>Lanthony, P.; Mailer, C.</t>
  </si>
  <si>
    <t>Fine Arts; Literature</t>
  </si>
  <si>
    <t>Forensic Psychology : Concepts, Debates and Practice</t>
  </si>
  <si>
    <t>Willan Publishing</t>
  </si>
  <si>
    <t>Adler, Joanna R.</t>
  </si>
  <si>
    <t>Medicine; Health; Law</t>
  </si>
  <si>
    <t>A Clinician's Guide to Statistics and Epidemiology in Mental Health : Measuring Truth and Uncertainty</t>
  </si>
  <si>
    <t>Ghaemi, S. Nassir</t>
  </si>
  <si>
    <t>Recombinant Antibodies for Immunotherapy</t>
  </si>
  <si>
    <t>Little, Melvyn</t>
  </si>
  <si>
    <t>Fundamentals of Medical Imaging</t>
  </si>
  <si>
    <t>Suetens, Paul</t>
  </si>
  <si>
    <t>Nervous System</t>
  </si>
  <si>
    <t>Vogel, Hannes</t>
  </si>
  <si>
    <t>Patient Safety in Health Care Management : Patient Safety in Health Care Management</t>
  </si>
  <si>
    <t>Blaire, John; Fottler, Myron D.; Savage, Grant T.; Ford, Eric W.</t>
  </si>
  <si>
    <t>Patients, Consumers and Civil Society</t>
  </si>
  <si>
    <t>Chambre, Susan; Goldner, Melinda A.; Katz Rothman, Barbara</t>
  </si>
  <si>
    <t>Beyond Health Insurance : Public Policy to Improve Health</t>
  </si>
  <si>
    <t>Kaestner, Robert; Sasso, Anthony Lo; Helmchen, Lorens</t>
  </si>
  <si>
    <t>Care for Major Health Problems and Population Health Concerns : Impacts on Patients, Providers and Policy</t>
  </si>
  <si>
    <t>Kronenfeld, Jennie Jacobs</t>
  </si>
  <si>
    <t>Peripheral Nerve and Muscle Disease</t>
  </si>
  <si>
    <t>Cohen, Jeffrey A.; Mowchun, Justin; Grudem, Jon</t>
  </si>
  <si>
    <t>Fat Economics : Nutrition, Health, and Economic Policy</t>
  </si>
  <si>
    <t>Mazzocchi, Mario; Traill, W. Bruce; Shogren, Jason F.</t>
  </si>
  <si>
    <t>Retinal Detachment : Priniciples and Practice</t>
  </si>
  <si>
    <t>Brinton, Daniel A.; Wilkinson, C. P.; Hilton, George F.</t>
  </si>
  <si>
    <t>Chop Suey : A Cultural History of Chinese Food in the United States</t>
  </si>
  <si>
    <t>Coe, Andrew</t>
  </si>
  <si>
    <t>Gilson, Mark; Freeman, Sharon Morgillo; Freeman, Arthur; Morgillo, Sharon; Yates, M. Jane</t>
  </si>
  <si>
    <t>Evaluation for Risk of Violence in Adults</t>
  </si>
  <si>
    <t>Heilbrun, Kirk</t>
  </si>
  <si>
    <t>Intimate Partner Violence : A Health-Based Perspective</t>
  </si>
  <si>
    <t>Anglin, Deirdre; Mitchell, Connie</t>
  </si>
  <si>
    <t>Disinfection in Healthcare</t>
  </si>
  <si>
    <t>Hoffman, Peter; Ayliffe, Graham; Bradley, Tine</t>
  </si>
  <si>
    <t>Psychosis, Trauma and Dissociation : Emerging Perspectives on Severe Psychopathology</t>
  </si>
  <si>
    <t>Moskowitz, Andrew; Schafer, Ingo; Dorahy, Martin Justin; Dorahy, Martin Justin</t>
  </si>
  <si>
    <t>Practice Development in Nursing</t>
  </si>
  <si>
    <t>McCormack, Brendan; Manley, Kim; Garbett, Rob</t>
  </si>
  <si>
    <t>Early Detection and Management of Mental Disorders</t>
  </si>
  <si>
    <t>López-Ibor, Juan José; Sartorius, Norman; Sato, Mitsumoto; Okasha, Ahmed; Okasha, Ahmed; Lpez-Ibor, Juan Jos; La3pez-Ibor, Professor Juan Josa(c); Lopez-Ibor, Juan Jos?; Ló Pez-Ibor, Juan Jos</t>
  </si>
  <si>
    <t>Depressive Disorders</t>
  </si>
  <si>
    <t>Herrman, Helen; Sartorius, Norman; Sartorius, Norman</t>
  </si>
  <si>
    <t>ABC of Mental Health</t>
  </si>
  <si>
    <t>Davies, Teifion; Craig, Tom</t>
  </si>
  <si>
    <t>Occupational Therapy in Orthopaedics and Trauma</t>
  </si>
  <si>
    <t>Mooney, Madeleine; Ireson, Claire</t>
  </si>
  <si>
    <t>Cognitive Approaches to the Assessment of Sexual Interest in Sexual Offenders</t>
  </si>
  <si>
    <t>Thornton, David; Laws, D. Richard</t>
  </si>
  <si>
    <t>Food Hypersensitivity : Diagnosing and Managing Food Allergies and Intolerance</t>
  </si>
  <si>
    <t>Skypala, Isabel; Venter, Carina</t>
  </si>
  <si>
    <t>ECGs for Nurses</t>
  </si>
  <si>
    <t>Jevon, Philip</t>
  </si>
  <si>
    <t>11th Hour : Introduction to Neuroscience</t>
  </si>
  <si>
    <t>Chemical Food Safety : A Scientist's Perspective</t>
  </si>
  <si>
    <t>Riviere, Jim E.</t>
  </si>
  <si>
    <t>Clinical Case Formulation : Varieties of Approaches</t>
  </si>
  <si>
    <t>Sturmey, Peter</t>
  </si>
  <si>
    <t>Caring, Curing, Coping : Nurse, Physician, Patient Relationships</t>
  </si>
  <si>
    <t>University of Alabama Press</t>
  </si>
  <si>
    <t>Conference, Lynchbu; Conference , Lynchburg, Va.); Bishop, Anne H.; Scudder, John R., Jr.</t>
  </si>
  <si>
    <t>The Metal Life Car : The Inventor, the Impostor, and the Business of Lifesaving</t>
  </si>
  <si>
    <t>Buker, George E.</t>
  </si>
  <si>
    <t>Engineering; Engineering: General; Military Science</t>
  </si>
  <si>
    <t>Homicidal Insanity, 1800-1985</t>
  </si>
  <si>
    <t>Colaizzi, Janet; Rappeport, Jonas R.; Rappeport, Jonas R.</t>
  </si>
  <si>
    <t>Technical Knowledge in American Culture : Science, Technology, and Medicine since the Early 1800s</t>
  </si>
  <si>
    <t>Cravens, Hamilton; Marcus, Alan I.; Katzman, David M.; Karzman, David M.</t>
  </si>
  <si>
    <t>Social Science; Science</t>
  </si>
  <si>
    <t>Infectious Fear : Politics, Disease, and the Health Effects of Segregation</t>
  </si>
  <si>
    <t>University of North Carolina Press</t>
  </si>
  <si>
    <t>Roberts, Samuel Kelton</t>
  </si>
  <si>
    <t>If That Ever Happens to Me : Making Life and Death Decisions after Terri Schiavo</t>
  </si>
  <si>
    <t>Shepherd, Lois</t>
  </si>
  <si>
    <t>Acceptance and Commitment Therapy : Contemporary Research and Practice</t>
  </si>
  <si>
    <t>Blackledge, J.T.; Ciarrochi, Joseph; Deane, Frank</t>
  </si>
  <si>
    <t>Infants of Parents with Mental Illness : Developmental, Clinical, Cultural, and Personal Perspectives</t>
  </si>
  <si>
    <t>Cowling, Vicki; Williams, Anne Sved</t>
  </si>
  <si>
    <t>Crossfire!  How to Survive Giving Expert Evidence as a Psychologist : How to Survive Giving Expert Evidence as a Psychologist</t>
  </si>
  <si>
    <t>Stevens, Bruce</t>
  </si>
  <si>
    <t>Health; Social Science; Medicine; Law</t>
  </si>
  <si>
    <t>Walking Together, Walking Far : How a U.S. and African Medical School Partnership Is Winning the Fight against                HIV/AIDS</t>
  </si>
  <si>
    <t>Quigley, Fran</t>
  </si>
  <si>
    <t>The Scientific American Day in the Life of Your Brain : A 24 hour Journal of What's Happening in Your Brain as you Sleep, Dream, Wake Up, Eat, Work, Play, Fight, Love, Worry, Compete, Hope, Make Important Decisions, Age and Change</t>
  </si>
  <si>
    <t>Scientific American Staff; Horstman, Judith; American, Scientific; Lastscientific American,</t>
  </si>
  <si>
    <t>Histological Analysis of Endocrine Disruptive Effects in Small Laboratory Fish</t>
  </si>
  <si>
    <t>Dietrich, Daniel; Krieger, Heiko O.; Rumpf, S.; Segner, Helmut; Wester, P.; Fournie, John W.; Wolf, J.J.; Van Der Ven, L.; Gimeno, Sylvia</t>
  </si>
  <si>
    <t>Glutathione and Sulfur Amino Acids in Human Health and Disease</t>
  </si>
  <si>
    <t>Masella, Roberta; Mazza, Giuseppe</t>
  </si>
  <si>
    <t>Introduction to Occupational Health in Public Health Practice</t>
  </si>
  <si>
    <t>Healey, Bernard J.; Walker, Kenneth T.</t>
  </si>
  <si>
    <t>A Practical Guide to Autism : What Every Parent, Family Member, and Teacher Needs to Know</t>
  </si>
  <si>
    <t>Volkmar, Fred R.; Wiesner, Lisa A.; Wiesner, Lisa A.</t>
  </si>
  <si>
    <t>Design, Execution, and Management of Medical Device Clinical Trials</t>
  </si>
  <si>
    <t>Abdel-aleem, Salah; Abdel-aleem, Salah</t>
  </si>
  <si>
    <t>Manual of Perioperative Care in Adult Cardiac Surgery</t>
  </si>
  <si>
    <t>Bojar, Robert M.</t>
  </si>
  <si>
    <t>Improving Health Through Nursing Research</t>
  </si>
  <si>
    <t>Holzemer, William L.</t>
  </si>
  <si>
    <t>Molecular Pathology in Drug Discovery and Development</t>
  </si>
  <si>
    <t>Platero, J. Suso</t>
  </si>
  <si>
    <t>Building the Knowledge Base on the Social Determinants of Health : Review of Seven Countries in the Eastern Mediterranean Region</t>
  </si>
  <si>
    <t>EMRO</t>
  </si>
  <si>
    <t>Social Science; Engineering; Health; Engineering: General</t>
  </si>
  <si>
    <t>Implementing the WHO Stop TB Strategy : A Handbook for National Tuberculosis Control Programmes</t>
  </si>
  <si>
    <t>Piot, A.</t>
  </si>
  <si>
    <t>Operational Guidelines for the Management of Opioid Dependence in the South-East Asia Region : SEARO Nonserial Publication</t>
  </si>
  <si>
    <t>SEARO</t>
  </si>
  <si>
    <t>Framework for Implementing Integrated Vector Management at District Level in the South-East Asia Region : A Step-by-step Approach</t>
  </si>
  <si>
    <t>Safe, Voluntary, Informed Male Circumcision and Comprehensive HIV Prevention Programming : Guidance for Decision-makers on Human Rights, Ethical and Legal Considerations</t>
  </si>
  <si>
    <t>Far Away from Home Club : HIV Prevention and Policy Implementation Feedback for Migrant and Mobile Populations in the Mekong River Delta, Viet Nam</t>
  </si>
  <si>
    <t>UNAIDS : The First Ten Years</t>
  </si>
  <si>
    <t>UNAIDS Legal and Regulatory Self-Assessment Tool for Male Circumcision in sub-Saharan Africa</t>
  </si>
  <si>
    <t>UNAIDS; World Health Organization,</t>
  </si>
  <si>
    <t>Prévenir l'épuisement des dispensateurs de soins : Inter-Mission Care and Rehabilitation Society (IMCARES)</t>
  </si>
  <si>
    <t>Consideraciones éticas en los ensayos biomédicos de prevención del VIH : Documento de orientación del ONUSIDA/OMS</t>
  </si>
  <si>
    <t>Prevención del desgaste del cuidador : Inter-Mission Care and Rehabilitation Society (IMCARES)</t>
  </si>
  <si>
    <t>Engineering: General; Health; Social Science; Engineering</t>
  </si>
  <si>
    <t>Règlement sanitaire international (2005)</t>
  </si>
  <si>
    <t>Reglamento sanitario internacional (2005)</t>
  </si>
  <si>
    <t>Health Targets in Europe : Learning from Experience</t>
  </si>
  <si>
    <t>Wismar, M.; McKee, M.; Ernst, K.</t>
  </si>
  <si>
    <t>2-Butenal : Concise International Chemical Assessment Document, No 74</t>
  </si>
  <si>
    <t>Human Rights Health and Poverty Reduction Strategies : Health and Human Rights Publications Series  No. 5</t>
  </si>
  <si>
    <t>Scientific Basis of Tobacco Product Regulation : Second Report of a WHO Study Group Technical Report Series, No 951</t>
  </si>
  <si>
    <t>Social Science; Literature; Health</t>
  </si>
  <si>
    <t>Global Response to Elder Abuse and Neglect : Building Primary Health Care Capacity to Deal with the Problem Worldwide, Main Report</t>
  </si>
  <si>
    <t>WHO Child Growth Standards : Growth Velocity based on Weight Length and Head Circumference - Methods and Development</t>
  </si>
  <si>
    <t>Rapport sur la santé dans le monde 2008 : Les soins de santé primaires - maintenant plus que jamais</t>
  </si>
  <si>
    <t>World Health Organization; World Health Organization, ; World Health Organization,</t>
  </si>
  <si>
    <t>Manuel de gestion, maintenance et utilisation du matériel de la chaîne du froid pour le sang</t>
  </si>
  <si>
    <t>Personnes âgées et les urgences dans la perspective d'un vieillissement actif</t>
  </si>
  <si>
    <t>HIV/AIDS Care and Treatment for People Who Inject Drugs in Asia and the Pacific : An Essential Practice Guide</t>
  </si>
  <si>
    <t>WPRO</t>
  </si>
  <si>
    <t>Revised Framework to Address TB-HIV Co-infection in the Western Pacific Region</t>
  </si>
  <si>
    <t>Person-Centred Therapy : A European Perspective</t>
  </si>
  <si>
    <t>Thorne, Brian; Lambers, Elke</t>
  </si>
  <si>
    <t>Existential Thought and Therapeutic Practice : An Introduction to Existential Psychotherapy</t>
  </si>
  <si>
    <t>Cohn, Hans W</t>
  </si>
  <si>
    <t>Developments in Psychotherapy : Historical Perspectives</t>
  </si>
  <si>
    <t>Dryden, Windy</t>
  </si>
  <si>
    <t>Research in Counselling and Psychotherapy : Practical Applications</t>
  </si>
  <si>
    <t>Introduction to Psychopathology</t>
  </si>
  <si>
    <t>Lemma, Alessandra</t>
  </si>
  <si>
    <t>The Mirror and the Hammer</t>
  </si>
  <si>
    <t>Spinelli, Ernesto</t>
  </si>
  <si>
    <t>Wilkins, Paul</t>
  </si>
  <si>
    <t>Advances in Diagnostic and Therapeutic Ultrasound Imaging</t>
  </si>
  <si>
    <t>Suri, Jasjit S.; Chang, Ruey-Feng; Kathuria, Chirinjeev</t>
  </si>
  <si>
    <t>Micro and Nanoengineering of the Cell Microenvironment : Technologies and Applications</t>
  </si>
  <si>
    <t>Khademhosseini, Ali; Borenstein, Jeffrey; Toner, Mehmet</t>
  </si>
  <si>
    <t>Image Modeling of the Human Eye</t>
  </si>
  <si>
    <t>Acharya, Rajendra; Ng, Eddie Y.K.; Suri, Jasjit S.</t>
  </si>
  <si>
    <t>Microscopic Image Analysis for Life Science Applications</t>
  </si>
  <si>
    <t>Rittscher, Jens; Machiraju, Raghu; Wong, Stephen T.C.</t>
  </si>
  <si>
    <t>Systems Engineering Approach to Medical Automation</t>
  </si>
  <si>
    <t>Felder, Robin; Alwan, Majd; Zhang, Mingjun</t>
  </si>
  <si>
    <t>Inorganic Nanoprobes for Biological Sensing and Imaging</t>
  </si>
  <si>
    <t>Mattoussi, Hedi; Cheon, Jinwoo</t>
  </si>
  <si>
    <t>Translational Multimodality Optical Imaging</t>
  </si>
  <si>
    <t>Azar, Fred S.; Intes, Xavier</t>
  </si>
  <si>
    <t>Advances in Photodynamic Therapy : Basic, Translational and Clinical</t>
  </si>
  <si>
    <t>Hamblin, Michael; Mroz, Pawel</t>
  </si>
  <si>
    <t>Quantitative EEG Analysis Methods and Applications</t>
  </si>
  <si>
    <t>Tong, Shanbao; Thankor, Nitish V.</t>
  </si>
  <si>
    <t>Adaptive Phased Array Thermotherapy for Cancer</t>
  </si>
  <si>
    <t>Fenn, Alan J.</t>
  </si>
  <si>
    <t>Nanoreactor Engineering for Life Sciences and Medicine</t>
  </si>
  <si>
    <t>Landfester, Katharina; Sridar, Lakshmi; Ostafin, Agnes</t>
  </si>
  <si>
    <t>The Modern Art of Dying : A History of Euthanasia in the United States</t>
  </si>
  <si>
    <t>Lavi, Shai J.; Lavi, Shai J. J.</t>
  </si>
  <si>
    <t>Public Policy &amp; the Challenge of Chronic Noncommunicable Diseases</t>
  </si>
  <si>
    <t>World Bank Publications</t>
  </si>
  <si>
    <t>The World Bank</t>
  </si>
  <si>
    <t>Adeyi, Olusoji; Smith, Owen; Robles, Sylvia</t>
  </si>
  <si>
    <t>Preventing HIV/AIDS in the Middle East and North Africa : A Window of Opportunity to Act</t>
  </si>
  <si>
    <t>Akala, Francisca Ayodeji; Jenkins, Carol</t>
  </si>
  <si>
    <t>Are You Being Served? : New Tools for Measuring Service Delivery</t>
  </si>
  <si>
    <t>Amin, Samia; Das, Jishnu; Goldstein, Markus P.</t>
  </si>
  <si>
    <t>Clearing the Global Health Fog : A Systematic Review of the Evidence on Integration of Health Systems and Targeted Interventions</t>
  </si>
  <si>
    <t>Atun, Rifat; de Jongh, Thyra; Secca, Federica V.; Ohiri, Kelechi; World Bank,</t>
  </si>
  <si>
    <t>Beyond Survival : Protecting Households from Health Shocks in Latin America</t>
  </si>
  <si>
    <t>Baeza, Cristian C.; Packard, Truman G.; Montenegro-Torres, Fernardo</t>
  </si>
  <si>
    <t>International Trade in Health Services and the GATS : Current Issues and Debates</t>
  </si>
  <si>
    <t>Blouin, Chantal; Drager, Nick; Smith., Richard</t>
  </si>
  <si>
    <t>Disease and Mortality in Sub-Saharan Africa</t>
  </si>
  <si>
    <t>Bos, Eduard R.; Jamison, T.; Baingana, Florence; Feacham, Richard G. A.; Makgoba, Malegapuru; Hofman, Karen J.; Rogo, Hama O.</t>
  </si>
  <si>
    <t>Courage and Hope : Stories from Teachers Living with HIV in Sub-Saharan Africa</t>
  </si>
  <si>
    <t>Bundy, Donald; Aduda, David; Woolnough, Alice; Manda, Stella; Drake, Lesley</t>
  </si>
  <si>
    <t>Counting on Communication : The Uganda Nutrition and Early Childhood Development Project</t>
  </si>
  <si>
    <t>Cabañero-Verzosa, Cecilia</t>
  </si>
  <si>
    <t>Reproductive Health, The Missing Millennium Development Goal : Poverty, Health, and Development in a Changing World</t>
  </si>
  <si>
    <t>Campbell-White, Arlette; Merrick, Thomas W.; Yazbeck, Abdo S.</t>
  </si>
  <si>
    <t>Health Care Spending in the New EU Member States : Controlling Costs and Improving Quality</t>
  </si>
  <si>
    <t>Chawla, Mukesh</t>
  </si>
  <si>
    <t>Health; Economics; Business/Management; Social Science</t>
  </si>
  <si>
    <t>Working in Health : Financing and Managing the Public Sector Health Workforce</t>
  </si>
  <si>
    <t>Ellis, Amanda; Ohiri, Kelechi; Sparkes, Susan; World Bank,</t>
  </si>
  <si>
    <t>World Congress on Communication for Development : Lessons, Challenges, and the Way Forward</t>
  </si>
  <si>
    <t>FAO; World Bank; World Bank Group,</t>
  </si>
  <si>
    <t>Legal Aspects of HIV/AIDS : A Guide for Policy and Law Reform</t>
  </si>
  <si>
    <t>Gable, Lance; Gamharter, Katharina; Gostin, Lawrence O.; Hodge, James G. , Jr.; Puymbroeck, Rudolf V.Van</t>
  </si>
  <si>
    <t>Achieving Better Service Delivery Through Decentralization in Ethiopia</t>
  </si>
  <si>
    <t>Garcia, Marito; Rajkumar, Andrew Sunil</t>
  </si>
  <si>
    <t>Political Science</t>
  </si>
  <si>
    <t>Stopping Tuberculosis in Central Asia : Priorities for Action</t>
  </si>
  <si>
    <t>Godinho, Joana; Veen, Jaap; Cercone, James; Pacheco, Jose; Dara, Masoud</t>
  </si>
  <si>
    <t>HIV/AIDS in the Western Balkans : Priorities for Early Prevention in a High-Risk Environment</t>
  </si>
  <si>
    <t>Godinho, Joana; Eckertz, Dorothee; Jaganjac, Nedim; Renton, Adrian; Novotny, Thomas; Garbus, Lisa</t>
  </si>
  <si>
    <t>Reversing the Tide : Priorities for HIV/AIDS Prevention in Central Asia</t>
  </si>
  <si>
    <t>Godinho, Joana; Renton, Adrian; Vinogradov, Viatcheslav</t>
  </si>
  <si>
    <t>Health Financing Revisited : A Practitioner's Guide</t>
  </si>
  <si>
    <t>Gottret, Pablo; Schieber, George</t>
  </si>
  <si>
    <t>Good Practices in Health Financing : Lessons from Reforms in Low and Middle-Income Countries</t>
  </si>
  <si>
    <t>Gottret, Pablo; Schieber, George; Waters, Hugh</t>
  </si>
  <si>
    <t>Accounting for Infrastructure Regulation : An Introduction</t>
  </si>
  <si>
    <t>Groom, Eric; Rapti, Richard Schlirf; Groom, Eric</t>
  </si>
  <si>
    <t>Reaching the Poor with Health, Nutrition, and Population Services : What Works, What Doesn't, and Why</t>
  </si>
  <si>
    <t>Gwatkin, Davidson R.; Wagstaff, Adam; Yazbeck, Abdo S.</t>
  </si>
  <si>
    <t>HIV and AIDS in South Asia : An Economic Development Risk</t>
  </si>
  <si>
    <t>Haacker, Markus; Claeson, Mariam; Claeson, Mariam</t>
  </si>
  <si>
    <t>Priorities in Health : Disease Control Priorities Companion Volume</t>
  </si>
  <si>
    <t>Jamison, Dean T.; Breman, Joel G.; Measham, Anthony R; Alleyne, George; Claeson, Mariam; Evans, David B.; Jha, Prabhat; Mills, Anne; Musgrove, Philip</t>
  </si>
  <si>
    <t>Health System Innovations in Central America : Lessons and Impact of New Approaches</t>
  </si>
  <si>
    <t>La Forgia, Gerard M.</t>
  </si>
  <si>
    <t>Hospital Performance in Brazil : The Search for Excellence</t>
  </si>
  <si>
    <t>La Forgia, Gerard M.; Couttolenc, Bernard F.</t>
  </si>
  <si>
    <t>Designing and Implementing Health Care Provider Payment Systems : How-to Manuals</t>
  </si>
  <si>
    <t>Langenbrunner, John C.; Cashin, Cheryl S.; O'Dougherty, Sheila</t>
  </si>
  <si>
    <t>Taking the Measure of the World Bank-IFC Doing Business Indicators : Performance-Based Contracting for Health Services in Developing Countries - A Toolkit</t>
  </si>
  <si>
    <t>Loevinsohn, Benjamin</t>
  </si>
  <si>
    <t>Global Burden of Disease and Risk Factors</t>
  </si>
  <si>
    <t>Lopez, Alan D.; Mathers, Colin D.; Ezzati, Majid; Jamison, Dean T.; Murray, Christopher J. L.</t>
  </si>
  <si>
    <t>Changing HIV/AIDS Landscape : Selected Papers for The World Bank's Agenda for Action in Africa, 2007-2011</t>
  </si>
  <si>
    <t>Seifman, Richard M.; Lule, Elizabeth L.; David, Antonio C.; David, Antonio C.</t>
  </si>
  <si>
    <t>Economic Implications of Chronic Illness and Disability in Eastern Europe and Former Soviet Union</t>
  </si>
  <si>
    <t>Mete, Cem</t>
  </si>
  <si>
    <t>Innovation, Inclusion, and Integration : From Transition to Convergence in Eastern Europe and the Former Soviet Union</t>
  </si>
  <si>
    <t>Mitra, Pradeep</t>
  </si>
  <si>
    <t>Social Science; Health; Business/Management</t>
  </si>
  <si>
    <t>AIDS in South Asia : Understanding and Responding to a Heterogenous Epidemic</t>
  </si>
  <si>
    <t>Moses, Stephen; Blanchard, James; Kang, Han</t>
  </si>
  <si>
    <t>Establishing Private Health Care Facilities in Developing Countries : A Guide for Medical Entrepreneurs</t>
  </si>
  <si>
    <t>Nah, Seung-Hee; Osifo-Dawodu, Egbe</t>
  </si>
  <si>
    <t>Education Inputs in Uganda : An Analysis of Factors Influencing Learning Achievement in Grade Six</t>
  </si>
  <si>
    <t>Nannyonjo, Harriet</t>
  </si>
  <si>
    <t>Analyzing Health Equity Using Household Survey Data : A Guide to Techniques and Their Implementation</t>
  </si>
  <si>
    <t>O'Donnell, Owen; Van Doorslaer, Eddy; Wagstaf, Adam; Lindelow, Magnus</t>
  </si>
  <si>
    <t>Improving Access to HIV/AIDS Medicines in Africa : Assessment of Trade-related Aspects of Intellectual Property Rights (TRIPS) Flexibilities Utilization</t>
  </si>
  <si>
    <t>Osewe, Patrick Lumumba; Nkrumah, Yvonne Korkoi; Sackey, Emmanuel</t>
  </si>
  <si>
    <t>Improving Health Service Delivery in Developing Countries : From Evidence to Action</t>
  </si>
  <si>
    <t>Peters, David H.; El-Saharty, Sameh; Siadat, Banafsheh; Janovsky, Katja; Vujicic, Marko</t>
  </si>
  <si>
    <t>Zambia Health Sector Public Expenditure Review : Accounting for Resources to Improve Effective Service Coverage</t>
  </si>
  <si>
    <t>Picazo, Oscar; Zhao, Feng</t>
  </si>
  <si>
    <t>Public Ends, Private Means : Strategic Purchasing of Health Services</t>
  </si>
  <si>
    <t>Preker, Alexander S.; Liu, Xingzhu; Velenyi, Edit V.</t>
  </si>
  <si>
    <t>Economics; Business/Management; Health; Social Science</t>
  </si>
  <si>
    <t>Economics of Effective AIDS Treatment : Evaluating Policy Options for Thailand</t>
  </si>
  <si>
    <t>Revenga, Ana; Over, Mead; Peerapatanapokin, Wiwat</t>
  </si>
  <si>
    <t>Female Genital Cutting, Women's Health, and Development : The Role of the World Bank</t>
  </si>
  <si>
    <t>Rogo, Khama; Subayi, Tshiya; Toubia, Nahid; Sharief, Eiman Hussein</t>
  </si>
  <si>
    <t>Governing Mandatory Health Insurance : Learning from Experience</t>
  </si>
  <si>
    <t>Savedoff, William D.; Gottret, Pablo E.</t>
  </si>
  <si>
    <t>Health and Growth</t>
  </si>
  <si>
    <t>Spence, Michael; Lewis, Maureen A.</t>
  </si>
  <si>
    <t>Health; Social Science; Business/Management; Economics</t>
  </si>
  <si>
    <t>Sourcebook of HIV/AIDS Prevention Programs, 2 : Education Sector-Wide Approaches</t>
  </si>
  <si>
    <t>Valerio, Alexandria; Bundy, Donald A.P.; Beasley, Michael</t>
  </si>
  <si>
    <t>Reforming China's Rural Health System</t>
  </si>
  <si>
    <t>Wagstaff, Adam; Wang, Shiyong; Lindelow, Magnus; Zhang, Shuo</t>
  </si>
  <si>
    <t>Health Financing and Delivery in Vietnam : Looking Forward</t>
  </si>
  <si>
    <t>Wagstaff, Adam; Lieberman, Samauel S.</t>
  </si>
  <si>
    <t>Maintaining Momentum to 2015? : An Impact Evaluation of Interventions to Improve Maternal and Child Health and Nutrition in Bangladesh</t>
  </si>
  <si>
    <t>White, Howard</t>
  </si>
  <si>
    <t>Review of Health Sector Aid Financing to Somalia</t>
  </si>
  <si>
    <t>World Bank; Naidu, Veni; Naidu, Veni</t>
  </si>
  <si>
    <t>Health; Social Science; Economics; Business/Management</t>
  </si>
  <si>
    <t>Strategic Directions for Human Development in Papua New Guinea</t>
  </si>
  <si>
    <t>World Bank; Australian Agency for International Development; World Bank Publications</t>
  </si>
  <si>
    <t>Improving Effectiveness and Outcomes for the Poor in Health, Nutrition, and Population : An Evaluation of World Bank Group Support Since 1997</t>
  </si>
  <si>
    <t>World Bank; Ainsworth, Martha</t>
  </si>
  <si>
    <t>Environmental Health and Child Survival : Epidemiology, Economics, Experiences</t>
  </si>
  <si>
    <t>World Bank</t>
  </si>
  <si>
    <t>World Bank's Commitment to HIV/AIDS in Africa : Our Agenda for Action, 2007-2011</t>
  </si>
  <si>
    <t>World Development Report 2009 : Reshaping Economic Geography</t>
  </si>
  <si>
    <t>World Bank; World Bank, Bank</t>
  </si>
  <si>
    <t>Africa Multi-Country AIDS Program 2000-2006 : Results of the World Bank's Response to a Development Crisis</t>
  </si>
  <si>
    <t>World Bank; Mohammad, Nadeem; Blankhart, David</t>
  </si>
  <si>
    <t>Rolling Back Malaria : The World Bank Global Strategy &amp; Booster Program</t>
  </si>
  <si>
    <t>Healthy Development : The World Bank Strategy for Health, Nutrition, and Population Results</t>
  </si>
  <si>
    <t>Intensifying the Fight Against Malaria : The World Bank's Booster Program for Malaria Control in Africa</t>
  </si>
  <si>
    <t>Disease Control Priorities in Developing Countries</t>
  </si>
  <si>
    <t>World Bank; Jamison, Dean T.; Alleyne, George</t>
  </si>
  <si>
    <t>Nutritional Failure in Ecuador</t>
  </si>
  <si>
    <t>Strengthening the Education Sector Response to HIV &amp; AIDS in the Caribbean</t>
  </si>
  <si>
    <t>Little Book on External Debt 2007</t>
  </si>
  <si>
    <t>Attacking Inequality in the Health Sector : A Synthesis of Evidence and Tools</t>
  </si>
  <si>
    <t>Yazbeck, Abdo S.</t>
  </si>
  <si>
    <t>Delhi Psychiatry Journal, 12-1</t>
  </si>
  <si>
    <t>Bhatia, M.S.</t>
  </si>
  <si>
    <t>Hormones, Cognition and Dementia : State of the Art and Emergent Therapeutic Strategies</t>
  </si>
  <si>
    <t>Hogervorst, Eef; Henderson, Victor W.; Gibbs, Robert B.; Diaz Brinton, Roberta</t>
  </si>
  <si>
    <t>Best Practice in Labour and Delivery</t>
  </si>
  <si>
    <t>Warren, Richard; Arulkumaran, Sabaratnam</t>
  </si>
  <si>
    <t>Successful Societies : How Institutions and Culture Affect Health</t>
  </si>
  <si>
    <t>Hall, Peter A.; Lamont, Michèle</t>
  </si>
  <si>
    <t>The Governance of Genetic Information : Who Decides?</t>
  </si>
  <si>
    <t>Widdows, Heather; Mullen, Caroline</t>
  </si>
  <si>
    <t>Hair Transplantation</t>
  </si>
  <si>
    <t>Avram, Marc R.; Rogers, Nicole E.</t>
  </si>
  <si>
    <t>Nutritional Strategies for the Very Low Birthweight Infant</t>
  </si>
  <si>
    <t>Adamkin, David H.</t>
  </si>
  <si>
    <t>Neurocritical Care</t>
  </si>
  <si>
    <t>Torbey, Michel T.</t>
  </si>
  <si>
    <t>Mine Health &amp; Safety Management</t>
  </si>
  <si>
    <t>SME</t>
  </si>
  <si>
    <t>Karmis, Michael</t>
  </si>
  <si>
    <t>Self-Management of Depression : A Manual for Mental Health and Primary Care Professionals</t>
  </si>
  <si>
    <t>Yeung, Albert; Feldman, Greg; Fava, Maurizio</t>
  </si>
  <si>
    <t>The Neuropsychology of Mental Illness</t>
  </si>
  <si>
    <t>Wood, Stephen J.; Allen, Nicholas B.; Pantelis, Christos</t>
  </si>
  <si>
    <t>Cancer Pain : Assessment and Management</t>
  </si>
  <si>
    <t>Bruera, Eduardo D.; Portenoy, Russell K.</t>
  </si>
  <si>
    <t>Hard-Earned Lessons from Counselling in Action</t>
  </si>
  <si>
    <t>Sanitation Hygiene and Drinking-water in the Pacific Island Countries : Converting Commitment into Action</t>
  </si>
  <si>
    <t>Management of Common Health Problems of Drug Users</t>
  </si>
  <si>
    <t>Older Persons in Emergencies : An Active Ageing Perspective</t>
  </si>
  <si>
    <t>Sexual and Reproductive Health : Research and Action in Support of the Millennium Development Goals, Report 2006-2007</t>
  </si>
  <si>
    <t>Health Situation in the South-East Asia Region, 2001-2007 : 2001-2007</t>
  </si>
  <si>
    <t>Third Ten Years of the World Health Organization, 1968-1977 : 1968-1978</t>
  </si>
  <si>
    <t>Methods in Social Neuroscience</t>
  </si>
  <si>
    <t>Harmon-Jones, Eddie; Beer, Jennifer S.; Harmon-Jones, Eddie</t>
  </si>
  <si>
    <t>Health Insurance Resources : A Guide for People with Chronic Disease and Disability</t>
  </si>
  <si>
    <t>Cooper, Stephen; Calder, Kimberly; Northrop, Dorothy</t>
  </si>
  <si>
    <t>Living with Progressive Multiple Sclerosis : Overcoming the Challenges</t>
  </si>
  <si>
    <t>Coyle, Patricia; Halper, June</t>
  </si>
  <si>
    <t>Multiple Sclerosis : Your Legal Rights</t>
  </si>
  <si>
    <t>Perkins, Sara; Perkins, Lanny</t>
  </si>
  <si>
    <t>Manual of Nerve Conduction Studies</t>
  </si>
  <si>
    <t>Prahlow, Nathan; Prahlow, Nathan D.</t>
  </si>
  <si>
    <t>Children with Developmental and Sensory Processing Difficulties : A Step-by-Step Resource</t>
  </si>
  <si>
    <t>Brownlee, Fiona; Munro, Lindsay; Nolan, Aisling</t>
  </si>
  <si>
    <t>Decision-Making, Personhood, and Dementia : Exploring the Interface</t>
  </si>
  <si>
    <t>Baldwin, Clive; Donnelly, Sinead; Downs, Murna; Gillett, Grant; Hall, Margaret; Harrigan, MaryLou; Hulko, Wendy; Keady, John; O'Connor, Deborah; Purves, Barbara</t>
  </si>
  <si>
    <t>Activities for Adults with Learning Disabilities : Having Fun, Meeting Needs</t>
  </si>
  <si>
    <t>Sonnet, Helen; Taylor, Ann</t>
  </si>
  <si>
    <t>Safeguarding Children in Primary Health Care</t>
  </si>
  <si>
    <t>Cantrell, Jane; Claveirole, Anne; Elliott, Lawrie; Feather, Jacqueline S.; Ferguson, Lindsay; Freeman, Ruth; Jones, Martyn; Taylor, Julie; Themessl-Huber, Markus; Daniel, Brigid</t>
  </si>
  <si>
    <t>Using Expressive Arts to Work with the Mind, Body and Emotions : Theory and Practice</t>
  </si>
  <si>
    <t>Pearson, Mark; Wilson, Helen</t>
  </si>
  <si>
    <t>The Imprinted Brain : How Genes Set the Balance Between Autism and Psychosis</t>
  </si>
  <si>
    <t>Badcock, Christopher</t>
  </si>
  <si>
    <t>Effective Communication : A Workbook for Social Care Workers</t>
  </si>
  <si>
    <t>Collins, Suzan</t>
  </si>
  <si>
    <t>Health and Safety : A Workbook for Social Care Workers</t>
  </si>
  <si>
    <t>Exploring the Self Through Photography : Activities for Use in Group Work</t>
  </si>
  <si>
    <t>Craig, Claire</t>
  </si>
  <si>
    <t>Just Care : Restorative Justice Approaches to Working with Children in Public Care</t>
  </si>
  <si>
    <t>Hopkins, Belinda; Stanley, Jonathan</t>
  </si>
  <si>
    <t>Play for Sick Children : Play Specialists in Hospitals and Beyond</t>
  </si>
  <si>
    <t>Hubbuck, Catherine</t>
  </si>
  <si>
    <t>Coach Yourself Through the Autism Spectrum</t>
  </si>
  <si>
    <t>Schroeder, Ruth Knott; Miller, Linda</t>
  </si>
  <si>
    <t>Practical Behaviour Management Solutions for Children and Teens with Autism : The 5P Approach</t>
  </si>
  <si>
    <t>Miller, Linda</t>
  </si>
  <si>
    <t>Transforming Tales : How Stories Can Change People</t>
  </si>
  <si>
    <t>Parkinson, Rob</t>
  </si>
  <si>
    <t>A Short Introduction to Attachment and Attachment Disorder</t>
  </si>
  <si>
    <t>Pearce, Colby</t>
  </si>
  <si>
    <t>Can the World Afford Autistic Spectrum Disorder? : Nonverbal Communication, Asperger Syndrome and the Interbrain</t>
  </si>
  <si>
    <t>Telling Tales about Dementia : Experiences of Caring</t>
  </si>
  <si>
    <t>Bayliss, Brian; Brown, Pat; Chester, Gail; Clarke, Rosemary; Dartington, Tim; Davies, Jenny; Dixey, Rachael; Duncan, Marilyn; Fray, Peggy; Whitman, Lucy</t>
  </si>
  <si>
    <t>Five Kohutian Postulates : Psychotherapy Theory from an Empathic Perspective</t>
  </si>
  <si>
    <t>Jason Aronson, Inc.</t>
  </si>
  <si>
    <t>Lee, Ronald R.; Rountree, Angie; McMahon, Sally</t>
  </si>
  <si>
    <t>Disease in Babylonia : Disease in Babylonia</t>
  </si>
  <si>
    <t>Finkel, Irving L.; Geller, M.J.</t>
  </si>
  <si>
    <t>Communities and Crisis : Bologna During the Black Death</t>
  </si>
  <si>
    <t>Wray, Shona Kelly</t>
  </si>
  <si>
    <t>Anglo-Saxon Prognostics, 900-1100 : Study and Texts</t>
  </si>
  <si>
    <t>Chardonnens, Sándor</t>
  </si>
  <si>
    <t>Philosophy; Literature</t>
  </si>
  <si>
    <t>The Hippocratic Treatise on Glands : Edited and Translated with Introduction and Commentary</t>
  </si>
  <si>
    <t>Craik, Elizabeth M.</t>
  </si>
  <si>
    <t>Fatal Thirst : Diabetes in Britain until Insulin</t>
  </si>
  <si>
    <t>Furdell, Elizabeth Lane</t>
  </si>
  <si>
    <t>Dispensatory of Ibn At-Tilmiḏ : Arabic Text, English Translation, Study and Glossaries</t>
  </si>
  <si>
    <t>Ibn al-Tilmi¯dh, Hibat Alla¯h ibn S?a¯?id; Kahl, Oliver</t>
  </si>
  <si>
    <t>Sabar Ibn Sahl's Dispensatory in the Recension of the 'Adudi Hospital</t>
  </si>
  <si>
    <t>Sa¯bu¯r ibn Sahl.; Kahl, Oliver</t>
  </si>
  <si>
    <t>Political Economy of Health Care in Senegal : Political Economy of Health Care in Senegal</t>
  </si>
  <si>
    <t>Keita, Maghan</t>
  </si>
  <si>
    <t>Genomics and Public Health : Legal and Socio-Ethical Perspectives</t>
  </si>
  <si>
    <t>Knoppers, Bartha Maria</t>
  </si>
  <si>
    <t>The Intersection of International Law, Agricultural Biotechnology, and Infectious Disease</t>
  </si>
  <si>
    <t>Mariani, Meredith T.</t>
  </si>
  <si>
    <t>Annals of the Caliphs' Kitchens : Ibn Sayyar Al-Warraq's Tenth-Century Baghdadi Cookbook</t>
  </si>
  <si>
    <t>Ibn Sayya¯r al-Warra¯q, al-Muz?affar ibn Nas?r; Nasrallah, Nawal; O¨hrnberg, Kaj; Muru¯wah, Sah?ba¯n</t>
  </si>
  <si>
    <t>Neurosis and Modernity : The Age of Nervousness in Sweden</t>
  </si>
  <si>
    <t>Pietikainen, Petteri</t>
  </si>
  <si>
    <t>Reading the Human Body : Physiognomics and Astrology in the Dead Sea Scrolls and Hellenistic-Early Roman Period Judaism</t>
  </si>
  <si>
    <t>Popovic, Mladen</t>
  </si>
  <si>
    <t>Soundings in Tibetan Medicine : Anthropological and Historical Perspectives</t>
  </si>
  <si>
    <t>Schrempf, Mona</t>
  </si>
  <si>
    <t>Hippocratic Recipes : Oral and Written Transmission of Pharmacological Knowledge in Fifth-and Fourth-Century Greece</t>
  </si>
  <si>
    <t>Totelin, Laurence M. V.</t>
  </si>
  <si>
    <t>Essential Evidence : Medicine That Matters</t>
  </si>
  <si>
    <t>Slawson, David; Shaughnessy, Allen; Ebell, Mark; Barry, Henry</t>
  </si>
  <si>
    <t>Multivariate and Probabilistic Analyses of Sensory Science Problems</t>
  </si>
  <si>
    <t>Xiong, Rui; Findlay, Christopher; Meullenet, Jean-François</t>
  </si>
  <si>
    <t>Financial Management of Health Care Organizations : An Introduction to Fundamental Tools, Concepts and Applications</t>
  </si>
  <si>
    <t>Zelman, William N.; McCue, Michael J.; Glick, Noah D.; John Wiley &amp; Sons, Wiley &amp; Sons; Lastzelman,; Lastmccue,; Lastglick,; Zelman, William N; McCue, Michael J; Glick, Noah D</t>
  </si>
  <si>
    <t>Analytical Method Validation and Instrument Performance Verification</t>
  </si>
  <si>
    <t>Chan, Chung Chow; Lam, Herman; Lee, Y. C.; Chan, Tze-Fun; Zhang, Xue-Ming; Zhang, Xueming</t>
  </si>
  <si>
    <t>Water Activity in Foods : Fundamentals and Applications</t>
  </si>
  <si>
    <t>Barbosa-CÃ¡novas, Gustavo V.; Fontana, Anthony J., Jr.; Schmidt, Shelly J.; Barbosa-Cánovas, Gustavo V.; Labuza, Theodore P.</t>
  </si>
  <si>
    <t>Chronic Pain For Dummies</t>
  </si>
  <si>
    <t>Kassan, Stuart; Vierck, Charles J.; Vierck, Elizabeth</t>
  </si>
  <si>
    <t>Carbohydrate-Based Vaccines and Immunotherapies</t>
  </si>
  <si>
    <t>Boons, Geert-Jan; Guo, Zhongwu; Boons, Geert-Jan; Boons, Geert-Jan</t>
  </si>
  <si>
    <t>Practical Periodontal Diagnosis and Treatment Planning</t>
  </si>
  <si>
    <t>Dibart, Serge; Dietrich, Thomas</t>
  </si>
  <si>
    <t>Pharmaceutical Data Mining : Approaches and Applications for Drug Discovery</t>
  </si>
  <si>
    <t>Balakin, Konstantin V.; Ekins, Sean</t>
  </si>
  <si>
    <t>Chemometric Methods in Capillary Electrophoresis</t>
  </si>
  <si>
    <t>Hanrahan, Grady; Gomez, Frank A.</t>
  </si>
  <si>
    <t>Medical Device Design for Six Sigma : A Road Map for Safety and Effectiveness</t>
  </si>
  <si>
    <t>El-Haik, Basem; Mekki, Khalid S.</t>
  </si>
  <si>
    <t>Advances in Food Diagnostics</t>
  </si>
  <si>
    <t>Toldrá, Fidel; Nollet, Leo M. L.; Toldrá, Fidel; Nollet, Leo M L; Hui, Y H; Nollet, L Eo M L; Toldr?, Fidel; Toldra, Fidel</t>
  </si>
  <si>
    <t>Engineering; Health; Engineering: Chemical</t>
  </si>
  <si>
    <t>Phycotoxins : Chemistry and Biochemistry</t>
  </si>
  <si>
    <t>Botana, Luis M.</t>
  </si>
  <si>
    <t>Electron Paramagnetic Resonance : A Practitioner's Toolkit</t>
  </si>
  <si>
    <t>Brustolon, Marina; Giamello, Elio</t>
  </si>
  <si>
    <t>Science: Physics; Science; Science: Chemistry</t>
  </si>
  <si>
    <t>Uncertainty Modeling in Dose Response : Bench Testing Environmental Toxicity</t>
  </si>
  <si>
    <t>Cooke, Roger M.</t>
  </si>
  <si>
    <t>Handbook of Addictive Disorders : A Practical Guide to Diagnosis and Treatment</t>
  </si>
  <si>
    <t>Coombs, Robert Holman</t>
  </si>
  <si>
    <t>Value Based Health Care : Linking Finance and Quality</t>
  </si>
  <si>
    <t>Dlugacz, Yosef D.</t>
  </si>
  <si>
    <t>Clinical Trials Handbook</t>
  </si>
  <si>
    <t>Gad, Shayne Cox</t>
  </si>
  <si>
    <t>Handbook of Personality Disorders : Theory and Practice</t>
  </si>
  <si>
    <t>Magnavita, Jeffrey J.</t>
  </si>
  <si>
    <t>Patients First : Closing the Health Care Gap in Canada</t>
  </si>
  <si>
    <t>Montague, Terrence J; Montague, J. Terrance</t>
  </si>
  <si>
    <t>Textbook of Biological Psychiatry</t>
  </si>
  <si>
    <t>Analysis and Purification Methods in Combinatorial Chemistry : Analysis and Purification Methods in Combinatorial Chemistry</t>
  </si>
  <si>
    <t>Yan, Bing</t>
  </si>
  <si>
    <t>Disasters and Mental Health</t>
  </si>
  <si>
    <t>LÃ³pez-Ibor, Juan JosÃ©; Christodoulou, George; Sartorius, Norman; Okasha, Ahmed; Okasha, Ahmed; Okasha, Dr Ahmed; Lpez-Ibor, Juan Jos; La3pez-Ibor, Professor Juan Josa(c); Lopez-Ibor, Juan Jos?; Ló Pez-Ibor, Juan Jos</t>
  </si>
  <si>
    <t>CBT for Chronic Illness and Palliative Care : A Workbook and Toolkit</t>
  </si>
  <si>
    <t>Sage, Nigel; Sowden, Michelle; Chorlton, Elizabeth; Edeleanu, Andrea</t>
  </si>
  <si>
    <t>Podiatry : A Psychological Approach</t>
  </si>
  <si>
    <t>Mandy, Anne; Lucas, Kevin; McInnes, Janet; Lucas, Jodie</t>
  </si>
  <si>
    <t>ABC of Conflict and Disaster</t>
  </si>
  <si>
    <t>Redmond, Anthony D.; Mahoney, Peter F.; Ryan, James M.; Macnab, Cara; Owen, David</t>
  </si>
  <si>
    <t>Revealing Nursing Expertise Through Practitioner Inquiry</t>
  </si>
  <si>
    <t>Hardy, Sally; Titchen, Angie; McCormack, Brendan; Manley, Kim</t>
  </si>
  <si>
    <t>ABC of Spinal Disorders</t>
  </si>
  <si>
    <t>Clarke, Andrew; Jones, Alwyn; O'Malley, Michael; McLaren, Robert</t>
  </si>
  <si>
    <t>Managing Pain in Children : A Clinical Guide</t>
  </si>
  <si>
    <t>Twycross, Alison; Dowden, Stephanie; Bruce, Liz</t>
  </si>
  <si>
    <t>Down Syndrome Across the Life Span</t>
  </si>
  <si>
    <t>Cuskelly, Monica; Jobling, Anne; Buckley, Susan</t>
  </si>
  <si>
    <t>Medicines Management in Mental Health Care</t>
  </si>
  <si>
    <t>Harris, Neil; Baker, John; Gray, Richard</t>
  </si>
  <si>
    <t>Lung Cancer</t>
  </si>
  <si>
    <t>Roth, Jack A.; Cox, James D.; Hong, Waun Ki; Roth, Jack A; Cox, James D; Hong, Waun KI</t>
  </si>
  <si>
    <t>Sensory Evaluation : A Practical Handbook</t>
  </si>
  <si>
    <t>Kemp, Sarah E.; Hollowood, Tracey; Hort, Joanne</t>
  </si>
  <si>
    <t>Evidence-Based Medical Monitoring : From Principles to Practice</t>
  </si>
  <si>
    <t>Glasziou, Paul P.; Irwig, Les; Aronson, Jeffery K.; Aronson, Clinical Reader in Clinical Pharmacology Jeffrey K , Ed.</t>
  </si>
  <si>
    <t>The Royal Marsden Hospital Handbook of Wound Management in Cancer Care</t>
  </si>
  <si>
    <t>Naylor, Wayne; Laverty, Diane; Mallett, Jane</t>
  </si>
  <si>
    <t>Language Disorders in Children and Adults : Psycholinguistic Approaches to Therapy</t>
  </si>
  <si>
    <t>Chiat, Shula; Law, James; Marshall, Jane</t>
  </si>
  <si>
    <t>Management Strategies in Antithrombotic Therapy</t>
  </si>
  <si>
    <t>Askari, Arman; Lincoff, Michael; Messerli, Adrian</t>
  </si>
  <si>
    <t>Rapid Assessment of the Acutely Ill Patient</t>
  </si>
  <si>
    <t>Adam, Sheila; Odell, Mandy; Welch, John; Welch, Jo</t>
  </si>
  <si>
    <t>Pharmacology for Podiatrists</t>
  </si>
  <si>
    <t>Morgan, Rae; Johnson, Margaret; Rae, Morgan</t>
  </si>
  <si>
    <t>A Practical Manual of Diabetic Foot Care</t>
  </si>
  <si>
    <t>Edmonds, Michael E.; Foster, Alethea V. M.; Sanders, Lee</t>
  </si>
  <si>
    <t>Dual Diagnosis : Practice in Context</t>
  </si>
  <si>
    <t>Phillips, Peter; McKeown, Olive; Sandford, Tom</t>
  </si>
  <si>
    <t>Evidence-Based Infectious Diseases</t>
  </si>
  <si>
    <t>Loeb, Mark; Smaill, Fiona; Smieja, Marek; Luetteke, Thomas; Frank, Martin</t>
  </si>
  <si>
    <t>Catheter Ablation of Cardiac Arrhythmias : Basic Concepts and Clinical Applications</t>
  </si>
  <si>
    <t>Wilber, David J.; Packer, Douglas L.; Stevenson, William G.</t>
  </si>
  <si>
    <t>Collaborative Care : Interprofessional, Interagency and Interpersonal</t>
  </si>
  <si>
    <t>Hornby, Sally; Atkins, Jo</t>
  </si>
  <si>
    <t>Learning about Mental Health Practice</t>
  </si>
  <si>
    <t>Stickley, Theo; Bassett, Thurstine</t>
  </si>
  <si>
    <t>Adverse Reactions to Food : The Report of a British Nutrition Foundation Task Force</t>
  </si>
  <si>
    <t>Buttriss, Judy; British Nutrition Foundation Staff; BNF (British Nutrition Foundation); Lastbnf (British Nutrition Foundation),</t>
  </si>
  <si>
    <t>Selfhood, Identity and Personality Styles</t>
  </si>
  <si>
    <t>Arciero, Giampiero; Bondolfi, Guido</t>
  </si>
  <si>
    <t>Handbook of Clinical Pediatric Endocrinology</t>
  </si>
  <si>
    <t>Brook, Charles G. D.; Brown, Rosalind S.; Brook, Charles G.</t>
  </si>
  <si>
    <t>Neuro-Linguistic Programming Workbook For Dummies</t>
  </si>
  <si>
    <t>Ready, Romilla; Burton, Kate</t>
  </si>
  <si>
    <t>Essential Midwifery Practice : Public Health</t>
  </si>
  <si>
    <t>Edwards, Grace; Byrom, Sheena</t>
  </si>
  <si>
    <t>Managing Osteoarthritis in Primary Care</t>
  </si>
  <si>
    <t>Hosie, Gillian; Dickson, John; Dickson, John</t>
  </si>
  <si>
    <t>Practical Radiotherapy : Physics and Equipment</t>
  </si>
  <si>
    <t>Cherry, Pam; Duxbury, Angela</t>
  </si>
  <si>
    <t>Electrocardiography in Ischemic Heart Disease : Clinical and Imaging Correlations and Prognostic Implications</t>
  </si>
  <si>
    <t>de Luna, A. Bayés; Fiol-Sala, Miquel</t>
  </si>
  <si>
    <t>Managing the Diabetic Foot</t>
  </si>
  <si>
    <t>Edmonds, Michael E.; Foster, Alethea Vm</t>
  </si>
  <si>
    <t>Cancer Care for Adolescents and Young Adults</t>
  </si>
  <si>
    <t>Kelly, Daniel; Gibson, Faith</t>
  </si>
  <si>
    <t>Learning Disability and other Intellectual Impairments : Meeting Needs Throughout Health Services</t>
  </si>
  <si>
    <t>Clark, Louise; Griffiths, Peter</t>
  </si>
  <si>
    <t>The Microbiological Safety of Food in Healthcare Settings</t>
  </si>
  <si>
    <t>Lund, Barbara; Hunter, Paul</t>
  </si>
  <si>
    <t>Lower Extremity Wounds : A Problem-Based Approach</t>
  </si>
  <si>
    <t>Ousey, Karen; McIntosh, Caroline</t>
  </si>
  <si>
    <t>Ventricular Tachycardia / Fibrillation Ablation : The state of the Art based on the VeniceChart International Consensus Document</t>
  </si>
  <si>
    <t>ABC of Sepsis</t>
  </si>
  <si>
    <t>Daniels, Ron; Nutbeam, Tim</t>
  </si>
  <si>
    <t>Advanced Dietary Fibre Technology</t>
  </si>
  <si>
    <t>McCleary, Barry; Prosky, Leon</t>
  </si>
  <si>
    <t>Science; Engineering: Chemical; Science: Biology/Natural History; Engineering; Science: Anatomy/Physiology</t>
  </si>
  <si>
    <t>Psychological Responses to Eating Disorders and Obesity : Recent and Innovative Work</t>
  </si>
  <si>
    <t>Buckroyd, Julia; Rother, Sharon</t>
  </si>
  <si>
    <t>Perioperative Care of the Child : A Nursing Manual</t>
  </si>
  <si>
    <t>Tanner, Ann; Shields, Linda</t>
  </si>
  <si>
    <t>Swimming : Olympic Handbook of Sports Medicine</t>
  </si>
  <si>
    <t>Bixler, Barry Stanton; Stager, Joel M.; Tanner, David A.</t>
  </si>
  <si>
    <t>ABC of Rheumatology</t>
  </si>
  <si>
    <t>Adebajo, Ade; Adebajo, Ade</t>
  </si>
  <si>
    <t>Cadbury's Purple Reign : The Story Behind Chocolate's Best-Loved Brand</t>
  </si>
  <si>
    <t>Bradley, John</t>
  </si>
  <si>
    <t>Home Economics; Economics; Business/Management</t>
  </si>
  <si>
    <t>Psychological Well Being and Acquired Communication Impairment</t>
  </si>
  <si>
    <t>Airway Smooth Muscle in Asthma and COPD : Biology and Pharmacology</t>
  </si>
  <si>
    <t>Chung, Kian Fan; Chung, Professor Prof Kian Fan</t>
  </si>
  <si>
    <t>Pathological Pain : From Molecular to Clinical Aspects</t>
  </si>
  <si>
    <t>Novartis Foundation Symposium Staff; Chadwick, Derek; Goode, Jamie</t>
  </si>
  <si>
    <t>Care of People with Diabetes : A Manual of Nursing Practice</t>
  </si>
  <si>
    <t>Dunning, Trisha</t>
  </si>
  <si>
    <t>Sexual Health</t>
  </si>
  <si>
    <t>French, Kathy</t>
  </si>
  <si>
    <t>Rational Diagnosis and Treatment : Evidence-Based Clinical Decision-Making</t>
  </si>
  <si>
    <t>Gøtzsche, Peter; Gøtzsche, Peter; Gotzsche, Peter; Gø Tzsche, Peter</t>
  </si>
  <si>
    <t>Obstetric Ultrasound : Artistry in Practice</t>
  </si>
  <si>
    <t>Hobbins, John C.</t>
  </si>
  <si>
    <t>Drug Treatment in Dementia</t>
  </si>
  <si>
    <t>Jones, Roy</t>
  </si>
  <si>
    <t>Principles of CNS Drug Development : From Test Tube to Patient</t>
  </si>
  <si>
    <t>Kelly, John; Kelly, Professor Prof John</t>
  </si>
  <si>
    <t>Insulin Resistance : A Clinical Handbook</t>
  </si>
  <si>
    <t>Krentz, Andrew</t>
  </si>
  <si>
    <t>Food and Western Disease : Health and Nutrition from an Evolutionary Perspective</t>
  </si>
  <si>
    <t>Lindeberg, Staffan</t>
  </si>
  <si>
    <t>Epidemiology of Work Related Diseases</t>
  </si>
  <si>
    <t>McDonald, Corbett</t>
  </si>
  <si>
    <t>Enhancing Me : The Hope and the Hype of Human Enhancement</t>
  </si>
  <si>
    <t>Moore, Pete; Moore, Pete, Jr.</t>
  </si>
  <si>
    <t>Promoting Health in Children and Young People : The Role of the Nurse</t>
  </si>
  <si>
    <t>Moyse; Moyse, Karen; Moyse, Karen</t>
  </si>
  <si>
    <t>The Pulmonary Epithelium in Health and Disease</t>
  </si>
  <si>
    <t>Proud, David</t>
  </si>
  <si>
    <t>Nosocomial Pneumonia : Strategies for Management</t>
  </si>
  <si>
    <t>Rello, Jordi</t>
  </si>
  <si>
    <t>Occupational Therapy and Vocational Rehabilitation</t>
  </si>
  <si>
    <t>Ross, Joanne</t>
  </si>
  <si>
    <t>Liver Diseases : An Essential Guide for Nurses and Health Care Professionals</t>
  </si>
  <si>
    <t>Sargent, Suzanne</t>
  </si>
  <si>
    <t>Skin Cancer : Recognition and Management</t>
  </si>
  <si>
    <t>Schwartz, Robert A.</t>
  </si>
  <si>
    <t>Quality of Life Outcomes in Clinical Trials and Health-Care Evaluation : A Practical Guide to Analysis and Interpretation</t>
  </si>
  <si>
    <t>Walters, Stephen J.</t>
  </si>
  <si>
    <t>Infection Prevention and Control : Theory and Practice for Healthcare Professionals</t>
  </si>
  <si>
    <t>Weston, Debbie</t>
  </si>
  <si>
    <t>A Manual of Oral and Maxillofacial Surgery for Nurses</t>
  </si>
  <si>
    <t>Yates, Colin</t>
  </si>
  <si>
    <t>No Safe Place : Toxic Waste, Leukemia, and Community Action</t>
  </si>
  <si>
    <t>Brown, Phil; Mikkelsen, Edwin J.; Harr, Jonathan; Brown, Phil</t>
  </si>
  <si>
    <t>Disease Change and the Role of Medicine : The Navajo Experience</t>
  </si>
  <si>
    <t>Kunitz, Stephen J.</t>
  </si>
  <si>
    <t>How the Cows Turned Mad : Unlocking the Mysteries of Mad Cow Disease</t>
  </si>
  <si>
    <t>Schwartz, Maxime; Nestle, Marion; Schneider, Edward</t>
  </si>
  <si>
    <t>Unimagined Community : Sex, Networks, and AIDS in Uganda and South Africa</t>
  </si>
  <si>
    <t>Thornton, Robert</t>
  </si>
  <si>
    <t>Born in the USA : How a Broken Maternity System Must Be Fixed to Put Women and Children First</t>
  </si>
  <si>
    <t>Wagner, Marsden</t>
  </si>
  <si>
    <t>Behavioral Activation for Depression : A Clinician's Guide</t>
  </si>
  <si>
    <t>Martell, Christopher R.; Dimidjian, Sona; Herman-Dunn, Ruth; Herman-Dunn, Ruth; Lewinsohn, Peter M.</t>
  </si>
  <si>
    <t>The Therapist's Guide to Psychopharmacology : Working with Patients, Families, and Physicians to Optimize Care</t>
  </si>
  <si>
    <t>Patterson, JoEllen; Edwards, Todd M.; McCahill, Margaret E.; Albala, A. Ari</t>
  </si>
  <si>
    <t>Healthgrid Research, Innovation and Business Case : Proceedings of Healthgrid 2009</t>
  </si>
  <si>
    <t>Solomonides, T.; Hofman-Apitius, M.; Freudigmann, M.; Semler, S.C. ; Legre, Y. ; Kratz, M.</t>
  </si>
  <si>
    <t>Advanced Technologies in Rehabilitation : Empowering Cognitive, Physical, Social and Communicative Skills through Virtual Reality, Robots, Wearable Systems and Brain-Computer Interfaces</t>
  </si>
  <si>
    <t>Gaggioli, A.; Keshner, E.A.; Weiss, P.L.</t>
  </si>
  <si>
    <t>Annual Review of Cybertherapy and Telemedicine 2009 : Advanced Technologies in the Behavioral, Social and Neurosciences</t>
  </si>
  <si>
    <t>Wiederhold, B.K.; Riva, G.</t>
  </si>
  <si>
    <t>Lesser Harms : The Morality of Risk in Medical Research</t>
  </si>
  <si>
    <t>Halpern, Sydney A.</t>
  </si>
  <si>
    <t>End-of-Life Care and Pragmatic Decision Making : A Bioethical Perspective</t>
  </si>
  <si>
    <t>Hester, D. Micah</t>
  </si>
  <si>
    <t>Companion to Clinical Neurology</t>
  </si>
  <si>
    <t>Pryse-Phillips, William</t>
  </si>
  <si>
    <t>Infectious Diseases : Emergence and Re-Emergence - A Geographical Analysis</t>
  </si>
  <si>
    <t>Cliff, A. D.; Smallman-Raynor, M. R.; Haggett, P.; Stroup, D. F.; Thacker, S. B.</t>
  </si>
  <si>
    <t>Feeling Unreal : Depersonalization Disorder and the Loss of the Self</t>
  </si>
  <si>
    <t>Simeon, Daphne; Abugel, Jeffrey</t>
  </si>
  <si>
    <t>Unconditional Care : Relationship-based, Behavioral Intervention with Vulnerable Children and Families</t>
  </si>
  <si>
    <t>Sprinson, John S.; Berrick, Ken</t>
  </si>
  <si>
    <t>Goodwin and Guze's Psychiatric Diagnosis</t>
  </si>
  <si>
    <t>North, Carol S.; Yutzy, Sean H.; Goodwin, Donald W.</t>
  </si>
  <si>
    <t>Cholera : The Biography</t>
  </si>
  <si>
    <t>Hamlin, Christopher</t>
  </si>
  <si>
    <t>Evolution and Emergence of RNA Viruses</t>
  </si>
  <si>
    <t>Holmes, Edward C.</t>
  </si>
  <si>
    <t>Asthma : The Biography</t>
  </si>
  <si>
    <t>Jackson, Mark</t>
  </si>
  <si>
    <t>An Infinity of Things : How Sir Henry Wellcome Collected the World</t>
  </si>
  <si>
    <t>Larson, Frances</t>
  </si>
  <si>
    <t>Hysteria : The Biography</t>
  </si>
  <si>
    <t>Scull, Andrew T.</t>
  </si>
  <si>
    <t>Creating Modern Neuroscience : The Revolutionary 1950s</t>
  </si>
  <si>
    <t>Shepherd, Gordon M.</t>
  </si>
  <si>
    <t>Statistical Methods in Environmental Epidemiology</t>
  </si>
  <si>
    <t>Thomas, Duncan C.</t>
  </si>
  <si>
    <t>Using Taxes to Reform Health Insurance : Pitfalls and Promises</t>
  </si>
  <si>
    <t>Aaron, Henry; Burman, Leonard E.</t>
  </si>
  <si>
    <t>Business/Management; Social Science</t>
  </si>
  <si>
    <t>Reforming Medicare : Options, Tradeoffs, and Opportunities</t>
  </si>
  <si>
    <t>Aaron, Henry; Lambrew, Jeanne M.; Healy, Patrick F.</t>
  </si>
  <si>
    <t>Digital Medicine : Health Care in the Internet Era</t>
  </si>
  <si>
    <t>West, Darrell M.; Miller, Edward Alan</t>
  </si>
  <si>
    <t>Who Has the Cure? : Hamilton Project Ideas on Health Care</t>
  </si>
  <si>
    <t>Furman, Jason</t>
  </si>
  <si>
    <t>ADHD Workbook for Parents : A Guide for Parents of Children Ages 212 with Attention-Deficit/Hyperactivity Disorder</t>
  </si>
  <si>
    <t>Specialty Press/A.D.D. Warehouse</t>
  </si>
  <si>
    <t>Parker, Harvey C.</t>
  </si>
  <si>
    <t>Ocular Blood Flow in Glaucoma</t>
  </si>
  <si>
    <t>Weinreb, R.N.; Harris, A.</t>
  </si>
  <si>
    <t>Costs and Cost-effectiveness of Tuberculosis Control</t>
  </si>
  <si>
    <t>Vassall, Anna</t>
  </si>
  <si>
    <t>Denial and Quality of Life in Lung Cancer Patients</t>
  </si>
  <si>
    <t>Vos, Tineke</t>
  </si>
  <si>
    <t>Assessing Children's Well-Being : A Handbook of Measures</t>
  </si>
  <si>
    <t>Naar-King, Sylvie; Ellis, Deborah A.; Frey, Maureen A.; Ondersma, Michele Lee</t>
  </si>
  <si>
    <t>Children Caring for Parents with HIV and AIDS : Global Issues and Policy Responses</t>
  </si>
  <si>
    <t>Evans, Ruth; Becker, Saul</t>
  </si>
  <si>
    <t>Social Inequality and Public Health</t>
  </si>
  <si>
    <t>Babones, Salvatore J.</t>
  </si>
  <si>
    <t>Critical Care Nursing of Older Adults : Best Practices, Third Edition</t>
  </si>
  <si>
    <t>Foreman, Marquis D. D., PhD, RN, FAAN; Fulmer, Terry T., PhD, RN, FAAN; Milisen, Koen, Dr., PhD, RN</t>
  </si>
  <si>
    <t>12-Lead EKG Confidence, Second Edition : A Step-by-Step Guide</t>
  </si>
  <si>
    <t>Green, Jacqueline M., Ms., MS, RN, APN-C, CNS, CCRN; Chiaramida, Anthony J., Dr., MD, FACC</t>
  </si>
  <si>
    <t>Public Health and Aging : Maximizing Function and Well-Being, Second Edition</t>
  </si>
  <si>
    <t>Albert, Steven M., PhD, MSc, MSPH; Freedman, Vicki A., PhD</t>
  </si>
  <si>
    <t>The Person with HIV/AIDS : Nursing Perspectives, Fourth Edition</t>
  </si>
  <si>
    <t>Rural Nursing, Third Edition : Concepts, Theory and Practice</t>
  </si>
  <si>
    <t>Lee, Helen J., PhD, RN; Winters, Charlene A., PhD, ACNS-BC</t>
  </si>
  <si>
    <t>Complementary and Alternative Therapies in Nursing : Sixth Edition</t>
  </si>
  <si>
    <t>Snyder, Mariah, PhD, RN, FAAN; Lindquist, Ruth, PhD, RN, FAAN</t>
  </si>
  <si>
    <t>Advanced Practice Nursing : Core Concepts for Professional Role Development, Fourth Edition</t>
  </si>
  <si>
    <t>Jansen, Michalene, Dr., PhD, RN,C, GNP-BC, NP-C; Zwygart-Stauffacher, Mary, Dr., PhD, RN, GNP/GC</t>
  </si>
  <si>
    <t>Handbook of Integrative Clinical Psychology, Psychiatry, and Behavioral Medicine : Perspectives, Practices, and Research</t>
  </si>
  <si>
    <t>Carlstedt, Roland A.</t>
  </si>
  <si>
    <t>Infectious Ideas : U. S. Political Responses to the AIDS Crisis</t>
  </si>
  <si>
    <t>Brier, Jennifer</t>
  </si>
  <si>
    <t>Working Cures : Healing, Health, and Power on Southern Slave Plantations</t>
  </si>
  <si>
    <t>Fett, Sharla M.</t>
  </si>
  <si>
    <t>Make Room for Daddy : The Journey from Waiting Room to Birthing Room</t>
  </si>
  <si>
    <t>Leavitt, Judith Walzer</t>
  </si>
  <si>
    <t>Examining Tuskegee : The Infamous Syphilis Study and Its Legacy</t>
  </si>
  <si>
    <t>Reverby, Susan M.</t>
  </si>
  <si>
    <t>Under the Rattlesnake : Cherokee Health and Resiliency</t>
  </si>
  <si>
    <t>Altman, Heidi M.; Belt, Roseanna; Lefler, Lisa J.; Fox, Susan Leading; Belt, Tom; Cozzo, David; Hamilton, Michelle D.; James, Jenny; Townsend, Russell</t>
  </si>
  <si>
    <t>Managing Male Ageing</t>
  </si>
  <si>
    <t>Marshall Cavendish International (Asia) Ptd Ltd</t>
  </si>
  <si>
    <t>Kit, Ng Kok; Lee, June</t>
  </si>
  <si>
    <t>Lost Words : Narratives of Language and the Brain, 1825-1926</t>
  </si>
  <si>
    <t>Jacyna, L. S.; Jacyna, L. S. S.</t>
  </si>
  <si>
    <t>Microbiological Hazards in Fresh Leafy Vegetables and Herbs : Meeting Report</t>
  </si>
  <si>
    <t>FAO-WHO</t>
  </si>
  <si>
    <t>Evaluation of Certain Food Additives : Sixty-ninth Report of the Joint FAO/WHO Expert Committee on Food Additives</t>
  </si>
  <si>
    <t>Joint FAO/WHO Expert Committee on Food Additives; World Health Organization, ; UNAIDS, ; World Health Organization,</t>
  </si>
  <si>
    <t>Toxicological Evaluation of Certain Veterinary Drug Residues in Food : Seventieth Meeting of the Joint FAO/WHO Expert Committee on Food Additives</t>
  </si>
  <si>
    <t>Joint FAO/WHO Expert Committee on Food Additives</t>
  </si>
  <si>
    <t>Principles for Modeling Dose-Response for the Risk Assessment of Chemicals</t>
  </si>
  <si>
    <t>Medicine; Social Science; Pharmacy</t>
  </si>
  <si>
    <t>Women and Health : Today's Evidence Tomorrow's Agenda</t>
  </si>
  <si>
    <t>Systems Thinking for Health Systems Strengthening</t>
  </si>
  <si>
    <t>WHO Guidelines for the Management of Postpartum Haemorrhage and Retained Placenta</t>
  </si>
  <si>
    <t>Safety Evaluation of Certain Food Additives : Sixty-ninth Meeting of the Joint FAO/WHO Expert Committee on Food Additives</t>
  </si>
  <si>
    <t>Monitoring Emergency Obstetric Care : A Handbook</t>
  </si>
  <si>
    <t>WHO Handbook on Indoor Radon : A Public Health Perspective</t>
  </si>
  <si>
    <t>Medical Eligibility Criteria for Contraceptive Use</t>
  </si>
  <si>
    <t>Dengue : Guidelines for Diagnosis Treatment Prevention and Control (New Edition 2009)</t>
  </si>
  <si>
    <t>WHO Framework Convention on Tobacco Control : Guidelines for Implementation of Article 5.3, Article 8, Article 11, and Article 13</t>
  </si>
  <si>
    <t>World Health Organization; World Health Organization, ; World Health Organization, ; World Health Organization,</t>
  </si>
  <si>
    <t>Global Health Risks : Mortality and Burden of Disease Attributable to Selected Major Risks</t>
  </si>
  <si>
    <t>Screening Donated Blood for Transfusion-Transmissible Infections : Recommendations</t>
  </si>
  <si>
    <t>Medicine; Pharmacy; Engineering: General; Engineering</t>
  </si>
  <si>
    <t>State of the World's Vaccines and Immunization</t>
  </si>
  <si>
    <t>Davey, Sheila; World Health Organization</t>
  </si>
  <si>
    <t>Case Book on Ethical Issues in International Health Research</t>
  </si>
  <si>
    <t>Science; Philosophy</t>
  </si>
  <si>
    <t>WHO Model Formulary 2008</t>
  </si>
  <si>
    <t>Scaling Up Nutrition : What Will It Cost?</t>
  </si>
  <si>
    <t>Horton, Susan; Shekar, Meera; Ajay, Mahal</t>
  </si>
  <si>
    <t>Health Financing in Indonesia : A Roadmap for Reform</t>
  </si>
  <si>
    <t>Rokx, Claudia; Schieber, George; Harimurti, Pandu; Tandon, Ajay; Somanathan, Aparnaa</t>
  </si>
  <si>
    <t>Satisfaction with Life and Service Delivery in Eastern Europe and the Former Soviet Union : Some Insights from the 2006 Life in Transition Survey</t>
  </si>
  <si>
    <t>Zaidi, Salman; Alam, Asad; Mitra, Pradeep K.; Sundaram, Ramya</t>
  </si>
  <si>
    <t>Global Marketplace for Private Health Insurance : Strength in Numbers</t>
  </si>
  <si>
    <t>Preker, Alexander S.; Zweifel, Peter; Schellekens, Onno</t>
  </si>
  <si>
    <t>Contested Categories : Life Sciences in Society</t>
  </si>
  <si>
    <t>Wahlberg, Ayo; Bauer, Susanne; Abbinnett, Dr Ross</t>
  </si>
  <si>
    <t>Pastoral Drama and Healing in Early Modern Italy</t>
  </si>
  <si>
    <t>Schneider, Federico</t>
  </si>
  <si>
    <t>Campylobacter</t>
  </si>
  <si>
    <t>ASM Press</t>
  </si>
  <si>
    <t>Nachmkin, Irving; Szymanski, Christine M.; Blaser, Martin J.</t>
  </si>
  <si>
    <t>Food-Borne Viruses : Progress and Challenges</t>
  </si>
  <si>
    <t>Koopmans, Marion P. G.; Cliver, Dean O.; Bosch, Albert</t>
  </si>
  <si>
    <t>Sequelae and Long-Term Consequences of Infectious Diseasess</t>
  </si>
  <si>
    <t>Fratamico, Pina M.; Smith, James L.; Brogden, Kim A.</t>
  </si>
  <si>
    <t>Evolutionary Biology of Bacterial and Fungal Pathogens</t>
  </si>
  <si>
    <t>Baquero, Fernando; Nombela, Cesar; Cassell, Gail H.; Gutierrez-Fuentes, Jose A.</t>
  </si>
  <si>
    <t>Legionella : State of the Art 30 Years after Its Recognition</t>
  </si>
  <si>
    <t>Cianciotto, Nicholas P.; Kwaik, Yousef Abu; Edelstein, Paul H.; Fields, Barry S. ; Harrison, Timothy ; Ratcliff, Rodney ; Stout, Janet</t>
  </si>
  <si>
    <t>Molecular Principles of Fungal Pathogenesis</t>
  </si>
  <si>
    <t>Heitman, Joseph; Filler, Scott G.; Edwards, John E.; Mitchell, Aaron P.</t>
  </si>
  <si>
    <t>Emerging Infections, 8</t>
  </si>
  <si>
    <t>Scheld, W. Michael; Hammer, Scott M.; Hughes, James M.</t>
  </si>
  <si>
    <t>Emerging Infections, 7</t>
  </si>
  <si>
    <t>Scheld, W. Michael; Hooper, David C.; Hughes, James M.</t>
  </si>
  <si>
    <t>Cellular Signaling and the Innate Immune Response to RNA Virus Infections</t>
  </si>
  <si>
    <t>Brasier, Allan R.; Garcia-Sastre, Adolfo; Lemon, Stanley M.</t>
  </si>
  <si>
    <t>Pneumococcal Vaccines : The Impact of Conjugate Vaccine</t>
  </si>
  <si>
    <t>Siber, George R.; Klugman, Keith P.; Makela, P. Helena</t>
  </si>
  <si>
    <t>Science: Biology/Natural History; Pharmacy; Medicine; Science</t>
  </si>
  <si>
    <t>Food-Borne Microbes : Shaping the Host Ecosystem</t>
  </si>
  <si>
    <t>Jaykus, Lee-Ann; Wang, Hua H.; Schlesinger, Larry S.</t>
  </si>
  <si>
    <t>Engineering; Science: Biology/Natural History; Engineering: Chemical; Science</t>
  </si>
  <si>
    <t>Diagnostic Microbiology of the Immunocompromoised Host</t>
  </si>
  <si>
    <t>Hayden, Randall, T.; Carroll, Karen, C.; Tang, Yi-Wei; Wolk, Donna M.</t>
  </si>
  <si>
    <t>Spectrum of Neuro-AIDS Disorders : Pathophysiology, Diagnosis, and Treatment</t>
  </si>
  <si>
    <t>Goodkin, Karl; Shapshak, Paul; Verma, Ashok</t>
  </si>
  <si>
    <t>Enterobacter sakazakii</t>
  </si>
  <si>
    <t>Farber, Jeffrey M.; Forsythe, Stephen J.</t>
  </si>
  <si>
    <t>Therapeutic Microbiology : Probiotics and Related Strategies</t>
  </si>
  <si>
    <t>Versalovic, James; Wilson, Michael</t>
  </si>
  <si>
    <t>Pathogenesis of Human Pulmonary Tuberculosis : Insights from the Rabbit Model</t>
  </si>
  <si>
    <t>Dannenberg, Arthur M.</t>
  </si>
  <si>
    <t>Antiviral Research : Strategies in Antiviral Drug Discovery</t>
  </si>
  <si>
    <t>LaFemina, Robert L.</t>
  </si>
  <si>
    <t>HIV and the Pathogenesis of AIDS</t>
  </si>
  <si>
    <t>Levy, Jay A.</t>
  </si>
  <si>
    <t>Using the Medical Model in Education : Can Pills Make You Clever?</t>
  </si>
  <si>
    <t>Turner, David A.</t>
  </si>
  <si>
    <t>Detection and Prevention of Adverse Drug Events : Information Technologies and Human Factors</t>
  </si>
  <si>
    <t>Beuscart, R.; Hackl, W.; Nøhr, C.</t>
  </si>
  <si>
    <t>Health; Medicine; Social Science; Pharmacy</t>
  </si>
  <si>
    <t>Strategy for the Future of Health</t>
  </si>
  <si>
    <t>Health and Safety in the Rubber Industry</t>
  </si>
  <si>
    <t>iSmithers Rapra Publishing</t>
  </si>
  <si>
    <t>Chaiear, Naesinee</t>
  </si>
  <si>
    <t>Health; Engineering; Engineering: Manufacturing</t>
  </si>
  <si>
    <t>Additive Migration from Plastics into Foods : A Guide for the Analytical Chemist</t>
  </si>
  <si>
    <t>Crompton, Roy</t>
  </si>
  <si>
    <t>Engineering: Chemical; Health; Engineering</t>
  </si>
  <si>
    <t>Food Contact Rubbers 2 : Products, Migration and Regulation</t>
  </si>
  <si>
    <t>Forrest, Martin</t>
  </si>
  <si>
    <t>Pharmaceutical Applications of Polymers for Drug Delivery</t>
  </si>
  <si>
    <t>Jones, David</t>
  </si>
  <si>
    <t>Sterilisation of Polymer Healthcare Products</t>
  </si>
  <si>
    <t>Rogers, Wayne R.</t>
  </si>
  <si>
    <t>Human Fertility : Where Faith and Science Meet</t>
  </si>
  <si>
    <t>Marquette University Press</t>
  </si>
  <si>
    <t>Fehring, Richard J; Notare, Theresa; Noyare, Theresa</t>
  </si>
  <si>
    <t>Social Science; Religion</t>
  </si>
  <si>
    <t>Justice in Oral Health Care : Ethical and Educational Perspectives</t>
  </si>
  <si>
    <t>Welie, Jos VM</t>
  </si>
  <si>
    <t>The Business of Neuropsychology : A Practical Guide</t>
  </si>
  <si>
    <t>Barisa, Mark T.</t>
  </si>
  <si>
    <t>Molecular Targets and Therapeutic Uses of Spices : Modern Uses for Ancient Medicine</t>
  </si>
  <si>
    <t>Aggarwal, Bharat B.; Kunnumakkara, Ajaikumar B.</t>
  </si>
  <si>
    <t>A History of Surgical Pediatrics</t>
  </si>
  <si>
    <t>Carachi, Robert; Buyukunal, Cenk; Young, Dan</t>
  </si>
  <si>
    <t>Handbook of Cardiac Stem Cell Therapy</t>
  </si>
  <si>
    <t>Dimarakis, Ioannis; Habib, Nagy A.; Menasche, Philippe</t>
  </si>
  <si>
    <t>Biotemplating : Complex Structures from Natural Materials</t>
  </si>
  <si>
    <t>Hall, Simon R.</t>
  </si>
  <si>
    <t>Engineering: Civil; Engineering: Chemical; Engineering</t>
  </si>
  <si>
    <t>Recent Advances in Iga Nephropathy</t>
  </si>
  <si>
    <t>Lai, Kar Neng</t>
  </si>
  <si>
    <t>DNA Microarray Technology and Data Analysis in Cancer Research</t>
  </si>
  <si>
    <t>Li, Shaoguang; Li, Dongguang</t>
  </si>
  <si>
    <t>A Guide to Medicinal Plants : An Illustrated Scientific and Medicinal Approach</t>
  </si>
  <si>
    <t>Ling, Koh Hwee; Chua, Tung Kian C.; Tan, Chay Hoon</t>
  </si>
  <si>
    <t>Science; Medicine; Science: Botany</t>
  </si>
  <si>
    <t>Mathematical Understanding of Infectious Disease Dynamics</t>
  </si>
  <si>
    <t>Ma, Stefan; Hethcote, Herbert W.; Xia, Yingcun</t>
  </si>
  <si>
    <t>Modeling and Dynamics of Infectious Diseases</t>
  </si>
  <si>
    <t>Ma, Zhien; Wu, Jianhong; Zhou, Yicang</t>
  </si>
  <si>
    <t>Dynamical Modeling and Analysis of Epidemics</t>
  </si>
  <si>
    <t>Ma, Zhien; Li, Jia</t>
  </si>
  <si>
    <t>Bioelectronic Vision : Retina Models, Evaluation Metrics and System Design</t>
  </si>
  <si>
    <t>Martins, Joao Carlos; Sousa, Leonel A.</t>
  </si>
  <si>
    <t>Mathematical Modeling and Simulation in Enteric Neurobiology</t>
  </si>
  <si>
    <t>Miftahof, Roustem; Nam, Hong Gil; Wingate, David Lionel</t>
  </si>
  <si>
    <t>Environmental, Health and Humanity Issues in the down Danubian Region : Multidisciplinary Approach - Proceedings of the 9th International Symposium on Interdisciplinary Regional Research</t>
  </si>
  <si>
    <t>Mihailovic, Dragutin; Miloradov, Mirajana Vojinovic</t>
  </si>
  <si>
    <t>Environmental Studies; Economics</t>
  </si>
  <si>
    <t>Brain-Mind Machinery : Brain-Inspired Computing and Mind Opening</t>
  </si>
  <si>
    <t>Ng, Gee Wah</t>
  </si>
  <si>
    <t>Computer Science/IT</t>
  </si>
  <si>
    <t>How to Succeed in Breastfeeding Without Really Trying, or Ten Steps to Laugh Your Way Through</t>
  </si>
  <si>
    <t>Shur, Natasha; Shur, Paulina</t>
  </si>
  <si>
    <t>Biomaterials in Asia : In Commemoration of the 1st Asian Biomaterials Congress</t>
  </si>
  <si>
    <t>Tateishi, Tetsuya</t>
  </si>
  <si>
    <t>Towards Individualized Therapy for Multiple Myeloma : A Guide for Choosing Treatment That Best Fits Patients</t>
  </si>
  <si>
    <t>Teoh, Gerrard</t>
  </si>
  <si>
    <t>Nano-Biomedical Engineering 2009 - Proceedings of the Tohoku University Global Centre of Excellence Programme : Proceedings of the Tohoku University Global Center of Excellence Program</t>
  </si>
  <si>
    <t>Yamaguchi, Takami</t>
  </si>
  <si>
    <t>Perinatal Stem Cells</t>
  </si>
  <si>
    <t>Cetrulo, Curtis L.; Cetrulo, Kyle; Cetrulo, Curtis L., Jr.; Cetrulo, Curtis L., Jr.</t>
  </si>
  <si>
    <t>Advances in Bioceramics and Porous Ceramics II : A collection of papers presented at the 33rd International Conference on Advanced Ceramics and Composites, January 18-23, 2009, Daytona Beach, Florida</t>
  </si>
  <si>
    <t>Narayan, Roger; Colombo, Paolo; Salem, Jonathan; Singh, Dileep</t>
  </si>
  <si>
    <t>Novel Therapeutic Targets for Antiarrhythmic Drugs</t>
  </si>
  <si>
    <t>Billman, George Edward</t>
  </si>
  <si>
    <t>Dynamic Combinatorial Chemistry : In Drug Discovery, Bioorganic Chemistry, and Materials Science</t>
  </si>
  <si>
    <t>Miller, Benjamin L.</t>
  </si>
  <si>
    <t>Medicine; Science: Chemistry; Science; Pharmacy</t>
  </si>
  <si>
    <t>Hospitalist Recruitment and Retention : Building a Hospital Medicine Program</t>
  </si>
  <si>
    <t>Simone, Kenneth G.</t>
  </si>
  <si>
    <t>Advancing Nursing Practice in Pain Management</t>
  </si>
  <si>
    <t>Carr, Eloise; Layzell, Mandy; Christensen, Martin</t>
  </si>
  <si>
    <t>Translating Chronic Illness Research into Practice</t>
  </si>
  <si>
    <t>Kralik, Debbie; Paterson, Barbara; Coates, Vivien</t>
  </si>
  <si>
    <t>Infection : Microbiology and Management</t>
  </si>
  <si>
    <t>Bannister, Barbara A.; Gillespie, Stephen; Jones, Jane</t>
  </si>
  <si>
    <t>Understanding Organ Donation : Applied Behavioral Science Perspectives</t>
  </si>
  <si>
    <t>Siegel, Jason T.; Alvaro, Eusebio M.</t>
  </si>
  <si>
    <t>Metabolic Regulation : A Human Perspective</t>
  </si>
  <si>
    <t>Frayn, Keith N.</t>
  </si>
  <si>
    <t>Dead Silence : Fear and Terror on the Anthrax Trail</t>
  </si>
  <si>
    <t>Counterpoint</t>
  </si>
  <si>
    <t>Coen, Bob; Nadler, Eric</t>
  </si>
  <si>
    <t>Brain Rules : 12 Principles for Surviving and Thriving at Work, Home, and School</t>
  </si>
  <si>
    <t>Pear Press</t>
  </si>
  <si>
    <t>Medina, John</t>
  </si>
  <si>
    <t>Psychology; Science: Biology/Natural History; Science; Science: Anatomy/Physiology</t>
  </si>
  <si>
    <t>Biocatalysis for the Pharmaceutical Industry : Discovery, Development, and Manufacturing</t>
  </si>
  <si>
    <t>Tao, Junhua; Liese, Andreas; Lin, Guoqiang</t>
  </si>
  <si>
    <t>Evaluation of Drug Candidates for Preclinical Development : Pharmacokinetics, Metabolism, Pharmaceutics, and Toxicology</t>
  </si>
  <si>
    <t>Han, Chao; Davis, Charles B.; Wang, Binghe</t>
  </si>
  <si>
    <t>Food Allergy</t>
  </si>
  <si>
    <t>Maleki, Soheila J.; Burks, A. Wesley; Helm, Ricki M.</t>
  </si>
  <si>
    <t>Antimicrobial Agents : Antibacterials and Antifungals</t>
  </si>
  <si>
    <t>Bryskier, Andre</t>
  </si>
  <si>
    <t>Chicago Review Press NCLEX-PN Practice Test and Review</t>
  </si>
  <si>
    <t>Chicago Review Press</t>
  </si>
  <si>
    <t>Waide, Linda; Roland, Berta</t>
  </si>
  <si>
    <t>An Introduction to Statistics in Early Phase Trials</t>
  </si>
  <si>
    <t>Julious, Steven; Tan, Say-Beng; Machin, David</t>
  </si>
  <si>
    <t>Critical Pathways to Success in CNS Drug Development</t>
  </si>
  <si>
    <t>Cutler, Neal R.; Sramek, John J.; Murphy, Michael F.; Riordan, Henry; Biek, Peter; Carta, Angelico</t>
  </si>
  <si>
    <t>The Roots of the Recovery Movement in Psychiatry : Lessons Learned</t>
  </si>
  <si>
    <t>Davidson, Larry; Rakfeldt, Jaak; Strauss, John; Strauss, Professor John</t>
  </si>
  <si>
    <t>Acute Stroke Nursing</t>
  </si>
  <si>
    <t>Williams, Jane; Perry, Lin; Watkins, Caroline</t>
  </si>
  <si>
    <t>Atlas of EEG in Critical Care</t>
  </si>
  <si>
    <t>Hirsch, Lawrence; Brenner, Richard; Hirsch, Lawrence; Brenner, Richard</t>
  </si>
  <si>
    <t>Preterm Birth : Prevention and Management</t>
  </si>
  <si>
    <t>Berghella, Vincenzo</t>
  </si>
  <si>
    <t>Personal Hygiene Care</t>
  </si>
  <si>
    <t>Dingwall, Lindsay</t>
  </si>
  <si>
    <t>Nursing Care and the Activities of Living</t>
  </si>
  <si>
    <t>Peate, Ian</t>
  </si>
  <si>
    <t>Venous Thromboembolism : A Nurse's Guide to Prevention and Management</t>
  </si>
  <si>
    <t>Welch, Ellen</t>
  </si>
  <si>
    <t>Nordic Health Care Systems : Recent Reforms and Current Policy Challenges</t>
  </si>
  <si>
    <t>Magnussen, Jon; Vrangbaek, Karsten; Saltman, Richard B.</t>
  </si>
  <si>
    <t>Leadership for Nursing and Allied Health Care Professions</t>
  </si>
  <si>
    <t>Bishop, Veronica</t>
  </si>
  <si>
    <t>New Health Policy</t>
  </si>
  <si>
    <t>Politics of European Union Health Policies</t>
  </si>
  <si>
    <t>Greer, Scott L.</t>
  </si>
  <si>
    <t>Neuropsychology of Epilepsy and Epilepsy Surgery</t>
  </si>
  <si>
    <t>Lee, Gregory P.</t>
  </si>
  <si>
    <t>Drug-Membrane Interactions : Analysis, Drug Distribution, Modeling</t>
  </si>
  <si>
    <t>Seydel, Joachim K.; Wiese, Michael; Mannhold, Raimund; Kubinyi, Hugo; Folkers, Gerd</t>
  </si>
  <si>
    <t>Plague Files : Crisis Management in Sixteenth-Century Seville</t>
  </si>
  <si>
    <t>LSU Press</t>
  </si>
  <si>
    <t>Cook, Alexandra Parma; Cook, David Noble</t>
  </si>
  <si>
    <t>Deconstructing Psychopathology</t>
  </si>
  <si>
    <t>Patrick, Ian; Georgaca, Eugenie; Harper, David; McLaughlin, Terence; Stowell-Smith, Mark</t>
  </si>
  <si>
    <t>Developing Transactional Analysis Counselling</t>
  </si>
  <si>
    <t>Stewart, Ian</t>
  </si>
  <si>
    <t>Group Counselling</t>
  </si>
  <si>
    <t>Investing in Hospitals of the Future</t>
  </si>
  <si>
    <t>Rechel, B.; Wright, S.; Edwards, N.; Dowdeswell, B.</t>
  </si>
  <si>
    <t>Gaining Health</t>
  </si>
  <si>
    <t>Ritsatakis, A.; Makara, P.</t>
  </si>
  <si>
    <t>European Health Report 2009</t>
  </si>
  <si>
    <t>Night Noise Guidelines for Europe</t>
  </si>
  <si>
    <t>WHO Regional Office for Europe; Hurtley, Charlotte</t>
  </si>
  <si>
    <t>Mental Health Systems in Selected Low- and Middle-income Countries : A WHO-AIMS Cross- national Analysis</t>
  </si>
  <si>
    <t>Health; Social Science; Engineering: General; Engineering</t>
  </si>
  <si>
    <t>The Future of Assisted Suicide and Euthanasia</t>
  </si>
  <si>
    <t>Gorsuch, Neil M.; Gorsuch, Neil M. M.</t>
  </si>
  <si>
    <t>The Politics of Life Itself : Biomedicine, Power, and Subjectivity in the Twenty-First Century</t>
  </si>
  <si>
    <t>Rose, Nikolas</t>
  </si>
  <si>
    <t>The Geographic Spread of Infectious Diseases : Models and Applications</t>
  </si>
  <si>
    <t>Sattenspiel, Lisa</t>
  </si>
  <si>
    <t>Health, Luck, and Justice</t>
  </si>
  <si>
    <t>Segall, Shlomi</t>
  </si>
  <si>
    <t>The Khat Controversy : Stimulating the Debate on Drugs</t>
  </si>
  <si>
    <t>Anderson, David; Beckerleg, Susan; Hailu, Degol; Klein, Axel</t>
  </si>
  <si>
    <t>Rise and Shine : Sunlight, Technology and Health</t>
  </si>
  <si>
    <t>Carter, Simon</t>
  </si>
  <si>
    <t>The Senses of Touch : Haptics, Affects, and Technologies</t>
  </si>
  <si>
    <t>Paterson, Mark</t>
  </si>
  <si>
    <t>Therapeutic Attachment Relationships : Interaction Structures and the Processes of Therapeutic Change</t>
  </si>
  <si>
    <t>Goodman, Geoff</t>
  </si>
  <si>
    <t>Balancing Public and Private Health Care Systems : The Sub-Saharan African Experience</t>
  </si>
  <si>
    <t>UPA</t>
  </si>
  <si>
    <t>Quaye, Randolph</t>
  </si>
  <si>
    <t>Ferenczi's Language of Tenderness : Working with Disturbances from the Earliest Years</t>
  </si>
  <si>
    <t>Rentoul, Robert W.</t>
  </si>
  <si>
    <t>The War Machine and Global Health</t>
  </si>
  <si>
    <t>AltaMira Press</t>
  </si>
  <si>
    <t>Adams, Abigail E.; Baer, Hans; Bornstein, Avram S.; Clarkin, Patrick F.; Harding, Scott; Hills, Elaine A.; Hodge, G. Derrick; Karki, Rohit; Singer, Merrill; Hodge, G. Derrick</t>
  </si>
  <si>
    <t>Clinical Research in Oral Health</t>
  </si>
  <si>
    <t>Giannobile, William V.; Burt, Brian A.; Genco, Robert J.</t>
  </si>
  <si>
    <t>Community-Based Health Interventions</t>
  </si>
  <si>
    <t>Guttmacher, Sally; Kelly, Patricia J.; Ruiz-Janecko, Yumary; Ruiz-Janecko, Yumary</t>
  </si>
  <si>
    <t>Thermodynamics of Pharmaceutical Systems : An introduction to Theory and Applications</t>
  </si>
  <si>
    <t>Connors, Kenneth A.; Mecozzi, Sandro</t>
  </si>
  <si>
    <t>Implant Laboratory Procedures : A Step-by-Step Guide</t>
  </si>
  <si>
    <t>Drago, Carl; Peterson, Thomas</t>
  </si>
  <si>
    <t>Esthetic Dentistry in Clinical Practice</t>
  </si>
  <si>
    <t>Geissberger, Marc</t>
  </si>
  <si>
    <t>Toxicology of Solvents</t>
  </si>
  <si>
    <t>McParland, Maeve; Bates, N.</t>
  </si>
  <si>
    <t>Engineering; Medicine; Engineering: Chemical</t>
  </si>
  <si>
    <t>Role of Poly(Vinyl Chloride) in Healthcare</t>
  </si>
  <si>
    <t>Blass, Colin R.</t>
  </si>
  <si>
    <t>Food Contact Materials - Rubbers, Silicones, Coatings and Inks : Rubbers, Silicones, Coatings and Inks</t>
  </si>
  <si>
    <t>Health; Social Science; Engineering; Engineering: Chemical</t>
  </si>
  <si>
    <t>Cases for PACES</t>
  </si>
  <si>
    <t>Hoole, Stephen; Fry, Andrew; Hodson, Daniel; Davies, Rachel</t>
  </si>
  <si>
    <t>Developing and Delivering Practice-Based Evidence : A Guide for the Psychological Therapies</t>
  </si>
  <si>
    <t>Barkham, Michael; Hardy, Gillian E.; Mellor-Clark, John</t>
  </si>
  <si>
    <t>A Practical Manual of Diabetes in Pregnancy</t>
  </si>
  <si>
    <t>McCance, David R.; Maresh, Michael; Sacks, David A.</t>
  </si>
  <si>
    <t>Problem Based Learning in Health and Social Care</t>
  </si>
  <si>
    <t>Clouston, Teena; Westcott, Lyn; Whitcombe, Steven W.; Riley, Jill; Matheson, Ruth</t>
  </si>
  <si>
    <t>Forensic Psychology</t>
  </si>
  <si>
    <t>Towl, Graham J.; Crighton, David A.</t>
  </si>
  <si>
    <t>Body Dysmorphic Disorder : A Treatment Manual</t>
  </si>
  <si>
    <t>Veale, David; Neziroglu, Fugen</t>
  </si>
  <si>
    <t>Healthcare Research : A Handbook for Students and Practitioners</t>
  </si>
  <si>
    <t>Hohl, Joan; Priest, Helena; Roberts, Paula</t>
  </si>
  <si>
    <t>Embedding Evidence-Based Practice in Speech and Language Therapy : International Examples</t>
  </si>
  <si>
    <t>Roddam, Hazel; Skeat, Jemma</t>
  </si>
  <si>
    <t>Improving Healthcare through Built Environment Infrastructure</t>
  </si>
  <si>
    <t>Kagioglou, Michail; Tzortzopoulos, Patricia; Kagioglou, Mike</t>
  </si>
  <si>
    <t>Social Science; Health; Architecture</t>
  </si>
  <si>
    <t>Leukaemia Diagnosis</t>
  </si>
  <si>
    <t>Innovation in Action : Healthcare Team</t>
  </si>
  <si>
    <t>Endsley, Scott; Endsley, D Scott</t>
  </si>
  <si>
    <t>Injectable Fillers : Principles and Practice</t>
  </si>
  <si>
    <t>Jones, Derek</t>
  </si>
  <si>
    <t>Choosing Tomorrow's Children : The Ethics of Selective Reproduction</t>
  </si>
  <si>
    <t>Wilkinson, Stephen</t>
  </si>
  <si>
    <t>Truth Machine : The Contentious History of DNA Fingerprinting</t>
  </si>
  <si>
    <t>Lynch, Michael; Cole, Simon A.; McNally, Ruth; Jordan, Kathleen</t>
  </si>
  <si>
    <t>Making Gray Gold : Narratives of Nursing Home Care</t>
  </si>
  <si>
    <t>Diamond, Timothy; Stimpson, Catherine R.</t>
  </si>
  <si>
    <t>Environmental Impacts on Reproductive Health and Fertility</t>
  </si>
  <si>
    <t>Woodruff, Tracey J.; Janssen, Sarah J.; Guillette, Jr, Louis J.; Giudice, Linda C.</t>
  </si>
  <si>
    <t>Principles and Practice of Lifespan Developmental Neuropsychology</t>
  </si>
  <si>
    <t>Donders, Jacobus; Hunter, Scott J.</t>
  </si>
  <si>
    <t>Maternal-Fetal Nutrition During Pregnancy and Lactation</t>
  </si>
  <si>
    <t>Symonds, Michael E.; Ramsay, Margaret M.</t>
  </si>
  <si>
    <t>Office-Based Cosmetic Procedures and Techniques</t>
  </si>
  <si>
    <t>Eremia, Sorin</t>
  </si>
  <si>
    <t>The Agile Approach to Adaptive Research : Optimizing Efficiency in Clinical Development</t>
  </si>
  <si>
    <t>Rosenberg, Michael J.; Ekins, Sean</t>
  </si>
  <si>
    <t>Vanilloid Receptor TRPV1 in Drug Discovery : Targeting Pain and Other Pathological Disorders</t>
  </si>
  <si>
    <t>Gomtsyan, Arthur; Faltynek, Connie R.</t>
  </si>
  <si>
    <t>Targeting Protein Kinases for Cancer Therapy</t>
  </si>
  <si>
    <t>Matthews, David J.; Gerritsen, Mary E.</t>
  </si>
  <si>
    <t>The Harvey Lectures : Series 102, 2006-2007</t>
  </si>
  <si>
    <t>Harvey Society; Harvey Society,; Lastharvey Society,</t>
  </si>
  <si>
    <t>Emergency Surgery</t>
  </si>
  <si>
    <t>Brooks, Adam; Cotton, Bryan A.; Tai, Nigel; Mahoney, Peter F.</t>
  </si>
  <si>
    <t>Advanced Practice in Critical Care : A Case Study Approach</t>
  </si>
  <si>
    <t>McGloin, Sarah; McLeod, Anne</t>
  </si>
  <si>
    <t>Clinical Dilemmas in Viral Liver Disease</t>
  </si>
  <si>
    <t>Foster, Graham R.; Reddy, K. Rajender</t>
  </si>
  <si>
    <t>Reflective Practice in Psychotherapy and Counselling</t>
  </si>
  <si>
    <t>Dallos, Rudi; Stedmon, Jacqui</t>
  </si>
  <si>
    <t>Advanced Health Assessment of Women, Second Edition : Clinical Skills and Procedures</t>
  </si>
  <si>
    <t>Carcio, Helen, MS, MEd, ANP-BC; Secor, Mimi, MS, RN, CS, FNP; Secor, Mimi Clarke; Helen Carcio MS, Rn; Mimi Clarke Secor MS, Rn; Mimi Secor MS, Rn</t>
  </si>
  <si>
    <t>Article 24 : The Right to Health</t>
  </si>
  <si>
    <t>Eide, Wenche Barth; Eide, Asbjø</t>
  </si>
  <si>
    <t>Aids and Religious Practice in Africa</t>
  </si>
  <si>
    <t>Becker, Felicitas; Geissler, Wenzel</t>
  </si>
  <si>
    <t>Poison in Small Measure: Dr. Christopherson and the Cure for Bilharzia</t>
  </si>
  <si>
    <t>Crichton-Harris, Ann</t>
  </si>
  <si>
    <t>John the Physician's Therapeutics : A Medical Handbook in Vernacular Greek</t>
  </si>
  <si>
    <t>Zipser, Barbara</t>
  </si>
  <si>
    <t>Between Stress and Hope : From a Disease-centered to a Health-centered Perspective</t>
  </si>
  <si>
    <t>ABC-CLIO, LLC</t>
  </si>
  <si>
    <t>Jacoby, Rebecca; Keinan, Giora</t>
  </si>
  <si>
    <t>Petrelli, Jennifer; Petrelli, Jennifer M.; Wolin, Kathleen Y.</t>
  </si>
  <si>
    <t>ADHD</t>
  </si>
  <si>
    <t>Hammerness, Paul Graves</t>
  </si>
  <si>
    <t>Multiple Sclerosis</t>
  </si>
  <si>
    <t>Redressing the Emperor : Improving Our Children's Public Mental Health System</t>
  </si>
  <si>
    <t>Lyons, John S.</t>
  </si>
  <si>
    <t>Food Culture in Belgium</t>
  </si>
  <si>
    <t>Scholliers, Peter</t>
  </si>
  <si>
    <t>A Call to Be Whole : The Fundamentals of Health Care Reform</t>
  </si>
  <si>
    <t>Sowada, Barbara J.</t>
  </si>
  <si>
    <t>Health Care Reform Around the World</t>
  </si>
  <si>
    <t>ABC-CLIO</t>
  </si>
  <si>
    <t>Twaddle, Andrew</t>
  </si>
  <si>
    <t>Management of Fungal Plant Pathogens</t>
  </si>
  <si>
    <t>Arya, A.O.; Perello, A.E.</t>
  </si>
  <si>
    <t>Understanding Emerging Epidemics : Social and Political Approaches</t>
  </si>
  <si>
    <t>Mukherjea, Ananya</t>
  </si>
  <si>
    <t>Subtle Suicide : Our Silent Epidemic of Ambivalence about Living</t>
  </si>
  <si>
    <t>Church, Michael A.; Brooks, Charles I.</t>
  </si>
  <si>
    <t>Helping People Addicted to Methamphetamine : A Creative New Approach for Families and Communities</t>
  </si>
  <si>
    <t>Taylor, Nicolas T.; Covey, Herbert C.</t>
  </si>
  <si>
    <t>Statistical Handbook on Infectious Diseases</t>
  </si>
  <si>
    <t>Watstein, Sarah; Jovanovic, John</t>
  </si>
  <si>
    <t>Risk, Culture, and Health Inequality : Shifting Perceptions of Danger and Blame</t>
  </si>
  <si>
    <t>Harthorn, Barbara Herr; Oaks, Laury</t>
  </si>
  <si>
    <t>Havens : Stories of True Community Healing</t>
  </si>
  <si>
    <t>Jason, Leonard A.; Perdoux, Martin; Moore, Thomas</t>
  </si>
  <si>
    <t>The Comprehensive Guide to Skin Care : From Acne to Wrinkles, What to Do (and Not Do) to Stay Healthy and Look Your Best</t>
  </si>
  <si>
    <t>Campen, Rebecca B.; MD, Rebecca B</t>
  </si>
  <si>
    <t>Emerging Biological Threats : A Reference Guide</t>
  </si>
  <si>
    <t>Callahan, Joan R.</t>
  </si>
  <si>
    <t>Food Culture in Germany</t>
  </si>
  <si>
    <t>Heinzelmann, Ursula</t>
  </si>
  <si>
    <t>Shock Therapy for the American Health Care System : Why Comprehensive Reform Is Needed</t>
  </si>
  <si>
    <t>Levine, Robert</t>
  </si>
  <si>
    <t>No Child Left Different</t>
  </si>
  <si>
    <t>Olfman, Sharna; Levine, Mel</t>
  </si>
  <si>
    <t>Broken Men : Shell Shock, Treatment and Recovery in Britain, 1914-1930</t>
  </si>
  <si>
    <t>Reid, Fiona</t>
  </si>
  <si>
    <t>Labor's Civil War in California : The NUHW Healthcare Workers' Rebellion</t>
  </si>
  <si>
    <t>Winslow, Cal</t>
  </si>
  <si>
    <t>Dry Mouth : The Malevolent Symptom: A Clinical Guide</t>
  </si>
  <si>
    <t>Sreebny, Leo M.; Vissink, Arjan</t>
  </si>
  <si>
    <t>Practical Guide to the Genetic Family History</t>
  </si>
  <si>
    <t>Bennett, Robin L.</t>
  </si>
  <si>
    <t>Doing Therapy with Children and Adolescents with Asperger Syndrome</t>
  </si>
  <si>
    <t>Bromfield, Richard</t>
  </si>
  <si>
    <t>Health Care in the United States : Organization, Management, and Policy</t>
  </si>
  <si>
    <t>Greenwald, Howard P.</t>
  </si>
  <si>
    <t>BACE : Lead Target for Orchestrated Therapy of Alzheimer's Disease</t>
  </si>
  <si>
    <t>John, Varghese</t>
  </si>
  <si>
    <t>Biotechnology Policy Across National Boundaries : The Science-Industrial Complex</t>
  </si>
  <si>
    <t>West, Darrell M.</t>
  </si>
  <si>
    <t>Engineering; Engineering: Chemical; Political Science</t>
  </si>
  <si>
    <t>The American Glaucoma Society : Its founding and first 25 Years</t>
  </si>
  <si>
    <t>Shields, M.B.; Spaeth, GL</t>
  </si>
  <si>
    <t>Tracheostomies : The Complete Guide</t>
  </si>
  <si>
    <t>Morris, Linda, Dr., PhD, APN, CCNS; Afifi, M. Sherif, Dr., MD, FCCM, FCCP</t>
  </si>
  <si>
    <t>Handbook of Forensic Neuropsychology, Second Edition</t>
  </si>
  <si>
    <t>Hartlage, Lawrence C., PhD, ABPP, ABPN; Horton, Arthur MacNeill, Jr., EdD, ABPP, ABPN</t>
  </si>
  <si>
    <t>Clinical Teaching Strategies in Nursing, Third Edition</t>
  </si>
  <si>
    <t>Gaberson, Kathleen, Dr., PhD, RN, CNOR, CNE, ANEF; Oermann, Marilyn, Dr., PhD, RN, FAAN, ANEF</t>
  </si>
  <si>
    <t>Transitions Theory : Middle-range and Situation-specific Theories in Nursing Research and Practice</t>
  </si>
  <si>
    <t>Meleis, Afaf</t>
  </si>
  <si>
    <t>Refusing Care : Forced Treatment and the Rights of the Mentally Ill</t>
  </si>
  <si>
    <t>Saks, Elyn R.</t>
  </si>
  <si>
    <t>Hermaphroditism, Medical Science and Sexual Identity in Spain, 1850 - 1960</t>
  </si>
  <si>
    <t>University of Wales Press</t>
  </si>
  <si>
    <t>Cleminson, Richard; García, Francisco Vásquez</t>
  </si>
  <si>
    <t>The Retail Revolution in Health Care</t>
  </si>
  <si>
    <t>Fottler, Myron D.; Malvey, Donna M.</t>
  </si>
  <si>
    <t>Life, Death, and in-between on the U. S. -Mexico Border : Asi´ Es la Vida</t>
  </si>
  <si>
    <t>Loustaunau, Martha O.; Sánchez-Bane, Mary; Loustaunau, Martha O.; Sanchez-Bane, Mary</t>
  </si>
  <si>
    <t>The Progressive Era's Health Reform Movement : A Historical Dictionary</t>
  </si>
  <si>
    <t>Engs, Ruth C.</t>
  </si>
  <si>
    <t>Oxford American Handbook of Physical Medicine &amp; Rehabilitation</t>
  </si>
  <si>
    <t>Weiss, Lyn; Weiss, Jay; Pobre, Thomas</t>
  </si>
  <si>
    <t>Integrative Women's Health</t>
  </si>
  <si>
    <t>Maizes, Victoria; Dog, Tieraona Low</t>
  </si>
  <si>
    <t>Oxford American Handbook of Sports Medicine</t>
  </si>
  <si>
    <t>Bytomski, Jeffrey R.; Moorman, Claude T.; MacAuley, Domhnall</t>
  </si>
  <si>
    <t>Oxford American Pocket Notes Postoperative Ileus</t>
  </si>
  <si>
    <t>Gan, TJ; Delaney, C P</t>
  </si>
  <si>
    <t>Worst Case Bioethics : Death, Disaster, and Public Health</t>
  </si>
  <si>
    <t>Annas, George J.</t>
  </si>
  <si>
    <t>The Study of Anosognosia</t>
  </si>
  <si>
    <t>Foundations of Forensic Mental Health Assessment</t>
  </si>
  <si>
    <t>Heilbrun, Kirk; Grisso, Thomas; Goldstein, Alan M.</t>
  </si>
  <si>
    <t>Family-Focused Trauma Intervention : Using Metaphor and Play with Victims of Abuse and Neglect</t>
  </si>
  <si>
    <t>Pernicano, Pat</t>
  </si>
  <si>
    <t>Morbid Obesity : Peri-operative Management</t>
  </si>
  <si>
    <t>Alvarez, Adrian; Brodsky, Jay B.; Lemmens, Hendrikus J. M.; Morton, John M.</t>
  </si>
  <si>
    <t>Gynaecological Oncology</t>
  </si>
  <si>
    <t>Shafi, Mahmood I.; Earl, Helena M.; Tan, Li Tee</t>
  </si>
  <si>
    <t>Emergency Radiology</t>
  </si>
  <si>
    <t>Krishnam, Mayil S.; Curtis, John</t>
  </si>
  <si>
    <t>When Language Breaks Down : Analysing Discourse in Clinical Contexts</t>
  </si>
  <si>
    <t>Asp, Elissa D.; de Villiers, Jessica</t>
  </si>
  <si>
    <t>Pediatric Traumatic Brain Injury : New Frontiers in Clinical and Translational Research</t>
  </si>
  <si>
    <t>Anderson, Vicki; Yeates, Keith Owen</t>
  </si>
  <si>
    <t>Gastric Cancer</t>
  </si>
  <si>
    <t>Gore, Richard M.</t>
  </si>
  <si>
    <t>Faces of Intellectual Disability : Philosophical Reflections</t>
  </si>
  <si>
    <t>Carlson, Licia; Diedrich, Lisa</t>
  </si>
  <si>
    <t>Rehabilitation : Mobility, Exercise and Sports</t>
  </si>
  <si>
    <t>van der Woude, L.H.V.; Hoekstra, F.; de Groot, S.; Bijker, K.E. ; Dekker, R. ; Van Aanholt, P.C.T. ; Hettinga, F.J. ; Janssen, T.W.J. ; Houdijk, J.H.P.</t>
  </si>
  <si>
    <t>Neuroelectrodynamics : Understanding the Brain Language</t>
  </si>
  <si>
    <t>Aur, D.; Jog, M.S.</t>
  </si>
  <si>
    <t>Travel Medicine : Knowledge, Attitude, Practice and Immunisation</t>
  </si>
  <si>
    <t>Roukens, A.</t>
  </si>
  <si>
    <t>Consciousness, Awareness, and Anesthesia</t>
  </si>
  <si>
    <t>Mashour, George A.</t>
  </si>
  <si>
    <t>Molecular Biological and Immunological Techniques and Applications for Food Chemists</t>
  </si>
  <si>
    <t>Popping, Bert; Diaz-Amigo, Carmen; Hoenicke, Katrin</t>
  </si>
  <si>
    <t>Engineering; Engineering: Chemical; Health</t>
  </si>
  <si>
    <t>Managing the Documentation Maze : Answers to Questions You Didn't Even Know to Ask</t>
  </si>
  <si>
    <t>Gough, Janet; Nettleton, David</t>
  </si>
  <si>
    <t>Partners in Health : How Physicians and Hospitals Can Be Accountable Together</t>
  </si>
  <si>
    <t>Kaiser Permanente Institute for Health Policy; Kaiser Permanente Institute for Health Policy; Crosson, Francis J.; Tollen, Laura A.</t>
  </si>
  <si>
    <t>Portfolio, Program, and Project Management in the Pharmaceutical and Biotechnology Industries</t>
  </si>
  <si>
    <t>Harpum, Pete</t>
  </si>
  <si>
    <t>Business/Management; Medicine; Pharmacy</t>
  </si>
  <si>
    <t>Oxford Textbook of Palliative Nursing</t>
  </si>
  <si>
    <t>Ferrell, Betty R.; Coyle, Nessa</t>
  </si>
  <si>
    <t>Practical MR Physics : And Case File of MR Artifacts and Pitfalls</t>
  </si>
  <si>
    <t>Mamourian, Alexander C.</t>
  </si>
  <si>
    <t>Diseases During Pregnancy : Handbuch der Diagnosen von A–Z</t>
  </si>
  <si>
    <t>Briese, Volker; Bolz, Michael; Reimer, Toralf</t>
  </si>
  <si>
    <t>Counselling Ideologies : Queer Challenges to Heteronormativity</t>
  </si>
  <si>
    <t>Moon, Lyndsey</t>
  </si>
  <si>
    <t>Manual of Molecular and Clinical Lab Immunology</t>
  </si>
  <si>
    <t>Detrick, Barbara; Hamilton, Robert G.; Folds, James D.; Folds, James D.</t>
  </si>
  <si>
    <t>Pathogens and Toxins in Foods : Challenges and Intervention</t>
  </si>
  <si>
    <t>Juneja, Vijay K.; Sofos, John N.</t>
  </si>
  <si>
    <t>Multiscale Modeling of Particle Interactions : Applications in Biology and Nanotechnology</t>
  </si>
  <si>
    <t>King, Michael; Gee, David; King, Michael</t>
  </si>
  <si>
    <t>Lead Generation Approaches in Drug Discovery</t>
  </si>
  <si>
    <t>Rankovic, Zoran; Morphy, Richard</t>
  </si>
  <si>
    <t>Medicines Management : A Guide for Nurses</t>
  </si>
  <si>
    <t>Jevon, Philip; Payne, Liz; Higgins, Dan; Endecott, Ruth; Payne, Liz</t>
  </si>
  <si>
    <t>Obstetric Clinical Algorithms : Management and Evidence</t>
  </si>
  <si>
    <t>Norwitz, Errol R.; Belfort, Michael A.; Saade, George R.; Miller, Hugh; Saade, George R; Miller, Hugh</t>
  </si>
  <si>
    <t>HbA1c in Diabetes : Case studies using IFCC Units</t>
  </si>
  <si>
    <t>Gough, Stephen; Manley, Susan; Stratton, Irene</t>
  </si>
  <si>
    <t>Event-Based Decisions and Economics : Health Care, Social Welfare, Education and Criminal Justice</t>
  </si>
  <si>
    <t>Shemilt, Ian; Donaldson, Cam; Marsh, Kevin; Mugford, Miranda; Vale, Luke</t>
  </si>
  <si>
    <t>Clinical Trials in Psychopharmacology : A Better Brain</t>
  </si>
  <si>
    <t>Hertzman, Marc; Adler, Lawrence</t>
  </si>
  <si>
    <t>Principles of Skin Care : A Guide for Nurses and Health Care Practitioners</t>
  </si>
  <si>
    <t>Penzer, Rebecca; Ersser, Steven</t>
  </si>
  <si>
    <t>Successfully Choosing Your EMR : 15 Crucial Decisions</t>
  </si>
  <si>
    <t>Gasch, Arthur; Gasch, Betty</t>
  </si>
  <si>
    <t>Stable Isotope Forensics : An Introduction to the Forensic Application of Stable Isotope Analysis</t>
  </si>
  <si>
    <t>Meier-Augenstein, Wolfram; Meier-Augenstein, Wolfram</t>
  </si>
  <si>
    <t>Cardiotoxicity of Non-Cardiovascular Drugs</t>
  </si>
  <si>
    <t>Minotti, Giorgio</t>
  </si>
  <si>
    <t>Measurement in Nursing and Health Research : Fourth Edition</t>
  </si>
  <si>
    <t>Waltz, Carolyn F., Dr., PhD, RN, FAAN; Strickland, Ora Lea, Dr., PhD, RN, FAAN; Lenz, Elizabeth R., Dr., PhD, RN, FAAN</t>
  </si>
  <si>
    <t>Understanding Mental Retardation : A Resource for Parents, Caregivers and Counselors</t>
  </si>
  <si>
    <t>University Press of Mississippi</t>
  </si>
  <si>
    <t>Ainsworth, Patricia; Baker, Pamela C</t>
  </si>
  <si>
    <t>Understanding Alzheimers Disease</t>
  </si>
  <si>
    <t>Cutler, Neal R.; Sramek, John J.</t>
  </si>
  <si>
    <t>Understanding Crohn Disease and Ulcerative Colitis</t>
  </si>
  <si>
    <t>Zonderman, Jon; Vender, Ronald; Vender, M D Ronald S</t>
  </si>
  <si>
    <t>Understanding Depression</t>
  </si>
  <si>
    <t>Ainsworth, Patricia</t>
  </si>
  <si>
    <t>Understanding Chronic Pain</t>
  </si>
  <si>
    <t>Myers, Ann; Bloom, Miriam; Myers, M D Ann</t>
  </si>
  <si>
    <t>Understanding Colon Cancer</t>
  </si>
  <si>
    <t>Bloom, Miriam; Adrouny, A Richard M D F a C P</t>
  </si>
  <si>
    <t>Understanding Hepatitis</t>
  </si>
  <si>
    <t>Bloom, Miriam</t>
  </si>
  <si>
    <t>Understanding Attention Deficit Hyperactivity Disorder</t>
  </si>
  <si>
    <t>Buttross, L Susan</t>
  </si>
  <si>
    <t>Understanding Cancer Therapies</t>
  </si>
  <si>
    <t>Chan, Helen</t>
  </si>
  <si>
    <t>Understanding Addiction</t>
  </si>
  <si>
    <t>Henderson, Elizabeth; Cotton, Trystan T</t>
  </si>
  <si>
    <t>Understanding Dietary Supplements : A Handy Guide to the Evaluation and Use of Vitamins, Minerals, Herbs, Botanicals, and More</t>
  </si>
  <si>
    <t>Hollenstein, Jenna</t>
  </si>
  <si>
    <t>Understanding Cosmetic Laser Surgery</t>
  </si>
  <si>
    <t>Langdon, Robert; Langdon, M D Robert ; Nick, Nguyen</t>
  </si>
  <si>
    <t>Understanding Stuttering</t>
  </si>
  <si>
    <t>Lavid, Nathan</t>
  </si>
  <si>
    <t>Squint : My Journey with Leprosy</t>
  </si>
  <si>
    <t>Ramirez, Jose P; Carville, James</t>
  </si>
  <si>
    <t>Understanding Panic and Other Anxiety Disorders : And Other Anxiety Disorders</t>
  </si>
  <si>
    <t>Root, Benjamin; Root, M D Benjamin</t>
  </si>
  <si>
    <t>Understanding Child Sexual Abuse</t>
  </si>
  <si>
    <t>Rowan, Edward; Rowan, M D Edward L ; Rowan, Edward L</t>
  </si>
  <si>
    <t>Understanding Childhood Obesity</t>
  </si>
  <si>
    <t>Smith, Clinton</t>
  </si>
  <si>
    <t>Understanding Herpes</t>
  </si>
  <si>
    <t>Stanberry, Lawrence; Stanberry, M D Ph D Lawrence R ; Stanberry, Lawrence R</t>
  </si>
  <si>
    <t>Deadhouse : Life in a Coroners Office</t>
  </si>
  <si>
    <t>Temple, John</t>
  </si>
  <si>
    <t>Understanding Migraine and Other Headaches</t>
  </si>
  <si>
    <t>Tepper, Stewart J.; Tepper, M D Stewart J</t>
  </si>
  <si>
    <t>Understanding Breast Cancer Genetics</t>
  </si>
  <si>
    <t>Zimmerman, Barbara T.</t>
  </si>
  <si>
    <t>Accelerating the Education Sector Response to HIV : Five Years of Experience from Sub-Saharan Africa</t>
  </si>
  <si>
    <t>Bundy, Donald A.P.; Patrikios, Anthi; Mannathoko, Changu; Tembon, Andy; Manda, Stella; Sarr, Bachir; Drake, Lesley</t>
  </si>
  <si>
    <t>Back Pain : Back Pain</t>
  </si>
  <si>
    <t>Lee, John; Brook, Suzanne; Daniel, Clare</t>
  </si>
  <si>
    <t>Panic Disorder : Panic Disorder: the Facts</t>
  </si>
  <si>
    <t>Rachman, Stanley; de Silva, Padmal</t>
  </si>
  <si>
    <t>Lung Cancer : Lung Cancer</t>
  </si>
  <si>
    <t>Falk, Stephen; Williams, Chris</t>
  </si>
  <si>
    <t>Eating Disorders : The Facts</t>
  </si>
  <si>
    <t>Abraham, Suzanne</t>
  </si>
  <si>
    <t>Falls : Falls</t>
  </si>
  <si>
    <t>Darowski, Adam</t>
  </si>
  <si>
    <t>Rebirth of the Clinic : An Introduction to Spirituality in Health Care</t>
  </si>
  <si>
    <t>Sulmasy, Daniel P.</t>
  </si>
  <si>
    <t>Living with Learning Disabilities, Dying with Cancer : Thirteen Personal Stories</t>
  </si>
  <si>
    <t>Tuffrey-Wijne, Irene; Hollins, Sheila</t>
  </si>
  <si>
    <t>Public Health Ethics and Practice</t>
  </si>
  <si>
    <t>Peckham, Stephen; Hann, Alison</t>
  </si>
  <si>
    <t>Service User and Carer Involvement in Education for Health and Social Care : Promoting Partnership for Health</t>
  </si>
  <si>
    <t>McKeown, Michael; Malihi-Shoja, Lisa; Downe, Soo; Malihi-Shoja, Lisa</t>
  </si>
  <si>
    <t>Essential Guide to Blood Coagulation</t>
  </si>
  <si>
    <t>Blomback, Margareta; Antovic, Jovan</t>
  </si>
  <si>
    <t>Monitoring for Health Hazards at Work</t>
  </si>
  <si>
    <t>Cherrie, John; Howie, Robin; Semple, Sean; Ashton, Indira</t>
  </si>
  <si>
    <t>Occupational Therapy and Stroke</t>
  </si>
  <si>
    <t>Edmans, Judi; Edmans, Judi</t>
  </si>
  <si>
    <t>Facial Resurfacing</t>
  </si>
  <si>
    <t>Goldberg, David J.</t>
  </si>
  <si>
    <t>Diagnostic Hysteroscopy : A practical Guide</t>
  </si>
  <si>
    <t>RÃ¶mer, Thomas; Römer, Thomas</t>
  </si>
  <si>
    <t>The Spectrum of Text Types in Knowledge Transfer Within One Field of Science : Untersuchung anhand von Fachzeitschriften der Medizin</t>
  </si>
  <si>
    <t>Weinreich, Cornelia</t>
  </si>
  <si>
    <t>Palliative Care Nursing : Quality Care to the End of Life, Third Edition</t>
  </si>
  <si>
    <t>Martin, Gary, PhD; Matzo, Marianne LaPorte M., Phd, APRN, GNP-BC, FAAN; Sherman, Deborah Witt Witt, Phd, APRN, ANP-BC, FAAN</t>
  </si>
  <si>
    <t>Vital Signs : Stories from Intensive Care</t>
  </si>
  <si>
    <t>Hillman, Ken</t>
  </si>
  <si>
    <t>Yipping Tiger : And Other Tales from the Neuropsychiatric Clinic</t>
  </si>
  <si>
    <t>Sachdev, Perminder</t>
  </si>
  <si>
    <t>Science: General; Medicine</t>
  </si>
  <si>
    <t>Educating Physicians : A Call for Reform of Medical School and Residency</t>
  </si>
  <si>
    <t>Cooke, Molly; Irby, David M.; O'Brien, Bridget C.; Shulman, Lee S.</t>
  </si>
  <si>
    <t>Patient Safety</t>
  </si>
  <si>
    <t>Vincent, Charles</t>
  </si>
  <si>
    <t>Measuring the Gains from Medical Research : An Economic Approach</t>
  </si>
  <si>
    <t>Murphy, Kevin M.; Topel, Robert H.</t>
  </si>
  <si>
    <t>The Institutional Context of Population Change : Patterns of Fertility and Mortality across High-Income Nations</t>
  </si>
  <si>
    <t>Pampel, Fred C.</t>
  </si>
  <si>
    <t>Core Topics in Endocrinology in Anaesthesia and Critical Care</t>
  </si>
  <si>
    <t>Hall, George M.; Hunter, Jennifer M.; Cooper, Mark S.</t>
  </si>
  <si>
    <t>Incentives for Global Public Health : Patent Law and Access to Essential Medicines</t>
  </si>
  <si>
    <t>Pogge, Thomas; Rimmer, Matthew; Rubenstein, Kim</t>
  </si>
  <si>
    <t>Law; Health; Social Science</t>
  </si>
  <si>
    <t>Diagnostic Ultrasound : Physics and Equipment</t>
  </si>
  <si>
    <t>Hoskins, Peter R.; Martin, Kevin; Thrush, Abigail</t>
  </si>
  <si>
    <t>Physical Illness and Drugs of Abuse : A Review of the Evidence</t>
  </si>
  <si>
    <t>Gordon, Adam J.</t>
  </si>
  <si>
    <t>Cerebellar Disorders : A Practical Approach to Diagnosis and Management</t>
  </si>
  <si>
    <t>Manto, Mario Ubaldo; Pandolfo, Massimo</t>
  </si>
  <si>
    <t>Ethical Issues of Human Genetic Databases : A Challenge to Classical Health Research Ethics?</t>
  </si>
  <si>
    <t>Elger, Bernice; McLean, Professor Sheila A M</t>
  </si>
  <si>
    <t>Protocols for High-Risk Pregnancies</t>
  </si>
  <si>
    <t>Queenan, John T.; Hobbins, John C.; Spong, Catherine Y.</t>
  </si>
  <si>
    <t>Randomized Clinical Trials : Design, Practice and Reporting</t>
  </si>
  <si>
    <t>Machin, David; Fayers, Peter M.</t>
  </si>
  <si>
    <t>Dictionary of Epidemiology</t>
  </si>
  <si>
    <t>Porta, Miquel</t>
  </si>
  <si>
    <t>Working with Sexually Abusive Adolescents : A Practice Manual</t>
  </si>
  <si>
    <t>Hoghughi, Masud S; Bhate, Suryakant R; Graham, Finlay</t>
  </si>
  <si>
    <t>The Therapeutic Purposes of Reminiscence</t>
  </si>
  <si>
    <t>Bender, Michael P; Bauckham, Paulette; Norris, Andrew</t>
  </si>
  <si>
    <t>Psychotherapy and Science</t>
  </si>
  <si>
    <t>Langs, Rob</t>
  </si>
  <si>
    <t>Psychotherapy and Politics</t>
  </si>
  <si>
    <t>Biosecurity in the Global Age : Biological Weapons, Public Health, and the Rule of Law</t>
  </si>
  <si>
    <t>Stanford University Press</t>
  </si>
  <si>
    <t>Fidler, David P.; Gostin, Lawrence O.</t>
  </si>
  <si>
    <t>Social Science; Military Science</t>
  </si>
  <si>
    <t>Our Bodies, Ourselves and the Work of Writing</t>
  </si>
  <si>
    <t>Wells, Susan</t>
  </si>
  <si>
    <t>Guidelines for Trauma Quality Improvement Programmes</t>
  </si>
  <si>
    <t>Brief Profile on Tobacco Health Warnings in the South-East Asia Region</t>
  </si>
  <si>
    <t>Sixty years of WHO in Europe</t>
  </si>
  <si>
    <t>Promoting Health and Equity : Evidence Policy and Action; Cases from the Western Pacific Region</t>
  </si>
  <si>
    <t>Guidance on Testing and Counselling for HIV in Settings Attended by People Who Inject Drugs : Improving Access to Treatment Care and Prevention</t>
  </si>
  <si>
    <t>Clinical Guidelines for Withdrawal Management and Treatment of Drug Dependence in Closed Settings</t>
  </si>
  <si>
    <t>WHO; Who Regional Office for the Western Pacific,</t>
  </si>
  <si>
    <t>Health; Medicine; Social Science; Juvenile Literature</t>
  </si>
  <si>
    <t>Trade and Health : A Reference Guide</t>
  </si>
  <si>
    <t>Health; Medicine; Law</t>
  </si>
  <si>
    <t>Integrating Poverty and Gender into Health Programmes : A Sourcebook for Health Professionals; Module on Mental Health</t>
  </si>
  <si>
    <t>International Travel and Health 2010 : Situation as on 1 January 2010</t>
  </si>
  <si>
    <t>Assessing Tuberculosis Prevalence</t>
  </si>
  <si>
    <t>Measuring Transparency to Improve Good Governance in the Public Pharmaceutical Sector : Jordan</t>
  </si>
  <si>
    <t>Measuring Transparency to Improve Good Governance in the Public Pharmaceutical Sector : Lebanon</t>
  </si>
  <si>
    <t>Economics; Business/Management</t>
  </si>
  <si>
    <t>Progress on Sanitation and Drinking-water, 2010 Update : 2010 Update</t>
  </si>
  <si>
    <t>Engineering: Environmental; Engineering</t>
  </si>
  <si>
    <t>World Health Statistics 2010 : English</t>
  </si>
  <si>
    <t>Reputation and Power : Organizational Image and Pharmaceutical Regulation at the FDA</t>
  </si>
  <si>
    <t>Carpenter, Daniel P.; Carpenter, Daniel</t>
  </si>
  <si>
    <t>Frameworks of Choice : Predictive and Genetic Testing in Asia</t>
  </si>
  <si>
    <t>Sleeboom-Faulkner, Margaret</t>
  </si>
  <si>
    <t>The Impact of Early Life Trauma on Health and Disease : The Hidden Epidemic</t>
  </si>
  <si>
    <t>Lanius, Ruth A.; Vermetten, Eric; Pain, Clare</t>
  </si>
  <si>
    <t>Psychosomatic Medicine : An Introduction to Consultation-Liaison Psychiatry</t>
  </si>
  <si>
    <t>Amos, James J.; Robinson, Robert G.</t>
  </si>
  <si>
    <t>Genes, Brain and Development : The Neurocognition of Genetic Disorders</t>
  </si>
  <si>
    <t>Barnes, Marcia A.</t>
  </si>
  <si>
    <t>Ghodse's Drugs and Addictive Behaviour : A Guide to Treatment</t>
  </si>
  <si>
    <t>Ultrasonography in Reproductive Medicine and Infertility</t>
  </si>
  <si>
    <t>Rizk, Botros R. M. B.</t>
  </si>
  <si>
    <t>Outcome Measurement in Mental Health : Theory and Practice</t>
  </si>
  <si>
    <t>Trauer, Tom</t>
  </si>
  <si>
    <t>Clinical Nutrition in Practice</t>
  </si>
  <si>
    <t>Katsilambros, Nikolaos; Dimosthenopoulos, Charilaos; Kontogianni, Meropi D.; Manglara, Evangelia; Poulia, Kalliopi-Anna; Katsilambros, Nikolaos; Dimosthenopoulos, Charilaos; Kontogianni, Meropi D; Manglara, Evangelia; Poulia, Kalliopi-Anna</t>
  </si>
  <si>
    <t>Prenatal Diagnosis Cases and Clinical Challenges : Cases and Clinical Challenges</t>
  </si>
  <si>
    <t>DiMaio, Miriam S.; Fox, Joyce E.; Mahoney, Maurice J.</t>
  </si>
  <si>
    <t>Language and HIV/AIDS</t>
  </si>
  <si>
    <t>Higgins, Christina; Norton, Prof. Bonny</t>
  </si>
  <si>
    <t>Communication Disorders in Turkish</t>
  </si>
  <si>
    <t>Topbaş, Prof. Seyhun; Yavaş, Prof. Mehmet</t>
  </si>
  <si>
    <t>Dyslexia in the Foreign Language Classroom</t>
  </si>
  <si>
    <t>Nijakowska, Joanna</t>
  </si>
  <si>
    <t>Bodies and Language : Health, Ailments, Disabilities</t>
  </si>
  <si>
    <t>Ramanathan, Prof. Vaidehi</t>
  </si>
  <si>
    <t>Health Promotion and Aging : Practical Applications for Health Professionals, Fifth Edition</t>
  </si>
  <si>
    <t>Haber, David, PhD</t>
  </si>
  <si>
    <t>Writing DNP Clinical Case Narratives : Demonstrating and Evaluating Competency in Comprehensive Care</t>
  </si>
  <si>
    <t>Smolowitz, Janice; Honig, Judy; Reinisch, Courtney</t>
  </si>
  <si>
    <t>Still Broken : Understanding the U. S. Health Care System</t>
  </si>
  <si>
    <t>Davidson, Stephen M.</t>
  </si>
  <si>
    <t>Henry Kaplan and the Story of Hodgkin's Disease</t>
  </si>
  <si>
    <t>Jacobs, Charlotte</t>
  </si>
  <si>
    <t>The Public Health System in England</t>
  </si>
  <si>
    <t>Hunter, David J.; Marks, Linda; Smith, Katherine E.</t>
  </si>
  <si>
    <t>Leadership for Healthcare</t>
  </si>
  <si>
    <t>Hartley, Jean; Benington, John; Martin, Jane</t>
  </si>
  <si>
    <t>HPV and Other Infectious Agents in Cancer : Opportunities for Prevention and Public Health</t>
  </si>
  <si>
    <t>Krueger, Hans; Gallagher, Richard; Williams, Dan D.; Kerner, Jon; Stuart, Gavin</t>
  </si>
  <si>
    <t>Human Parasitology</t>
  </si>
  <si>
    <t>Bogitsh, Burton J.; Carter, Clint E.; Oeltmann, Thomas N.</t>
  </si>
  <si>
    <t>Essential Midwifery Practice : Postnatal Care</t>
  </si>
  <si>
    <t>Byrom, Sheena; Edwards, Grace; Bick, Debra</t>
  </si>
  <si>
    <t>Clinical Psychology in Practice</t>
  </si>
  <si>
    <t>Beinart, Helen; Kennedy, Paul; Llewelyn, Susan</t>
  </si>
  <si>
    <t>TNM Classification of Malignant Tumours</t>
  </si>
  <si>
    <t>Sobin, Leslie H.; Gospodarowicz, Mary K.; Wittekind, Christian; Sobin, Leslie H</t>
  </si>
  <si>
    <t>ABC of Practical Procedures</t>
  </si>
  <si>
    <t>Nutbeam, Tim; Daniels, Ron</t>
  </si>
  <si>
    <t>Gynecological Cancer Management : Identification, Diagnosis and Treatment</t>
  </si>
  <si>
    <t>Clarke-Pearson, Daniel; Soper, John; Clarke-Pearson, Daniel</t>
  </si>
  <si>
    <t>Care of the Dying and Deceased Patient : A Practical Guide for Nurses</t>
  </si>
  <si>
    <t>Biofilm Eradication and Prevention : A Pharmaceutical Approach to Medical Device Infections</t>
  </si>
  <si>
    <t>Shunmugaperumal , Tamilvanan</t>
  </si>
  <si>
    <t>Obesogenic Environments : Complexities, Perceptions, and Objective Measures</t>
  </si>
  <si>
    <t>Lake, Amelia; Townshend, Tim G.; Alvanides, Seraphim</t>
  </si>
  <si>
    <t>Person-Centred Nursing : Theory and Practice</t>
  </si>
  <si>
    <t>McCormack, Brendan; McCance, Tanya</t>
  </si>
  <si>
    <t>Interprofessional Teamwork for Health and Social Care</t>
  </si>
  <si>
    <t>Reeves, Scott; Lewin, Simon; Espin, Sherry; Zwarenstein, Merrick</t>
  </si>
  <si>
    <t>Cardiovascular Critical Care</t>
  </si>
  <si>
    <t>Griffiths, Mark J.D.; Cordingley, Jeremy; Price, Susanna; Price, Susanna</t>
  </si>
  <si>
    <t>Cardiac Pacemakers and Resynchronization Step by Step : An Illustrated Guide</t>
  </si>
  <si>
    <t>Barold, S. Serge; Stroobandt, Roland X.; Sinnaeve, Alfons F.</t>
  </si>
  <si>
    <t>Comparing Clinical Measurement Methods : A Practical Guide</t>
  </si>
  <si>
    <t>Carstensen, Bendix</t>
  </si>
  <si>
    <t>Screening for Brain Impairment : A Manual for Mental Health Practice, Third Edition</t>
  </si>
  <si>
    <t>Wedding, Danny, Dr., PhD, MPH; Getz, Glen E., Dr., PhD, ABN; Franzen, Michael D., Dr., PhD</t>
  </si>
  <si>
    <t>Nurse Practitioners : The Evolution and Future of Advanced Practice, Fifth Edition</t>
  </si>
  <si>
    <t>Sullivan-Marx, Eileen M, Dr., PhD, CRNP, RN, FAAN; McGivern, Diane O'Neill, PhD, MA, BSN; Fairman, Julie A. , PhD, RN, FAAN; Greenberg, Sherry A., MSN, BN, GNP-BC</t>
  </si>
  <si>
    <t>Geriatric Mental Health Disaster and Emergency Preparedness : Evidence-based Care Practices</t>
  </si>
  <si>
    <t>Mierswa, Therese M.; Howe, Judith L., PhD; Toner, John A., PhD</t>
  </si>
  <si>
    <t>Quick Reference to Adult and Older Adult Forensics : A Guide for Nurses and Other Health Care Professionals</t>
  </si>
  <si>
    <t>Brown, Kathleen M.; Muscari, Mary E.</t>
  </si>
  <si>
    <t>Teaching Technologies in Nursing &amp; the Health Professions : Beyond Simulation and Online Courses</t>
  </si>
  <si>
    <t>Bonnel, Wanda; Smith, Katharine</t>
  </si>
  <si>
    <t>Nature of Theoretical Thinking in Nursing : Third Edition</t>
  </si>
  <si>
    <t>Kim, Hesook Suzie, PhD, RN</t>
  </si>
  <si>
    <t>Fast Facts for the Medical Office Nurse : What You Really Need to Know in a Nutshell</t>
  </si>
  <si>
    <t>Richmeier, Sheila</t>
  </si>
  <si>
    <t>Vegetarianism : Movement or Moment?</t>
  </si>
  <si>
    <t>Maurer, Donna</t>
  </si>
  <si>
    <t>Biotechnology and the Human Good</t>
  </si>
  <si>
    <t>Mitchell, C. Ben; Pellegrino, Edmund D.; Elshtain, Jean Bethke</t>
  </si>
  <si>
    <t>Engineering; Engineering: Chemical; Philosophy</t>
  </si>
  <si>
    <t>Health Care Ethics : A Catholic Theological Analysis</t>
  </si>
  <si>
    <t>Ashley, Benedict M.; deBlois, Jean; O'Rourke, Kevin D.</t>
  </si>
  <si>
    <t>Religion; Medicine</t>
  </si>
  <si>
    <t>Health and Human Flourishing : Religion, Medicine, and Moral Anthropology</t>
  </si>
  <si>
    <t>Taylor, Carol R.; Dell'Oro, Roberto</t>
  </si>
  <si>
    <t>Healthy Voices, Unhealthy Silence : Advocacy and Health Policy for the Poor</t>
  </si>
  <si>
    <t>Grogan, Colleen M.; Gusmano, Michael K.</t>
  </si>
  <si>
    <t>African American Bioethics : Culture, Race, and Identity</t>
  </si>
  <si>
    <t>Prograis, Lawrence J. Jr.; Pellegrino, Edmund D.</t>
  </si>
  <si>
    <t>Artificial Nutrition and Hydration and the Permanently Unconscious Patient : The Catholic Debate</t>
  </si>
  <si>
    <t>Hamel, Ronald P.; Walter, James J.</t>
  </si>
  <si>
    <t>Practical Decision Making in Health Care Ethics : Cases and Concepts, Third Edition</t>
  </si>
  <si>
    <t>Devettere, Raymond J.</t>
  </si>
  <si>
    <t>Medical Care at the End of Life : A Catholic Perspective</t>
  </si>
  <si>
    <t>Kelly, David F.</t>
  </si>
  <si>
    <t>Sanctity of Human Life</t>
  </si>
  <si>
    <t>Novak, David</t>
  </si>
  <si>
    <t>Accountability : Patient Safety and Policy Reform</t>
  </si>
  <si>
    <t>Sharpe, Virginia A.</t>
  </si>
  <si>
    <t>Medical Governance : Values, Expertise, and Interests in Organ Transplantation</t>
  </si>
  <si>
    <t>Weimer, David L.</t>
  </si>
  <si>
    <t>Mental Health Services : A Public Health Perspective</t>
  </si>
  <si>
    <t>Levin, Bruce Lubotsky; Hennessy, Kevin D.; Petrila, John</t>
  </si>
  <si>
    <t>Tracking Medicine : A Researcher's Quest to Understand Health Care</t>
  </si>
  <si>
    <t>Wennberg, John E.</t>
  </si>
  <si>
    <t>Textbook of International Health: Global Health in a Dynamic World</t>
  </si>
  <si>
    <t>Birn, Anne-Emanuelle; Pillay, Yogan; Holtz, Timothy H.</t>
  </si>
  <si>
    <t>Menstrual Disorders in Womens' Life Stages : Neugeborenenperiode bis Postmenopause</t>
  </si>
  <si>
    <t>Göretzlehner, Gunther; Romer, Thomas; Göretzlehner, Ulf; Hjartarson, Benedikt</t>
  </si>
  <si>
    <t>Molecular Diagnostics of Infectious Diseases</t>
  </si>
  <si>
    <t>Kessler, Harald H.</t>
  </si>
  <si>
    <t>Islamic Terror : Conscious and Unconscious Motives</t>
  </si>
  <si>
    <t>Falk, Avner</t>
  </si>
  <si>
    <t>Anxiety</t>
  </si>
  <si>
    <t>Ghinassi, Cheryl Winning</t>
  </si>
  <si>
    <t>Consumption Challenged : Food in Medialised Everyday Lives</t>
  </si>
  <si>
    <t>Halkier, Bente</t>
  </si>
  <si>
    <t>Helicobacter pylori in the 21st Century</t>
  </si>
  <si>
    <t>Sutton, P.; Mitchell, H.</t>
  </si>
  <si>
    <t>Clinical Cases in Restorative and Reconstructive Dentistry</t>
  </si>
  <si>
    <t>Tarantola, Gregory J.</t>
  </si>
  <si>
    <t>Practical Handbook of Echocardiography : 101 Case Studies</t>
  </si>
  <si>
    <t>Sun, Jing Ping; Felner, Joel; Merlino, John</t>
  </si>
  <si>
    <t>The Use and Misuse of Psychiatric Drugs : An Evidence-Based Critique</t>
  </si>
  <si>
    <t>Paris, Joel</t>
  </si>
  <si>
    <t>Deadly Dinner Party</t>
  </si>
  <si>
    <t>Edlow, Jonathon A</t>
  </si>
  <si>
    <t>Psychoonkologische Betreuung in der Gynäkologie</t>
  </si>
  <si>
    <t>Siedentopf, Friederike</t>
  </si>
  <si>
    <t>Thinking about Addiction : Hyperbolic Discounting and Responsible Agency</t>
  </si>
  <si>
    <t>Editions Rodopi</t>
  </si>
  <si>
    <t>Hanson, Craig</t>
  </si>
  <si>
    <t>Religion and Coping in Mental Health Care</t>
  </si>
  <si>
    <t>Pieper, Joseph; Van Uden, Marinus</t>
  </si>
  <si>
    <t>Bioethics and Social Reality</t>
  </si>
  <si>
    <t>Hayry, Matti; Takala, Tuija; Herissone-Kelly, Peter</t>
  </si>
  <si>
    <t>Bioethics and Vulnerability : A Latin American View</t>
  </si>
  <si>
    <t>Luna, Florencia; Herissone-Kelly, Peter; Pakter, Laura</t>
  </si>
  <si>
    <t>Tapestry of Health, Illness and Disease</t>
  </si>
  <si>
    <t>Kalitzkus, Vera; Twohig, Peter L.</t>
  </si>
  <si>
    <t>Ectogenesis : Artificial Womb Technology and the Future of Human Reproduction</t>
  </si>
  <si>
    <t>Gelfand, Scott; Shook, John R.</t>
  </si>
  <si>
    <t>Endings : On Termination in Psychoanalysis</t>
  </si>
  <si>
    <t>Ferraro, Fausta; Garella, Alessandro; Zinn, Dorothy L.</t>
  </si>
  <si>
    <t>Control and the Therapeutic Trial : Rhetoric and Experimentation in Britain, 1918-48</t>
  </si>
  <si>
    <t>Edwards, Martin</t>
  </si>
  <si>
    <t>Moral Conflicts of Organ Retrieval : A Case for Constructive Pluralism</t>
  </si>
  <si>
    <t>Hinkley, Charles C.</t>
  </si>
  <si>
    <t>Social Studies of Health, Illness and Disease : Perspectives from the Social Sciences and Humanities</t>
  </si>
  <si>
    <t>Twohig, Peter L.; Kalitzkus, Vera</t>
  </si>
  <si>
    <t>Ethics in Biomedical Research : International Perspectives</t>
  </si>
  <si>
    <t>Hayry, Matti; Takala, Tuiji; Herissone-Kelly, Peter</t>
  </si>
  <si>
    <t>Attending Madness : At Work in the Australian Colonial Asylum</t>
  </si>
  <si>
    <t>Monk, Lee-Ann</t>
  </si>
  <si>
    <t>Bordering Biomedicine</t>
  </si>
  <si>
    <t>Entering an Online Support Group on Eating Disorders : A Discourse Analysis</t>
  </si>
  <si>
    <t>Wyke, Stommel</t>
  </si>
  <si>
    <t>'The Cruel Madness of Love' : Sex, Syphilis and Psychiatry in Scotland, 1880-1930</t>
  </si>
  <si>
    <t>Davis, Gayle</t>
  </si>
  <si>
    <t>British Military and Naval Medicine, 1600-1830</t>
  </si>
  <si>
    <t>Hudson, Geoffrey L.</t>
  </si>
  <si>
    <t>Medicine-by-Post : The Changing Voice of Illness in Eighteenth-Century British Consultation Letters and Literature</t>
  </si>
  <si>
    <t>Wild, Wayne</t>
  </si>
  <si>
    <t>'A Cheap, Safe and Natural Medicine' : Religion, Medicine and Culture in John Wesley's Primitive Physic</t>
  </si>
  <si>
    <t>Madden, Deborah</t>
  </si>
  <si>
    <t>Permeable Walls : Historical Perspectives on Hospital and Asylum Visiting</t>
  </si>
  <si>
    <t>Mooney, Graham; Reinarz, Jonathan</t>
  </si>
  <si>
    <t>Healing Bodies, Saving Souls : Medical Missions in Asia and Africa</t>
  </si>
  <si>
    <t>Hardiman, David</t>
  </si>
  <si>
    <t>Health; Social Science; Religion</t>
  </si>
  <si>
    <t>Cross-Cultural Issues in Bioethics : The Example of Human Cloning</t>
  </si>
  <si>
    <t>Roetz, Heiner</t>
  </si>
  <si>
    <t>Science: Biology/Natural History; Philosophy; Science</t>
  </si>
  <si>
    <t>Cold War in Psychiatry : Human Factors, Secret Actor</t>
  </si>
  <si>
    <t>Van Voren, Robert</t>
  </si>
  <si>
    <t>Medical and Care Compunetics 6</t>
  </si>
  <si>
    <t>Benton, S.; Blobel, B.; Bos, L.</t>
  </si>
  <si>
    <t>Seamless Care - Safe Care</t>
  </si>
  <si>
    <t>Blobel, B.; Gunnarsdóttir, V.; Hvannberg, E.Þ.; European Federation for Medical Informatics,</t>
  </si>
  <si>
    <t>Annual Review of Cybertherapy and Telemedicine 2010</t>
  </si>
  <si>
    <t>Kim, S.I.; Riva, G.; Wiederhold, B.K.</t>
  </si>
  <si>
    <t>Clinical Use of Pediatric Diagnostic Tests</t>
  </si>
  <si>
    <t>Gilbert-Barness, E.; Barness, L.A.</t>
  </si>
  <si>
    <t>Basic Engineering for Medics and Biologists : An ESEM Primer</t>
  </si>
  <si>
    <t>Lee, T.C.; Niederer, P.F.</t>
  </si>
  <si>
    <t>Introduction to Family Therapy</t>
  </si>
  <si>
    <t>Dallos, Rudi; Draper, Ros</t>
  </si>
  <si>
    <t>Practical Guide to Care Planning in Health and Social Care</t>
  </si>
  <si>
    <t>Lloyd, Marjorie</t>
  </si>
  <si>
    <t>Dementia Care Workbook</t>
  </si>
  <si>
    <t>Morris, Gary; Morris, Jack</t>
  </si>
  <si>
    <t>Psychology for Midwives</t>
  </si>
  <si>
    <t>Raynor, Maureen; England, Carole</t>
  </si>
  <si>
    <t>Key Debates in Health Care : Key Debates in Health Care</t>
  </si>
  <si>
    <t>Taylor, Gary; Hawley, Helen</t>
  </si>
  <si>
    <t>The Symptom and the Subject : The Emergence of the Physical Body in Ancient Greece</t>
  </si>
  <si>
    <t>Holmes, Brooke</t>
  </si>
  <si>
    <t>Role of Faith-Based Organizations in HIV Prevention and Care in Central America</t>
  </si>
  <si>
    <t>Derose, Kathryn Pitkin; Kanouse, David E.; Kennedy, David P.; Patel, Kavita ; Leuschner, Kristin ; Martinez, Homero</t>
  </si>
  <si>
    <t>Afterimage : Film, Trauma and the Holocaust</t>
  </si>
  <si>
    <t>Irvin, Cass; Hirsch, Joshua</t>
  </si>
  <si>
    <t>The Chickens Fight Back : Pandemic Panics and Deadly Diseases That Jump from Animals to Humans</t>
  </si>
  <si>
    <t>Greystone Books</t>
  </si>
  <si>
    <t>Waltner-Toews, David</t>
  </si>
  <si>
    <t>The Renewal of Generosity : Illness, Medicine, and How to Live</t>
  </si>
  <si>
    <t>Frank, Arthur W.</t>
  </si>
  <si>
    <t>Suffering Made Real : American Science and the Survivors at Hiroshima</t>
  </si>
  <si>
    <t>Lindee, M. Susan</t>
  </si>
  <si>
    <t>Tackling Chronic Disease in Europe : Strategies, Interventions and Challenges</t>
  </si>
  <si>
    <t>Busse, R.; Blümel, L.; Scheller-Kreinsen, D.</t>
  </si>
  <si>
    <t>Natural Ventilation for Infection Control in Health-care Settings</t>
  </si>
  <si>
    <t>Atkinson, J.; Chartier, Y.; Pessoa-Silva, C. L</t>
  </si>
  <si>
    <t>Engineering: Environmental; Social Science; Health; Engineering</t>
  </si>
  <si>
    <t>Health and Environment in Europe : Progress Assessment</t>
  </si>
  <si>
    <t>Equity, Social Determinants and Public Health Programmes</t>
  </si>
  <si>
    <t>Scientific Basis of Tobacco Product Regulation : Third Report of a WHO Study Group</t>
  </si>
  <si>
    <t>Calcium and Magnesium in Drinking Water : Public Health Significance</t>
  </si>
  <si>
    <t>Guidelines for the Psychosocially Assisted Pharmacological Treatment of Opioid Dependence</t>
  </si>
  <si>
    <t>Pharmacological Treatment of Mental Disorders in Primary Health Care</t>
  </si>
  <si>
    <t>Practical Handbook on the Pharmacovigilance of Antiretroviral Medicines</t>
  </si>
  <si>
    <t>Hypertension in Pregnancy</t>
  </si>
  <si>
    <t>Heazell, Alexander; Norwitz, Errol R.; Kenny, Louise C.; Baker, Philip N.</t>
  </si>
  <si>
    <t>International Health and Aid Policies : The Need for Alternatives</t>
  </si>
  <si>
    <t>Unger, Jean-Pierre; De Paepe, Pierre; Sen, Kasturi; Soors, Werner</t>
  </si>
  <si>
    <t>Case Studies in Emergency Medicine</t>
  </si>
  <si>
    <t>Jeanmonod, Rebecca; Tomassi, Michelle; Mayer, Dan</t>
  </si>
  <si>
    <t>Secondary Schizophrenia</t>
  </si>
  <si>
    <t>Sachdev, Perminder S.; Keshavan, Matcheri S.</t>
  </si>
  <si>
    <t>Multiscale Modeling of Cancer : An Integrated Experimental and Mathematical Modeling Approach</t>
  </si>
  <si>
    <t>Cristini, Vittorio; Lowengrub, John</t>
  </si>
  <si>
    <t>Koenig and Schultz's Disaster Medicine : Comprehensive Principles and Practices</t>
  </si>
  <si>
    <t>Koenig, Kristi L.; Schultz, Carl H.</t>
  </si>
  <si>
    <t>Early Pregnancy</t>
  </si>
  <si>
    <t>Farquharson, Roy G.; Stephenson, Mary D.</t>
  </si>
  <si>
    <t>Colorectal Cancer</t>
  </si>
  <si>
    <t>Brown, Gina</t>
  </si>
  <si>
    <t>Pearls and Pitfalls in Abdominal Imaging : Pseudotumors, Variants and Other Difficult Diagnoses</t>
  </si>
  <si>
    <t>Coakley, Fergus V.</t>
  </si>
  <si>
    <t>Case Studies in Sleep Neurology : Common and Uncommon Presentations</t>
  </si>
  <si>
    <t>Culebras, Antonio</t>
  </si>
  <si>
    <t>Emerging Cancer Therapy : Microbial Approaches and Biotechnological Tools</t>
  </si>
  <si>
    <t>Fialho, Arsenio; Chakrabarty, Ananda</t>
  </si>
  <si>
    <t>Allergen Management in the Food Industry</t>
  </si>
  <si>
    <t>Boye, Joyce I.; Godefroy, Samuel Benrejeb</t>
  </si>
  <si>
    <t>Aggregation of Therapeutic Proteins</t>
  </si>
  <si>
    <t>Wang, Wei; Roberts, Christopher J.</t>
  </si>
  <si>
    <t>Mass Spectrometry in Sports Drug Testing : Characterization of Prohibited Substances and Doping Control Analytical Assays</t>
  </si>
  <si>
    <t>Thevis, Mario</t>
  </si>
  <si>
    <t>Monoclonal Antibody and Peptide-Targeted Radiotherapy of Cancer</t>
  </si>
  <si>
    <t>Reilly, Raymond M.; Reilly, Raymond M</t>
  </si>
  <si>
    <t>Witches, Midwives, &amp; Nurses : A History of Women Healers</t>
  </si>
  <si>
    <t>The Feminist Press at CUNY</t>
  </si>
  <si>
    <t>Ehrenreich, Barbara; English, Deirdre</t>
  </si>
  <si>
    <t>Courage After Fire : Coping Strategies for Troops Returning from Iraq and Afghanistan and Their Families</t>
  </si>
  <si>
    <t>Ulysses Press</t>
  </si>
  <si>
    <t>Armstrong, Keith; Best, Suzanne; Domenici, Paula; Dole, Bob</t>
  </si>
  <si>
    <t>Broadening the Dementia Debate : Towards Social Citizenship</t>
  </si>
  <si>
    <t>Bartlett, Ruth; O'Connor, Deborah</t>
  </si>
  <si>
    <t>Towards an Emancipation of Patients : Patients' Experience and the Patient Movement</t>
  </si>
  <si>
    <t>Williamson, Charlotte</t>
  </si>
  <si>
    <t>Scientific Characters : Rhetoric, Politics, and Trust in Breast Cancer Research</t>
  </si>
  <si>
    <t>Keränen, Lisa; Lucaites, John Louis</t>
  </si>
  <si>
    <t>Safe Food : The Politics of Food Safety</t>
  </si>
  <si>
    <t>Nestle, Marion; Nestle</t>
  </si>
  <si>
    <t>Politics of Polio in Northern Nigeria</t>
  </si>
  <si>
    <t>Renne, Elisha P.</t>
  </si>
  <si>
    <t>Florence Nightingale's Notes on Nursing and Notes on Nursing for the Labouring Classes : Commemorative Edition with Historical Commentary</t>
  </si>
  <si>
    <t>Skretkowicz, Victor; Skretkowicz, Victor Phd Dr</t>
  </si>
  <si>
    <t>Reproducing Women : Medicine, Metaphor, and Childbirth in Late Imperial China</t>
  </si>
  <si>
    <t>Wu, Yi-Li</t>
  </si>
  <si>
    <t>Hemodynamic Rounds : Interpretation of Cardiac Pathophysiology from Pressure Waveform Analysis</t>
  </si>
  <si>
    <t>Lim, Michael J.; Goldstein, James A.; Kern, Morton J.</t>
  </si>
  <si>
    <t>Pediatric Drug Development : Concepts and Applications</t>
  </si>
  <si>
    <t>Mulberg, Andrew E.; Silber, Steven A.; van den Anker, John N.</t>
  </si>
  <si>
    <t>A Guide to Genetic Counseling</t>
  </si>
  <si>
    <t>Uhlmann, Wendy R.; Schuette, Jane L.; Yashar, Beverly; Uhlmann, Wendy R; Schuette, Jane L; Yashar, Beverly</t>
  </si>
  <si>
    <t>Organelle-Specific Pharmaceutical Nanotechnology</t>
  </si>
  <si>
    <t>Weissig, Volkmar; D'Souza, Gerard G.</t>
  </si>
  <si>
    <t>Pharmaceutical and Biomedical Project Management in a Changing Global Environment</t>
  </si>
  <si>
    <t>Babler, Scott D.; Ekins, Sean; Babler, Scott D</t>
  </si>
  <si>
    <t>Viral Oncology : Basic Science and Clinical Applications</t>
  </si>
  <si>
    <t>Khalili, Kamel; Jeang, Kuan-Teh</t>
  </si>
  <si>
    <t>Modern Drug Synthesis</t>
  </si>
  <si>
    <t>Li, Jie Jack; Johnson, Douglas S.</t>
  </si>
  <si>
    <t>Cancer Cytogenetics : Chromosomal and Molecular Genetic Abberations of Tumor Cells</t>
  </si>
  <si>
    <t>Heim, Sverre; Mitelman, Felix; Heim</t>
  </si>
  <si>
    <t>Pain in Osteoarthritis</t>
  </si>
  <si>
    <t>Felson, David T.; Schaible, Hans-Georg</t>
  </si>
  <si>
    <t>Early Drug Development : Strategies and Routes to First-in-Human Trials</t>
  </si>
  <si>
    <t>Cayen, Mitchell N.; Cayen, Mitchell N</t>
  </si>
  <si>
    <t>Practical Gastroenterology and Hepatology : Esophagus and Stomach</t>
  </si>
  <si>
    <t>Talley, Nicholas J.; DeVault, Kenneth R.; Fleischer, David E.</t>
  </si>
  <si>
    <t>The Hands-On Guide to Data Interpretation</t>
  </si>
  <si>
    <t>Abraham, Sasha; Kulkarni, Kunal; Madhu, Rashmi; Provan, Drew</t>
  </si>
  <si>
    <t>Basic Guide to Orthodontic Dental Nursing</t>
  </si>
  <si>
    <t>Grist, Fiona</t>
  </si>
  <si>
    <t>Last Best Gifts : Altruism and the Market for Human Blood and Organs</t>
  </si>
  <si>
    <t>Healy, Kieran</t>
  </si>
  <si>
    <t>FAO/WHO Guidelines on Risk Characterization of Microbiological Hazards in Food : Microbiological Risk Assessment Series  No. 17</t>
  </si>
  <si>
    <t>FAO/WHO</t>
  </si>
  <si>
    <t>Health; Agriculture; Social Science</t>
  </si>
  <si>
    <t>FAO/WHO Technical Meeting on Salmonella and Campylobacter in Chicken Meat : Microbiological Risk Assessment Series  No. 19</t>
  </si>
  <si>
    <t>Science: Biology/Natural History; Engineering: Chemical; Science; Engineering</t>
  </si>
  <si>
    <t>WHO Recommended Classification of Pesticides by Hazard and Guidelines to Classification 2009</t>
  </si>
  <si>
    <t>Social Science; Agriculture</t>
  </si>
  <si>
    <t>Safe Management of Shellfish and Harvest Waters : Minimizing Health Risks from Sewage-contaminated Shellfish</t>
  </si>
  <si>
    <t>Rees, G.; Pond, K.; Kay, D.</t>
  </si>
  <si>
    <t>Health; Social Science; Sport &amp; Recreation</t>
  </si>
  <si>
    <t>Practical Guide to Developing and Implementing School Policy on Diet and Physical Activity</t>
  </si>
  <si>
    <t>WHO Basic Documents 2009</t>
  </si>
  <si>
    <t>Safety Evaluation of Certain Food Additives : Seventy-first Meeting of the Joint FAO/WHO Expert Committee on Food Additives (JECFA)</t>
  </si>
  <si>
    <t>Good Laboratory Practice Training Manual for the Trainee : A Tool for Training and Promoting Good Laboratory Practice (GLP) Concepts in Disease Endemic Countries</t>
  </si>
  <si>
    <t>Business/Management; Science</t>
  </si>
  <si>
    <t>Alcohol and Injuries : Emergency Department Studies in an International Perspective</t>
  </si>
  <si>
    <t>Increasing Access to Health Workers in Remote and Rural Areas through Improved Retention : Global Policy Recommendations</t>
  </si>
  <si>
    <t>Measuring Health and Disability : Manual for WHO Disability Assessment Schedule (WHODAS 2.0)</t>
  </si>
  <si>
    <t>Good Laboratory Practice : Quality Practices for Regulated Non-clinical Research and Development</t>
  </si>
  <si>
    <t>Science; Law</t>
  </si>
  <si>
    <t>Basic Malaria Microscopy, Part II : Tutor's Guide</t>
  </si>
  <si>
    <t>Guide to Hygiene and Sanitation in Aviation</t>
  </si>
  <si>
    <t>Treatment of Tuberculosis : Guidelines</t>
  </si>
  <si>
    <t>World Malaria Report 2009</t>
  </si>
  <si>
    <t>Progrès en matière d'assainissement et d'alimentation en eau : Rapport 2010</t>
  </si>
  <si>
    <t>Engineering: Environmental; Business/Management; Agriculture; Engineering</t>
  </si>
  <si>
    <t>Subsanar las desigualdades en una generación : alcanzar la equidad sanitaria actuando sobre los determinantes sociales de la salud; Informe final de la Comisión sobre Determinantes Sociales de la Salud</t>
  </si>
  <si>
    <t>Convenio marco de la OMS para el control del tabaco : directrices para la aplicación artículo 5.3 artículo 8 artículo 11 artículo 13</t>
  </si>
  <si>
    <t>World Health Organization; UNAIDS, ; World Health Organization, ; World Health Organization,</t>
  </si>
  <si>
    <t>Aplicación del pensamiento sistémico al fortalecimiento de los sistemas de salud</t>
  </si>
  <si>
    <t>The Treatment of Drinking Problems : A Guide to the Helping Professions</t>
  </si>
  <si>
    <t>Marshall, E. Jane; Humphreys, Keith; Ball, David M.; Edwards, Griffith; Edwards, Griffith</t>
  </si>
  <si>
    <t>Extra-Cranial Applications of Diffusion-Weighted MRI</t>
  </si>
  <si>
    <t>Taouli, Bachir</t>
  </si>
  <si>
    <t>Dementia : A Global Approach</t>
  </si>
  <si>
    <t>Krishnamoorthy, Ennapadam S.; Prince, Martin J.; Cummings, Jeffrey L.</t>
  </si>
  <si>
    <t>Multiple Sclerosis : Recovery of Function and Neurorehabilitation</t>
  </si>
  <si>
    <t>Kesselring, Jürg; Comi, Giancarlo; Thompson, Alan J.</t>
  </si>
  <si>
    <t>Cognitive-behavioral Therapy with Adults : A Guide to Empirically-informed Assessment and Intervention</t>
  </si>
  <si>
    <t>Hofmann, Stefan; Reinecke, Mark</t>
  </si>
  <si>
    <t>Instant Recess : Building a Fit Nation 10 Minutes at a Time</t>
  </si>
  <si>
    <t>Yancey, Toni</t>
  </si>
  <si>
    <t>Providing Diabetes Care in General Practice : A Practical Guide to Integrated Care</t>
  </si>
  <si>
    <t>Hall, Gwen</t>
  </si>
  <si>
    <t>Emerging Values in Health Care : The Challenge for Professionals</t>
  </si>
  <si>
    <t>Badcott, David; Ballard, Paul; Davies, Bronwen; Dumma, Moira; Edgar, Andrew; Hockley, Chrissie; Hurwitz, Brian; Knight, Lynn; Pattison, Stephen; Hannigan, Ben</t>
  </si>
  <si>
    <t>Children and Adolescents in Trauma : Creative Therapeutic Approaches</t>
  </si>
  <si>
    <t>Nicholson, Chris; Irwin, Michael; Dwivedi, Kedar Nath; Bradley, Christine; Bruce, Terry L.; Caviston, Paul; Cook, Diane; Marshal-Tierney, Jacqueline; Nicholson, Joanne; Saotome, Jane</t>
  </si>
  <si>
    <t>The Core Concepts of Occupational Therapy : A Dynamic Framework for Practice</t>
  </si>
  <si>
    <t>Creek, Jennifer; Lawson-Porter, Anne</t>
  </si>
  <si>
    <t>Substance Misuse : The Implications of Research, Policy and Practice</t>
  </si>
  <si>
    <t>Black, Margaret; Bryce, Anne; Coletti, Maurizio; Egan, James; Evans, Viv; Forrester, Donald; Fountain, Jane; Haw, Sally; Hunter, Neil; Barlow, Joy</t>
  </si>
  <si>
    <t>Safeguarding Children from Emotional Maltreatment : What Works</t>
  </si>
  <si>
    <t>Barlow, Jane; McMillan, Anita Schrader</t>
  </si>
  <si>
    <t>The One and Only Sam : A Story Explaining Idioms for Children with Asperger Syndrome or Other Communication Difficulties</t>
  </si>
  <si>
    <t>Stalker, Aileen; Spencer, Bob</t>
  </si>
  <si>
    <t>A Spectrum of Light : Inspirational Interviews with Families Affected by Autism</t>
  </si>
  <si>
    <t>Bierens, Francesca</t>
  </si>
  <si>
    <t>The Adolescent and Adult Neuro-diversity Handbook : Asperger's Syndrome, ADHD, Dyslexia, Dyspraxia and Related Conditions</t>
  </si>
  <si>
    <t>Hendrickx, Sarah; Salter, Claire</t>
  </si>
  <si>
    <t>Introduction to Counselling Survivors of Interpersonal Trauma</t>
  </si>
  <si>
    <t>Mental Health, Service User Involvement and Recovery</t>
  </si>
  <si>
    <t>Gosling, Julie; Greaves, Humphrey; Green, Liz; Kemp, Philip; Leiba, Tony; Raptopoulos, Aloyse; Wilks, Tom; Weinstein, Jenny</t>
  </si>
  <si>
    <t>Agents of Apocalypse : Epidemic Disease in the Colonial Philippines</t>
  </si>
  <si>
    <t>De Bevoise, Ken; De Bevoise, Ken De</t>
  </si>
  <si>
    <t>Shaping Health Policy Through Nursing Research</t>
  </si>
  <si>
    <t>Hinshaw, Ada Sue; Grady, Patricia A.</t>
  </si>
  <si>
    <t>Mathematics for Neuroscientists</t>
  </si>
  <si>
    <t>Gabbiani, Fabrizio; Cox, Steven James</t>
  </si>
  <si>
    <t>Principles of Biomedical Engineering</t>
  </si>
  <si>
    <t>Madihally, Sundararajan V.</t>
  </si>
  <si>
    <t>The Care of Brute Beasts : A Social and Cultural Study of Veterinary Medicine in Early Modern England</t>
  </si>
  <si>
    <t>Curth, Louise Hill</t>
  </si>
  <si>
    <t>HIV in China : Understanding the Social Aspects of the Pandemic</t>
  </si>
  <si>
    <t>University of New South Wales Press</t>
  </si>
  <si>
    <t>Jun, Jing; Worth, Heather</t>
  </si>
  <si>
    <t>Peripheral Neuropathies in Clinical Practice</t>
  </si>
  <si>
    <t>Herskovitz, Steven; Scelsa, Stephen N.; Schaumburg, Herbert H.</t>
  </si>
  <si>
    <t>Nurses on the Front Line : When Disaster Strikes, 1878-2010</t>
  </si>
  <si>
    <t>Wall, Barbra Mann; Keeling, Arlene W.</t>
  </si>
  <si>
    <t>Religion in the Bioethical Discourse : Interdisziplinäre, internationale und interreligiöse Perspektiven</t>
  </si>
  <si>
    <t>Voigt, Friedemann</t>
  </si>
  <si>
    <t>Medical Treatment of Glaucoma</t>
  </si>
  <si>
    <t>Weinreb, R.N.; ED</t>
  </si>
  <si>
    <t>Cancer Symptom Science : Measurement, Mechanisms, and Management</t>
  </si>
  <si>
    <t>Cleeland, Charles S.; Fisch, Michael J.; Dunn, Adrian J.</t>
  </si>
  <si>
    <t>Behavioral and Psychopharmacologic Pain Management</t>
  </si>
  <si>
    <t>Ebert, Michael H.; Kerns, Robert D.</t>
  </si>
  <si>
    <t>Diagnostic Techniques in Hematological Malignancies</t>
  </si>
  <si>
    <t>Erber, Wendy N.</t>
  </si>
  <si>
    <t>Diagnostic Pediatric Hematopathology</t>
  </si>
  <si>
    <t>Proytcheva, Maria A.</t>
  </si>
  <si>
    <t>Impact of Demographics on Health and Healthcare : Race, Ethnicity and other Social Factors</t>
  </si>
  <si>
    <t>Biopharmaceuticals</t>
  </si>
  <si>
    <t>Himalaya Publishing House</t>
  </si>
  <si>
    <t>Jogdand, S.N.</t>
  </si>
  <si>
    <t>Antigen Retrieval Immunohistochemistry Based Research and Diagnostics</t>
  </si>
  <si>
    <t>Taylor, Clive R.; Shi, Shan-Rong; Taylor, Clive R.; Taylor, Clive R</t>
  </si>
  <si>
    <t>Community-Based Participatory Research for Health : From Process to Outcomes</t>
  </si>
  <si>
    <t>Minkler, Meredith; Wallerstein, Nina</t>
  </si>
  <si>
    <t>Oral Controlled Release Formulation Design and Drug Delivery : Theory to Practice</t>
  </si>
  <si>
    <t>Wen, Hong; Park, Kinam; Wen, Hong; Park, Professor Kinam</t>
  </si>
  <si>
    <t>Biotransformation and Metabolite Elucidation of Xenobiotics : Characterization and Identification</t>
  </si>
  <si>
    <t>Nassar, Ala F.</t>
  </si>
  <si>
    <t>Clinical Cases in Prosthodontics</t>
  </si>
  <si>
    <t>Jahangiri, Leila; Moghadam, Marjan; Choi, Mijin; Ferguson, Michael</t>
  </si>
  <si>
    <t>Practical Gastroenterology and Hepatology : Liver and Biliary Disease</t>
  </si>
  <si>
    <t>Lindor, Keith D.; Vargas, Hugo E.; Talley, Nicholas J.</t>
  </si>
  <si>
    <t>Alternatives to Blood Transfusion in Transfusion Medicine</t>
  </si>
  <si>
    <t>Maniatis, Alice; Hardy, Jean-François; van der Linden, Phillipe; Hardy, Jean-Fran&amp;amp #231 Ois</t>
  </si>
  <si>
    <t>Biological Psychiatry</t>
  </si>
  <si>
    <t>Trimble, Michael R.; George, Mark</t>
  </si>
  <si>
    <t>Telemedicine Technologies : Information Technologies in Medicine and Telehealth</t>
  </si>
  <si>
    <t>Fong, Bernard; Fong, A.C.M.; Li, C.K.</t>
  </si>
  <si>
    <t>Metabolic Risk for Cardiovascular Disease</t>
  </si>
  <si>
    <t>Eckel, Robert H.; Eckel, Robert H</t>
  </si>
  <si>
    <t>Revisiting Cardiac Anatomy : A Computed-Tomography-Based Atlas and Reference</t>
  </si>
  <si>
    <t>Saremi, Farhood</t>
  </si>
  <si>
    <t>Handbook of Obstetric High Dependency Care</t>
  </si>
  <si>
    <t>Vaughan, David; Robinson, Neville; Lucas, Nuala; Arulkumaran, Sabaratnam</t>
  </si>
  <si>
    <t>Armstrong, Peter; Wastie, Martin; Rockall, Andrea G.</t>
  </si>
  <si>
    <t>Differential Diagnosis in Primary Care</t>
  </si>
  <si>
    <t>John Wiley &amp; Sons, Ltd.</t>
  </si>
  <si>
    <t>Rasul, Nairah; Syed, Mehmood</t>
  </si>
  <si>
    <t>Handbook of Epilepsy Treatment</t>
  </si>
  <si>
    <t>Shorvon, Simon D.</t>
  </si>
  <si>
    <t>Understanding Medical Education : Evidence, Theory and Practice</t>
  </si>
  <si>
    <t>Swanwick, Tim</t>
  </si>
  <si>
    <t>Practical Gastroenterology and Hepatology : Small and Large Intestine and Pancreas</t>
  </si>
  <si>
    <t>Talley, Nicholas J.; Kane, Sunanda V.; Wallace, Michael B.</t>
  </si>
  <si>
    <t>Cardiac CT, PET and MR</t>
  </si>
  <si>
    <t>Dilsizian, Vasken; Pohost, Gerald M.; Dilsizian, Vasken; Pohost, Gerald M</t>
  </si>
  <si>
    <t>Nutrition and HIV</t>
  </si>
  <si>
    <t>Pribram, Vivian</t>
  </si>
  <si>
    <t>Management of Heart Failure</t>
  </si>
  <si>
    <t>Greenberg, Barry; Barnard, Denise; Narayan, Sanjiv; Teerlink, John</t>
  </si>
  <si>
    <t>Bonney's Gynaecological Surgery</t>
  </si>
  <si>
    <t>Lopes, Tito; Bonney, Victor; Monaghan, John M.; Naik, Raj; Spirtos, Nick</t>
  </si>
  <si>
    <t>Infectious Causes of Cancer : A Guide for Nurses and Healthcare Professionals</t>
  </si>
  <si>
    <t>Campbell, Kenneth</t>
  </si>
  <si>
    <t>Qualities of Food</t>
  </si>
  <si>
    <t>Manchester University Press</t>
  </si>
  <si>
    <t>Harvey, Mark; McMeekin, Andrew; Warde, Alan</t>
  </si>
  <si>
    <t>Patients Beyond Borders Singapore Edition : Everybody's Guide to Affordable, World-Class Medical Care Abroad</t>
  </si>
  <si>
    <t>Healthy Travel Media</t>
  </si>
  <si>
    <t>Woodman, Josef</t>
  </si>
  <si>
    <t>Health; Social Science; Geography/Travel</t>
  </si>
  <si>
    <t>Patients Beyond Borders : Everybody's Guide to Affordable, World-Class Medical Travel</t>
  </si>
  <si>
    <t>Patients Beyond Borders Korea Edition : Everybody's Guide to Affordable, World-Class Medical Travel</t>
  </si>
  <si>
    <t>2008 UNAIDS Annual Report : Towards Universal Access</t>
  </si>
  <si>
    <t>AIDS Epidemic Update, December 2009</t>
  </si>
  <si>
    <t>Global Economic Crisis and HIV Prevention and Treatment Programmes : The Vulnerabilities and Impact</t>
  </si>
  <si>
    <t>Improving the Quality and Use of Birth, Death &amp; Cause-of-death Information : Guidance for a Standards-based Review of Country Practices</t>
  </si>
  <si>
    <t>Social Science; Political Science</t>
  </si>
  <si>
    <t>UNAIDS Action Framework : Universal Access for Men who have Sex with Men and Transgender People</t>
  </si>
  <si>
    <t>UNAIDS Outlook Report July 2010</t>
  </si>
  <si>
    <t>Tackling HIV-Related Stigma and Discrimination in South Asia</t>
  </si>
  <si>
    <t>Stangl, Anne; Carr, Dara; Eckhaus, Traci; Eckhaus, Traci; Nyblade, Laura; Brady, Laura; Claeson, Mariam</t>
  </si>
  <si>
    <t>Private Health Sector Assessment in Kenya</t>
  </si>
  <si>
    <t>Barnes, Jeff; O'Hanlon, Barbar; Feeley, Frank; Barnes, Jeff; Kimberly, McKeon; Nelson, Gitonga; Caytie, Decker</t>
  </si>
  <si>
    <t>Diversity in Career Preferences of Future Health Workers in Rwanda : Where, Why, and for How Much?</t>
  </si>
  <si>
    <t>Lievens, Tomas; Serneels, Pieter M.; Butera, J. Damascene; World Bank,</t>
  </si>
  <si>
    <t>Discovering the Real World : Health Workers' Career Choices and Early Work Experience in Ethiopia</t>
  </si>
  <si>
    <t>Serra, Danila; Serneels, Pieter M.; Lindelow, Magnus</t>
  </si>
  <si>
    <t>Building on Early Gains in Afghanistan's Health, Nutrition, and Population Sector : Challenges and Options</t>
  </si>
  <si>
    <t>Belay, Tekabe; Belay, Tekabe</t>
  </si>
  <si>
    <t>Practical Approach to Pharmaceutical Policy</t>
  </si>
  <si>
    <t>Seiter, Andreas; World Bank,</t>
  </si>
  <si>
    <t>Improving Primary Health Care Delivery in Nigeria : Evidence from Four States</t>
  </si>
  <si>
    <t>Incentives and Dynamics in the Ethiopian Health Worker Labor Market</t>
  </si>
  <si>
    <t>The World Bank; De Laat, Joost; Hanson, Kara; Hanson, Kara; Soucat, Agnes</t>
  </si>
  <si>
    <t>The Nature of Suffering and the Goals of Nursing</t>
  </si>
  <si>
    <t>Coyle, Nessa; Ferrell, Betty R.</t>
  </si>
  <si>
    <t>Oxford American Handbook of Oncology</t>
  </si>
  <si>
    <t>Lyman, Gary H</t>
  </si>
  <si>
    <t>Clinical Ethics Consultation : Theories and Methods, Implementation, Evaluation</t>
  </si>
  <si>
    <t>Gordon, John-Stewart; Schildmann, Jan; Vollmann, Professor Jochen; McLean, Professor Sheila A M</t>
  </si>
  <si>
    <t>EPro : Electronic Solutions for Patient-Reported Data</t>
  </si>
  <si>
    <t>Tiplady, Brian; Byrom, Bill</t>
  </si>
  <si>
    <t>Nursing Leadership for Patient-Centered Care : Authenticity, Presence, Intuition, Expertise</t>
  </si>
  <si>
    <t>Forman, Harriet; Forman, Harriet; Dr Harriet Forman Rn, Edd</t>
  </si>
  <si>
    <t>End of Life : Nursing Solutions for Death with Dignity</t>
  </si>
  <si>
    <t>Keegan, Lynn; Drick, Carole Ann; Lynn Keegan, Phd Rn; Carole Ann Drick, Phd Rn</t>
  </si>
  <si>
    <t>How to Run Your Own Nurse Practitioner Business : A Guide for Success</t>
  </si>
  <si>
    <t>Grossman, Sheila; O'Brien, Martha Burke; O'Brien, Martha Burke; D, Sheila Grossman Ph r; Martha Burke O'Brien MS, Anp-Bc</t>
  </si>
  <si>
    <t>Family Violence and Nursing Practice, Second Edition</t>
  </si>
  <si>
    <t>Humphreys, Janice, PhD, RN, CS, NP; Campbell, Jacquelyn C., PhD, RN, FAAN; Janice Humphreys Phd, Rn; Jacquelyn C Campbell Phd, Rn</t>
  </si>
  <si>
    <t>Pulmonary Arterial Hypertension : Focusing on a Future: Enhancing and Extending Life</t>
  </si>
  <si>
    <t>Antel, J.; Hesselink, M.B.; Schermuly, R.T.</t>
  </si>
  <si>
    <t>Interactions between the Craniomandibular System and Cervical Spine : The influence of an unilateral change of occlusion on the upper cervical range of motion</t>
  </si>
  <si>
    <t>Diplomica Verlag</t>
  </si>
  <si>
    <t>Klemm, Stephan</t>
  </si>
  <si>
    <t>Saving Ben : A Father's Story of Autism</t>
  </si>
  <si>
    <t>Burns, Dan E.</t>
  </si>
  <si>
    <t>Dyslexia in the Digital Age : Making IT Work</t>
  </si>
  <si>
    <t>Smythe, Ian</t>
  </si>
  <si>
    <t>Anthraquinones in Plants : Source, Safety and Applications in Gastrointestinal Health</t>
  </si>
  <si>
    <t>Nottingham University Press</t>
  </si>
  <si>
    <t>Delmulle, Luc; Demeyer, Kris</t>
  </si>
  <si>
    <t>Cardiology Emergencies</t>
  </si>
  <si>
    <t>Brown, Jeremy; Mazel, Jay; Choudhury, Robin; Mitchell, Andrew; Myerson, Saul</t>
  </si>
  <si>
    <t>Capnography</t>
  </si>
  <si>
    <t>Gravenstein, J. S.; Jaffe, Michael B.; Gravenstein, Nikolaus; Paulus, David A.</t>
  </si>
  <si>
    <t>The Placenta and Human Developmental Programming</t>
  </si>
  <si>
    <t>Burton, Graham J.; Barker, David J. P.; Moffett, Ashley; Thornburg, Kent</t>
  </si>
  <si>
    <t>The Paroxysmal Disorders</t>
  </si>
  <si>
    <t>Schmitz, Bettina; Tettenborn, Barbara; Schomer, Donald L.</t>
  </si>
  <si>
    <t>Neurology : A Clinician's Approach</t>
  </si>
  <si>
    <t>Tarulli, Andrew</t>
  </si>
  <si>
    <t>Bacteriophage in the Control of Food- and Waterborne Pathogens</t>
  </si>
  <si>
    <t>Sabour, Parviz M.; Griffiths, Mansel W.</t>
  </si>
  <si>
    <t>Practical Guide to Diagnostic Parasitology</t>
  </si>
  <si>
    <t>Garcia, Lynne S.</t>
  </si>
  <si>
    <t>Diagnostic Medical Parasitology</t>
  </si>
  <si>
    <t>Antisepsis, Disinfection, and Sterilization : Types, Action, and Resistance</t>
  </si>
  <si>
    <t>McDonnell, Gerald E.</t>
  </si>
  <si>
    <t>Medicine; Health; Science: Biology/Natural History; Science</t>
  </si>
  <si>
    <t>Saving Lives, Protecting Jobs : International HIV/AIDS Workplace Education Programme SHARE; Strategic HIV/AIDS Responses in Enterprises. Second Report</t>
  </si>
  <si>
    <t>International Labour Office</t>
  </si>
  <si>
    <t>The Grey Zone of Health and Illness : Culture, Disease, and Well-Being</t>
  </si>
  <si>
    <t>Intellect Books Ltd</t>
  </si>
  <si>
    <t>Blum, Alan</t>
  </si>
  <si>
    <t>Down Syndrome : An Introduction for Parents and Carers</t>
  </si>
  <si>
    <t>Souvenir Press</t>
  </si>
  <si>
    <t>Cunningham, Cliff</t>
  </si>
  <si>
    <t>Beyond Stammering : The McGuire Programme for Getting Good at the Sport of Speaking</t>
  </si>
  <si>
    <t>McGuire, Dave</t>
  </si>
  <si>
    <t>Depressed Older Adults : Education and Screening</t>
  </si>
  <si>
    <t>Berman, Jacqueline; Furst, Lisa M.</t>
  </si>
  <si>
    <t>Comprehensive Nursing Care in Multiple Sclerosis : Third Edition</t>
  </si>
  <si>
    <t>Halper, June, MSN, APN-C, MSCN, FAAN; Holland, Nancy J., Dr., RN, EdD</t>
  </si>
  <si>
    <t>Transformational Leadership in Nursing : From Expert Clinician to Influential Leader</t>
  </si>
  <si>
    <t>Marshall, Elaine</t>
  </si>
  <si>
    <t>Empty Pleasures : The Story of Artificial Sweeteners from Saccharin to Splenda</t>
  </si>
  <si>
    <t>de la Peña, Carolyn</t>
  </si>
  <si>
    <t>Malnutrition in Afghanistan : Scale, Scope, Causes, and Potential Reponse</t>
  </si>
  <si>
    <t>Levitt, Emily; Kostermans, Kees; Laviolette, Luc; Mbuya, Nkosinathi</t>
  </si>
  <si>
    <t>What Can We Learn from Nutrition Impact Evaluations? : Lessons from a Review of Interventions to Reduce Child Malnutrition in Developing Countries</t>
  </si>
  <si>
    <t>The World Bank; World Bank,</t>
  </si>
  <si>
    <t>Food and Fantasy in Early Modern Japan</t>
  </si>
  <si>
    <t>Rath, Eric</t>
  </si>
  <si>
    <t>The Essence of Analgesia and Analgesics</t>
  </si>
  <si>
    <t>Sinatra, Raymond S.; Jahr, Jonathan S.; Watkins-Pitchford, J. Michael</t>
  </si>
  <si>
    <t>Depression in Primary Care : Evidence and Practice</t>
  </si>
  <si>
    <t>Gilbody, Simon; Bower, Peter</t>
  </si>
  <si>
    <t>Case Studies in Neuroanesthesia and Neurocritical Care</t>
  </si>
  <si>
    <t>Mashour, George A.; Farag, Ehab</t>
  </si>
  <si>
    <t>Invalidism and Identity in Nineteenth-Century Britain</t>
  </si>
  <si>
    <t>Frawley, Maria H.</t>
  </si>
  <si>
    <t>Gender Women and Primary Health Care Renewal : A Discussion Paper</t>
  </si>
  <si>
    <t>Medical Devices; Managing the Mismatch : An Outcome of the Priority Medical Devices Project</t>
  </si>
  <si>
    <t>Quantification Addendum : International Medical Guide for Ships</t>
  </si>
  <si>
    <t>Evaluation of Certain Food Additives : Seventy-first Report of the Joint FAO/WHO Expert Committee on Food Additives</t>
  </si>
  <si>
    <t>World Health Organization; UNAIDS, ; World Health Organization, ; World Health Organization, ; Food and Agriculture Organization of the United Nations,</t>
  </si>
  <si>
    <t>Mental Health and Development : Targeting People with Mental Health Conditions as a Vulnerable Group</t>
  </si>
  <si>
    <t>WHO Report on Neglected Tropical Diseases 2010 : Working to Overcome the Global Impact of Neglected Tropical Diseases</t>
  </si>
  <si>
    <t>Increasing Awareness of Child and Adolescent Mental Health</t>
  </si>
  <si>
    <t>Allenou, Charlotte; Baily, Charles; Banaag, Cornelio; Birmes, Philippe; Bisceglia, Rossana; Chazan, Rodrigo; Cheung, C; Chu, Vanessa Loi-Yan; Garralda, Elena M.; Raynaud, Jean-Philippe</t>
  </si>
  <si>
    <t>Attachment Parenting : Developing Connections and Healing Children</t>
  </si>
  <si>
    <t>Hughes, Daniel; Hunt, Karen A.; Lednur, Ash; Mattson, Audrey; Mayrose, Kristen; Phelps, Miranda Ring; Rubin, Phyllis; Spottswood, Robert; Becker-Weidman, Arthur; Shell, Deborah</t>
  </si>
  <si>
    <t>The Long Shadow of Sexual Abuse : Developmental Effects across the Life Cycle</t>
  </si>
  <si>
    <t>Colarusso , Calvin A.</t>
  </si>
  <si>
    <t>Enchantments of the Clinic : Power, Eroticism, and Illusion in the Clinical Relationship</t>
  </si>
  <si>
    <t>Ellerman, Carl P.</t>
  </si>
  <si>
    <t>The Modern Kleinian Approach to Psychoanalytic Technique : Clinical Illustrations</t>
  </si>
  <si>
    <t>Waska, Robert</t>
  </si>
  <si>
    <t>Falls Aren't Funny : America's Multi-Billion Dollar Slip-and-Fall Crisis</t>
  </si>
  <si>
    <t>Government Institutes</t>
  </si>
  <si>
    <t>Kendzior, Russell J.</t>
  </si>
  <si>
    <t>The Problems of China's Health Care System : Reasons for this Development and Improvement Suggestions</t>
  </si>
  <si>
    <t>Hamed, Abdula</t>
  </si>
  <si>
    <t>Web 2.0 and the Health Care Market: Health Care in the era of Social Media and the modern Internet</t>
  </si>
  <si>
    <t>Sturm, Sabrina</t>
  </si>
  <si>
    <t>Coping with Vision Loss : Understanding the Psychological, Social, and Spiritual Effects</t>
  </si>
  <si>
    <t>Langdell, Cheri Colby; Langdell, Tim; Langdell, Tim</t>
  </si>
  <si>
    <t>Medical Imaging</t>
  </si>
  <si>
    <t>LeVine, Harry, III; III, Harry Levine</t>
  </si>
  <si>
    <t>Thyroid Disease</t>
  </si>
  <si>
    <t>Parangi, Sareh; Phitayakorn, Roy</t>
  </si>
  <si>
    <t>Storied Dishes : What Our Family Recipes Tell Us about Who We Are and Where We've Been</t>
  </si>
  <si>
    <t>Berzok, Linda Murray</t>
  </si>
  <si>
    <t>Hypnosis and Hypnotherapy : [Two Volumes]</t>
  </si>
  <si>
    <t>Barrett, Deirdre; Barrett, Deirdre</t>
  </si>
  <si>
    <t>Boundaries of Contagion : How Ethnic Politics Have Shaped Government Responses to AIDS</t>
  </si>
  <si>
    <t>Lieberman, Evan S.; Lieberman, Evan S. S.</t>
  </si>
  <si>
    <t>Scripting Addiction : The Politics of Therapeutic Talk and American Sobriety</t>
  </si>
  <si>
    <t>Carr, E. Summerson; Carr, E. Summerson Summerson</t>
  </si>
  <si>
    <t>Rewriting the Soul : Multiple Personality and the Sciences of Memory</t>
  </si>
  <si>
    <t>Hacking, Ian</t>
  </si>
  <si>
    <t>My Own Private Germany : Daniel Paul Schreber's Secret History of Modernity</t>
  </si>
  <si>
    <t>Santner, Eric L.; Santner, Eric L. L.</t>
  </si>
  <si>
    <t>The Harmony of Illusions : Inventing Post-Traumatic Stress Disorder</t>
  </si>
  <si>
    <t>Young, Allan</t>
  </si>
  <si>
    <t>Medicine in the English Middle Ages</t>
  </si>
  <si>
    <t>Getz, Faye</t>
  </si>
  <si>
    <t>The Economic Evolution of American Health Care : From Marcus Welby to Managed Care</t>
  </si>
  <si>
    <t>Dranove, David</t>
  </si>
  <si>
    <t>Art of Investigative Psychodynamic Therapy : The Gerwe Orchestration Method (G-OM)</t>
  </si>
  <si>
    <t>Gerwe, Corinne F.</t>
  </si>
  <si>
    <t>Medical Device Data and Modeling for Clinical Decision Making</t>
  </si>
  <si>
    <t>Zaleski, John R.</t>
  </si>
  <si>
    <t>Before and After Radical Prostate Surgery : Information and Resource Guide</t>
  </si>
  <si>
    <t>Athabasca University Press</t>
  </si>
  <si>
    <t>Vandall-Walker, Virginia; Moore, Katherine; Pyne, Diana</t>
  </si>
  <si>
    <t>Combating Micronutrient Deficiencies : Food-based Approaches</t>
  </si>
  <si>
    <t>Thompson, B.; Amoroso, L.</t>
  </si>
  <si>
    <t>Zoonotic Pathogens in the Food Chain</t>
  </si>
  <si>
    <t>Krause, Denis; Hendrick, S.</t>
  </si>
  <si>
    <t>Antimicrobial Peptides : Discovery, Design and Novel Therapeutic Strategies</t>
  </si>
  <si>
    <t>Wang, G.</t>
  </si>
  <si>
    <t>Advances in Diagnostic Medical Physics</t>
  </si>
  <si>
    <t>Pant, G.S.</t>
  </si>
  <si>
    <t>Basic Physics and Radiation Safety in Nuclear Medicine</t>
  </si>
  <si>
    <t>Role of Faith-Based Organizations in HIV Prevention and Care in Central America : (Spanish translation)</t>
  </si>
  <si>
    <t>Milk : A Global History</t>
  </si>
  <si>
    <t>Reaktion Books, Limited</t>
  </si>
  <si>
    <t>Velten, Hannah</t>
  </si>
  <si>
    <t>Carville : Remembering Leprosy in America</t>
  </si>
  <si>
    <t>Gaudet, Marcia</t>
  </si>
  <si>
    <t>The Energy Glut : The Politics of Fatness in an Overheating World</t>
  </si>
  <si>
    <t>Zed Books</t>
  </si>
  <si>
    <t>Roberts, Ian; Edwards, Phil</t>
  </si>
  <si>
    <t>Advice Online : Advice-giving in an American Internet health column</t>
  </si>
  <si>
    <t>John Benjamins Publishing Company</t>
  </si>
  <si>
    <t>Locher, Miriam A.</t>
  </si>
  <si>
    <t>Consciousness, Emotional Self-Regulation and the Brain</t>
  </si>
  <si>
    <t>Beauregard, Mario</t>
  </si>
  <si>
    <t>Exploring the Self : Philosophical and psychopathological perspectives on self-experience</t>
  </si>
  <si>
    <t>Zahavi, Dan</t>
  </si>
  <si>
    <t>Healthcare Interpreting : Discourse and Interaction</t>
  </si>
  <si>
    <t>Pöchhacker, Franz; Shlesinger, Miriam</t>
  </si>
  <si>
    <t>On Being Moved : From mirror neurons to empathy</t>
  </si>
  <si>
    <t>Bråten, Stein</t>
  </si>
  <si>
    <t>Pragmatics in Speech and Language Pathology : Studies in clinical applications</t>
  </si>
  <si>
    <t>Müller, Nicole</t>
  </si>
  <si>
    <t>Williams Syndrome across Languages</t>
  </si>
  <si>
    <t>Bartke, Susanne; Siegmüller, Julia</t>
  </si>
  <si>
    <t>Medical Device Software Verification, Validation, and Compliance</t>
  </si>
  <si>
    <t>Vogel, David A.</t>
  </si>
  <si>
    <t>Telemedicine for Trauma, Emergencies, and Disaster Management</t>
  </si>
  <si>
    <t>Latifi, Rifat</t>
  </si>
  <si>
    <t>Disability and Mobile Citizenship in Postsocialist Ukraine</t>
  </si>
  <si>
    <t>Phillips, Sarah D.</t>
  </si>
  <si>
    <t>Public Health Foundations : Concepts and Practices</t>
  </si>
  <si>
    <t>Andresen, Elena; DeFries Bouldin, Erin</t>
  </si>
  <si>
    <t>Clinical Trials Audit Preparation : A Guide for Good Clinical Practice (GCP) Inspections</t>
  </si>
  <si>
    <t>Mihajlovic-Madzarevic, Vera; Mihajlovic- Madzarevic, Vera; Mihajlovic-Madzarevic, Vera</t>
  </si>
  <si>
    <t>Disaster Rules</t>
  </si>
  <si>
    <t>Russell, Rob; Hodgetts, Timothy J.; Mahoney, Peter F.; Castle, Nicholas; Castle, Nicholas</t>
  </si>
  <si>
    <t>Clinical Pain Management : A Practical Guide</t>
  </si>
  <si>
    <t>Lynch, Mary E.; Craig, Kenneth D.; Peng, Philip W. H.</t>
  </si>
  <si>
    <t>From Timid to Tiger : A Treatment Manual for Parenting the Anxious Child</t>
  </si>
  <si>
    <t>Cartwright-Hatton, Sam; McNally, Deborah</t>
  </si>
  <si>
    <t>Hemostasis and Thrombosis in Obstetrics and Gynecology</t>
  </si>
  <si>
    <t>Paidas, Michael J.; Hossain, Nazli; Shamsi, Tahir S.; Rodger, Marc A.; Langhoff-Roos, Jens; Lockwood, Charles J.; Langhoff-Roos, Jens</t>
  </si>
  <si>
    <t>Genetic and Evolutionary Computation : Medical Applications</t>
  </si>
  <si>
    <t>Smith, Stephen L.; Cagnoni, Stefano</t>
  </si>
  <si>
    <t>Working Positively with Personality Disorder in Secure Settings : A Practitioner's Perspective</t>
  </si>
  <si>
    <t>Willmot, Phil; Gordon, Neil</t>
  </si>
  <si>
    <t>Perspectives on Cancer Care</t>
  </si>
  <si>
    <t>Fawcett, Tonks N.; McQueen, Anne; Fawcett, Tonks N; McQueen, Anne</t>
  </si>
  <si>
    <t>Three-Dimensional Imaging for Orthodontics and Maxillofacial Surgery</t>
  </si>
  <si>
    <t>Kau, Chung How; Richmond, Stephen</t>
  </si>
  <si>
    <t>Essential Medical Statistics</t>
  </si>
  <si>
    <t>Kirkwood, Betty; Sterne, Jonathan</t>
  </si>
  <si>
    <t>Practical Public Health Nutrition</t>
  </si>
  <si>
    <t>Hughes, Roger</t>
  </si>
  <si>
    <t>Tumor Microenvironment</t>
  </si>
  <si>
    <t>Siemann, Dietmar W.</t>
  </si>
  <si>
    <t>Family Practice Guidelines : Second Edition</t>
  </si>
  <si>
    <t>Cash, Jill C., MSN, APN, FNP-BC; Glass, Cheryl A., MSN, WHNP, RN-BC; Cash, Jill C; Glass, Cheryl A</t>
  </si>
  <si>
    <t>Contingent Lives : Fertility, Time, and Aging in West Africa</t>
  </si>
  <si>
    <t>Bledsoe, Caroline H.; Carter, Anthony T.</t>
  </si>
  <si>
    <t>Hayes' Handbook of Pesticide Toxicology</t>
  </si>
  <si>
    <t>Krieger, Robert</t>
  </si>
  <si>
    <t>Obesity Prevention : The Role of Brain and Society on Individual Behavior</t>
  </si>
  <si>
    <t>Dube, Laurette; Drewnowski, Adam; James, Philip; LeBel, Jordan; Yada, Rickey Y.; Bechara, Antoine; Dagher, Alain; Yada, Rickey Y.</t>
  </si>
  <si>
    <t>Global Perspectives on Childhood Obesity : Current Status, Consequences and Prevention</t>
  </si>
  <si>
    <t>Bagchi, Debasis</t>
  </si>
  <si>
    <t>The Paradox of Hope : Journeys Through a Clinical Borderland</t>
  </si>
  <si>
    <t>Mattingly, Cheryl</t>
  </si>
  <si>
    <t>Health Promoting School</t>
  </si>
  <si>
    <t>Aarhus University Press</t>
  </si>
  <si>
    <t>Clift, Stephen; Jensen, Bjarne</t>
  </si>
  <si>
    <t>Global Tuberculosis Control 2010 : Epidemiology Strategy Financing</t>
  </si>
  <si>
    <t>Hidden Cities : Unmasking and Overcoming Health Inequities in Urban Settings</t>
  </si>
  <si>
    <t>Malaria Microscopy Quality Assurance Manual - Version 1</t>
  </si>
  <si>
    <t>Protecting Children's Health in a Changing Environment : Report of the Fifth Ministerial Conference on Environment and Health</t>
  </si>
  <si>
    <t>Training Workbook on Water Safety Plans for Urban Systems</t>
  </si>
  <si>
    <t>Spasticity : Diagnosis and Management</t>
  </si>
  <si>
    <t>Brashear, Allison; Elovic, Elie</t>
  </si>
  <si>
    <t>A Guide to Psychotherapy</t>
  </si>
  <si>
    <t>M. Evans &amp; Company</t>
  </si>
  <si>
    <t>Amada, Gerald, Ph.D; Amada, Ph D Gerald</t>
  </si>
  <si>
    <t>Dyadic Developmental Psychotherapy : Essential Practices and Methods</t>
  </si>
  <si>
    <t>Becker-Weidman, Arthur</t>
  </si>
  <si>
    <t>Patients Beyond Borders Taiwan Edition : Everybody's Guide to Affordable, World-Class Medical Care Abroad</t>
  </si>
  <si>
    <t>Advances in Mesopotamian Medicine from Hammurabi to Hippocrates: Proceedings of the International Conference Oeil Malade et Mauvais Oeil, CollÈGe de France, Paris, 23rd June 2006</t>
  </si>
  <si>
    <t>Geller, Markham J.; Attia, Annie; Buisson, Gilles</t>
  </si>
  <si>
    <t>The World of Pharmacy and Pharmacists in Mamlûk Cairo</t>
  </si>
  <si>
    <t>Chipman, Leigh</t>
  </si>
  <si>
    <t>Hippocrates and Medical Education : Selected Papers Presented at the Xiith International Hippocrates Colloquium, Universiteit Leiden, 24-26 August 2005</t>
  </si>
  <si>
    <t>Horstmanshoff, Manfred</t>
  </si>
  <si>
    <t>Evidence and Interpretation in Studies on Early Science and Medicine : Essays in Honor of John E. Murdoch</t>
  </si>
  <si>
    <t>Murdoch, John Emery; Newman, William R.; Sylla, Edith</t>
  </si>
  <si>
    <t>Science: General; Science</t>
  </si>
  <si>
    <t>The Body Within : Art, Medicine and Visualization</t>
  </si>
  <si>
    <t>Zwijnenberg, Robert; van de Vall, Renée</t>
  </si>
  <si>
    <t>The Right to Health : A Resource Manual for NGOs</t>
  </si>
  <si>
    <t>Asher, Judith</t>
  </si>
  <si>
    <t>A Soup for the Qan : Chinese Dietary Medicine of the Mongol Era as Seen in Hu Sihui's Yinshan Zhengyao - Introduction, Translation, Commentary, and Chinese Text</t>
  </si>
  <si>
    <t>Buell, Paul D.; Anderson, Eugene N.</t>
  </si>
  <si>
    <t>Writing for Publication in Nursing, Second Edition</t>
  </si>
  <si>
    <t>Oermann, Marilyn H., PhD, RN, FAAN, ANEF; Hays, Judith C., PhD, RN; Dr Marilyn Oermann Phd, Rn; Judith Hays Phd, Rn; Dr Judith Hays Phd, Rn</t>
  </si>
  <si>
    <t>Nursing; Literature</t>
  </si>
  <si>
    <t>Essential Procedures for Practitioners in Emergency, Urgent, and Primary Care Settings : A Clinical Companion</t>
  </si>
  <si>
    <t>Campo, Theresa M.; Lafferty, Keith; Lafferty, Keith; Theresa M Campo Dnp, Rn</t>
  </si>
  <si>
    <t>Giving Through Teaching : How Nurse Educators Are Changing the World</t>
  </si>
  <si>
    <t>Fitzpatrick, Joyce; Shultz, Cathleen; Aiken, Tonia; Cathleen Shultz Phd, Rn</t>
  </si>
  <si>
    <t>Medical Aspects of Disability, Fourth Edition : A Handbook for the Rehabilitation Professional</t>
  </si>
  <si>
    <t>Zaretsky, Herbert H., Dr., PhD; Flanagan, Steven R., Dr., MD; Moroz, Alex, Dr., MD; Flanagan, Steven MD Dr</t>
  </si>
  <si>
    <t>Rebirth of the Clinic : Places and Agents in Contemporary Health Care</t>
  </si>
  <si>
    <t>Patton, Cindy; Ceci, Christine; Diedrich, Lisa</t>
  </si>
  <si>
    <t>Reducing Geographical Imbalances of Health Workers in Sub-Saharan Africa : A Labor Market Prospective on What Works, What Does Not, and Why</t>
  </si>
  <si>
    <t>Lemiere, Christophe; Herbst, Christopher; Jahanshahi, Negda; Smith, Ellen; Soucat, Agnes</t>
  </si>
  <si>
    <t>Health; Social Science; Economics</t>
  </si>
  <si>
    <t>Single-Use Technology in Biopharmaceutical Manufacture</t>
  </si>
  <si>
    <t>Eibl, Regine; Eibl, Dieter</t>
  </si>
  <si>
    <t>Soft Tissue Tumors : A Multidisciplinary, Decisional Diagnostic Approach</t>
  </si>
  <si>
    <t>Klijanienko, Jerzy; Lagace, Real</t>
  </si>
  <si>
    <t>Occupational Emergency Medicine</t>
  </si>
  <si>
    <t>Greenberg, Michael</t>
  </si>
  <si>
    <t>Nutrition and Cancer</t>
  </si>
  <si>
    <t>Shaw, Clare</t>
  </si>
  <si>
    <t>Handbook of Cardiovascular CT : Essentials for Clinical Practice</t>
  </si>
  <si>
    <t>Praxis</t>
  </si>
  <si>
    <t>Budoff, Matthew J.; Shinbane, Jerold S.</t>
  </si>
  <si>
    <t>Exploitation and Developing Countries : The Ethics of Clinical Research</t>
  </si>
  <si>
    <t>Hawkins, Jennifer S.; Emanuel, Ezekiel J.; Hawkins, Jennifer S. S.; Emanuel, Ezekiel J. J.</t>
  </si>
  <si>
    <t>Trusting Doctors : The Decline of Moral Authority in American Medicine</t>
  </si>
  <si>
    <t>Imber, Jonathan B.; Imber, Jonathan B. B.</t>
  </si>
  <si>
    <t>What Nurses Know ... Menopause : Menopause</t>
  </si>
  <si>
    <t>Roush, Karen</t>
  </si>
  <si>
    <t>Musculoskeletal, Sports, and Occupational Medicine</t>
  </si>
  <si>
    <t>Micheo, William</t>
  </si>
  <si>
    <t>Handbook of Treatment Planning In Radiation Oncology</t>
  </si>
  <si>
    <t>Elovic, Elie; Videtic, Gregory; Vassil, Andrew</t>
  </si>
  <si>
    <t>Cardiac Rhythm Devices : A Case-Based Approach to Management</t>
  </si>
  <si>
    <t>Razavi, Mehdi; Nazen, Alireza; Massumi, Ali; Asirvatham, Samuel J.</t>
  </si>
  <si>
    <t>Head and Neck Pathology</t>
  </si>
  <si>
    <t>Barnes, Leon; Seethala, Raja; Chiosea, Simion</t>
  </si>
  <si>
    <t>Jefferson Headache Manual</t>
  </si>
  <si>
    <t>Young, William; Silberstein, Stephen; Nahas, Stephanie</t>
  </si>
  <si>
    <t>Group Therapy for Substance Use Disorders : A Motivational Cognitive-Behavioral Approach</t>
  </si>
  <si>
    <t>Sobell, Linda Carter; Sobell, Mark B.</t>
  </si>
  <si>
    <t>Rapid Diagnosis in Populations at Risk from Radiation and Chemicals</t>
  </si>
  <si>
    <t>Cebulska-Wasilewska, A.; Osipov, A.N.; Darroudi, F.</t>
  </si>
  <si>
    <t>Internet Use in the Aftermath of Trauma</t>
  </si>
  <si>
    <t>Brunet, A.; Ashbaugh, A.R.; Herbert, C.F.</t>
  </si>
  <si>
    <t>Global Telehealth : Selected Papers from Global Telehealth 2010 (GT 2010)</t>
  </si>
  <si>
    <t>Maeder, A.J.; Smith, A.C.</t>
  </si>
  <si>
    <t>Handbook of Normative Data for Neuropsychological Assessment</t>
  </si>
  <si>
    <t>Mitrushina, Maura N.; Boone, Kyle B.; D'Elia, Louis F.; Razani, Jill</t>
  </si>
  <si>
    <t>Trauma : A Genealogy</t>
  </si>
  <si>
    <t>Leys, Ruth</t>
  </si>
  <si>
    <t>The Notorious Astrological Physician of London : Works and Days of Simon Forman</t>
  </si>
  <si>
    <t>Traister, Barbara Howard</t>
  </si>
  <si>
    <t>Manual of Pediatric Hematology and Oncology</t>
  </si>
  <si>
    <t>Lanzkowsky, Philip</t>
  </si>
  <si>
    <t>Strategies of Care : Changing Elderly Care in Italy and the Netherlands</t>
  </si>
  <si>
    <t>Da Roit, Barbara</t>
  </si>
  <si>
    <t>Communication Skills For Adult Nurses</t>
  </si>
  <si>
    <t>Kraszewski, Sarah; McEwen, Abayomi</t>
  </si>
  <si>
    <t>Principles And Practice Of Managing Pain : A guide for nurses and allied health professionals</t>
  </si>
  <si>
    <t>Parsons, Gareth; Preece, Wayne</t>
  </si>
  <si>
    <t>Succeed In OSCEs And Practical Exams : An Essential Guide for Nurses</t>
  </si>
  <si>
    <t>Merriman, Clair; Westcott, Liz</t>
  </si>
  <si>
    <t>First Steps in Clinical Supervision : A Guide for Healthcare Professionals</t>
  </si>
  <si>
    <t>Cassedy, Paul</t>
  </si>
  <si>
    <t>Eating Behaviour</t>
  </si>
  <si>
    <t>Dovey, Terry</t>
  </si>
  <si>
    <t>Stop Worrying : Get your life back on track with CBT</t>
  </si>
  <si>
    <t>Kerkhof, Ad</t>
  </si>
  <si>
    <t>Solution-Focused Helper : Ethics and Practice in Health and Social Care</t>
  </si>
  <si>
    <t>Walsh, Trish</t>
  </si>
  <si>
    <t>Clinical Consult for Psychiatric Mental Health Care</t>
  </si>
  <si>
    <t>Rhoads, Jacqueline, PhD, ACNP-BC, ANP-C, PMHNP-BE, CNL-C, FAANP</t>
  </si>
  <si>
    <t>Illustrated Guide to Infection Control</t>
  </si>
  <si>
    <t>Motacki, Kathleen; Kapoian, Toros; O'Mara, Neeta Bahal; Toros Kapoian MD, Facp</t>
  </si>
  <si>
    <t>Combat-Related Traumatic Brain Injury and PTSD : A Resource and Recovery Guide</t>
  </si>
  <si>
    <t>Lawhorne-Scott, Cheryl; Philpott, Don</t>
  </si>
  <si>
    <t>Vital Statistics of the United States 2010 : Births, Life Expectancy, Deaths, and Selected Health Data</t>
  </si>
  <si>
    <t>Bernan Press</t>
  </si>
  <si>
    <t>Business/Management; History</t>
  </si>
  <si>
    <t>Current Issues in Health Economics</t>
  </si>
  <si>
    <t>Slottje, Daniel; Tchernis, Rusty; Baltagi, Badi H.; Sadka, Efraim</t>
  </si>
  <si>
    <t>Curriculum Development and Evaluation in Nursing, Second Edition</t>
  </si>
  <si>
    <t>Keating, Sarah B., MPH, EdD, RN; Sarah Keating Mph, Edd Rn</t>
  </si>
  <si>
    <t>Making the Mexican Diabetic : Race, Science, and the Genetics of Inequality</t>
  </si>
  <si>
    <t>Montoya, Michael</t>
  </si>
  <si>
    <t>M. F. K. Fisher among the Pots and Pans : Celebrating Her Kitchens</t>
  </si>
  <si>
    <t>Reardon, Joan; Hesser, Amanda</t>
  </si>
  <si>
    <t>Reproducing Race : An Ethnography of Pregnancy As a Site of Racialization</t>
  </si>
  <si>
    <t>Bridges, Khiara M.; Bridges, Khiara</t>
  </si>
  <si>
    <t>Nursing Knowledge and Theory Innovation : Advancing the Science of Practice</t>
  </si>
  <si>
    <t>Reed, Pamela; Shearer, Nelma; Shearer, Dr Nelma; Dr Pamela Reed Ph D, Rn; Dr Nelma Shearer Phd, Rn</t>
  </si>
  <si>
    <t>Sexual Health in Recovery : A Professional Counselor's Manual</t>
  </si>
  <si>
    <t>Braun-Harvey, Douglas; Ma, Douglas Braun; Douglas Braun-Harvey Ma, Cst</t>
  </si>
  <si>
    <t>Nursing Home Administration, Sixth Edition</t>
  </si>
  <si>
    <t>Allen, James E., PhD, MSPH, NHA, IP; James E Allen Msph, Phd</t>
  </si>
  <si>
    <t>Deep Self : Consciousness Exploration in the Isolation Tank</t>
  </si>
  <si>
    <t>Gateways Books &amp; Tapes</t>
  </si>
  <si>
    <t>Lilly, John Cunningham</t>
  </si>
  <si>
    <t>Treatment of Depression in Adolescents and Adults : Clinician's Guide to Evidence-Based Practice</t>
  </si>
  <si>
    <t>Springer, David W.; Rubin, Allen; Beevers, Christopher G.; Springer, David W; Rubin, Allen; Beevers, Christopher G</t>
  </si>
  <si>
    <t>Value by Design : Developing Clinical Microsystems to Achieve Organizational Excellence</t>
  </si>
  <si>
    <t>Nelson, Eugene C.; Batalden, Paul B.; Godfrey, Marjorie M.; Lazar, Joel S.</t>
  </si>
  <si>
    <t>Error Reduction in Health Care : A Systems Approach to Improving Patient Safety</t>
  </si>
  <si>
    <t>Spath, Patrice L.</t>
  </si>
  <si>
    <t>Gene Discovery for Disease Models</t>
  </si>
  <si>
    <t>Gu, Weikuan; Wang, Yongjun; Wang, Yongjun</t>
  </si>
  <si>
    <t>Modeling and Simulation in the Medical and Health Sciences</t>
  </si>
  <si>
    <t>Sokolowski, John A.; Banks, Catherine M.; Sokolowski, John A; Banks, Catherine M</t>
  </si>
  <si>
    <t>Medicine; Computer Science/IT</t>
  </si>
  <si>
    <t>The Strategic Application of Information Technology in Health Care Organizations</t>
  </si>
  <si>
    <t>Glaser, John P.; Salzberg, Claudia</t>
  </si>
  <si>
    <t>Advances in Optical Imaging for Clinical Medicine</t>
  </si>
  <si>
    <t>Iftimia, Nicusor; Brugge, William R.; Hammer, Daniel X.; Iftimia, Nicusor; Brugge, William R; Hammer, Daniel X</t>
  </si>
  <si>
    <t>Genotoxic Impurities : Strategies for Identification and Control</t>
  </si>
  <si>
    <t>Teasdale, Andrew</t>
  </si>
  <si>
    <t>Psychosocial Treatment of Schizophrenia</t>
  </si>
  <si>
    <t>Rubin, Allen; Springer, David W.; Trawver, Kathi</t>
  </si>
  <si>
    <t>Illicit Drugs in the Environment : Occurrence, Analysis, and Fate using Mass Spectrometry</t>
  </si>
  <si>
    <t>Castiglioni, Sara; Zuccato, Ettore; Fanelli, Roberto; Zuccato, Ettore; Fanelli, Roberto</t>
  </si>
  <si>
    <t>Medicine; Environmental Studies; Pharmacy</t>
  </si>
  <si>
    <t>Design Details for Health : Making the Most of Design's Healing Potential</t>
  </si>
  <si>
    <t>Leibrock, Cynthia A.; Harris, Debra</t>
  </si>
  <si>
    <t>Supply Chain Management in the Drug Industry : Delivering Patient Value for Pharmaceuticals and Biologics</t>
  </si>
  <si>
    <t>Rees, Hedley</t>
  </si>
  <si>
    <t>Medicine; Pharmacy; Business/Management</t>
  </si>
  <si>
    <t>Advanced Biomedical Image Analysis</t>
  </si>
  <si>
    <t>Haidekker, Mark</t>
  </si>
  <si>
    <t>Seli, Emre</t>
  </si>
  <si>
    <t>Clinical Arrhythmology</t>
  </si>
  <si>
    <t>Bayés de Luna, Antoni</t>
  </si>
  <si>
    <t>Contraception</t>
  </si>
  <si>
    <t>Shoupe, Donna</t>
  </si>
  <si>
    <t>Pregnancy in the Obese Woman : Clinical Management</t>
  </si>
  <si>
    <t>Conway, Deborah</t>
  </si>
  <si>
    <t>Overcoming Depression for Dummies</t>
  </si>
  <si>
    <t>Iljon Foreman, Elaine; Smith, Laura L.; Elliott, Charles H.</t>
  </si>
  <si>
    <t>Von Willebrand Disease : Basic and Clinical Aspects</t>
  </si>
  <si>
    <t>Federici, Augusto B.; Lee, Christine A.; Berntorp, Erik E.; Lillicrap, David; Montgomery, Robert R.</t>
  </si>
  <si>
    <t>Chronic Pelvic Pain</t>
  </si>
  <si>
    <t>Vercellini, Paolo</t>
  </si>
  <si>
    <t>Clinical Diagnosis</t>
  </si>
  <si>
    <t>Jevon, Phil; Jevon, Philip; Jevon, Philip</t>
  </si>
  <si>
    <t>Interventional Techniques in Uro-Oncology</t>
  </si>
  <si>
    <t>Arya, Manit; Ahmed, Hashim Uddin; Scardino, Peter; Emberton, Mark</t>
  </si>
  <si>
    <t>The Treatment Trap : How the Overuse of Medical Care is Wrecking Your Health and What You Can Do to Prevent It</t>
  </si>
  <si>
    <t>Ivan R. Dee</t>
  </si>
  <si>
    <t>Gibson, Rosemary; Singh, Janardan Prasad</t>
  </si>
  <si>
    <t>The Power of Specificity in Psychotherapy : When Therapy Works—And When It Doesn't</t>
  </si>
  <si>
    <t>Bacal, Howard A.; Carlton, Lucyann</t>
  </si>
  <si>
    <t>Head Games : De-Colonizing the Psychotherapeutic Process</t>
  </si>
  <si>
    <t>Okembe-RA Imani, Nikitah</t>
  </si>
  <si>
    <t>Plagues in World History</t>
  </si>
  <si>
    <t>Rowman &amp; Littlefield Publishers</t>
  </si>
  <si>
    <t>Aberth, John</t>
  </si>
  <si>
    <t>Play Therapy Interventions with Children's Problems : Case Studies with DSM-IV-TR Diagnoses</t>
  </si>
  <si>
    <t>Landreth, Garry L.; Ray, Dee C.; Sweeney, Daniel S.; Homeyer, Linda E.; Glover, Geraldine J.; Glover, Geraldine J</t>
  </si>
  <si>
    <t>Childhood Psychological Disorders : Current Controversies</t>
  </si>
  <si>
    <t>Bursztyn, Alberto M.</t>
  </si>
  <si>
    <t>Practical Guide to Studying Dendrimers</t>
  </si>
  <si>
    <t>Shcharbin, Dzmitry; Klajnert, Barbara; Bryszewska, Maria</t>
  </si>
  <si>
    <t>The Oxford Textbook of Clinical Research Ethics</t>
  </si>
  <si>
    <t>Emanuel, Ezekiel J.; Crouch, Robert A.; Grady, Christine C.; Lie, Reidar K.; Miller, Franklin G.; Wendler, David D.</t>
  </si>
  <si>
    <t>Practical Dementia Care</t>
  </si>
  <si>
    <t>Rabins, Peter V.; Lyketsos, Constantine G.; Steele, Cynthia D.</t>
  </si>
  <si>
    <t>So You Want to Be a Brain Surgeon?</t>
  </si>
  <si>
    <t>Eccles, Simon; Sanders, Stephan</t>
  </si>
  <si>
    <t>Medical Mum? : A Guide for Female Medics Who Have Ever Thought That Maybe, Somehow, One Day They Might Want to Have a Baby</t>
  </si>
  <si>
    <t>Hill, Emma</t>
  </si>
  <si>
    <t>The China Study : The Most Comprehensive Study of Nutrition Ever Conducted And the Startling Implications for Diet, Weight Loss, And Long-term Health</t>
  </si>
  <si>
    <t>BenBella Books, Inc.</t>
  </si>
  <si>
    <t>Campbell, Colin; Campbell, Colin</t>
  </si>
  <si>
    <t>Thwarting Consumer Choice : The Case against Mandatory Labeling for Genetically Modified Foods</t>
  </si>
  <si>
    <t>AEI Press</t>
  </si>
  <si>
    <t>Marchant, Gary E.; Cardineau, Guy A.; Redick, Thomas P.</t>
  </si>
  <si>
    <t>Engineering; Engineering: Chemical; Social Science</t>
  </si>
  <si>
    <t>Health and Wealth Disparities in the United States</t>
  </si>
  <si>
    <t>Jena, Anupam B.; Phillipson, Thomas J.; Sun, Eric C.; Sun, Eric</t>
  </si>
  <si>
    <t>Palliative Care for Advanced Alzheimer's and Dementia : Guidelines and Standards for Evidence-Based Care</t>
  </si>
  <si>
    <t>Martin, Gary; Sabbagh, Marwan; Dr Marwan Sabbagh MD, Faan</t>
  </si>
  <si>
    <t>Neonatal Emergencies</t>
  </si>
  <si>
    <t>Hansmann, Georg</t>
  </si>
  <si>
    <t>Reproductive and Developmental Toxicology</t>
  </si>
  <si>
    <t>Gupta, Ramesh C.; Gupta, Ramesh C.</t>
  </si>
  <si>
    <t>Making and Marketing Medicine in Renaissance Florence</t>
  </si>
  <si>
    <t>Shaw, James; Welch, Evelyn</t>
  </si>
  <si>
    <t>Achieving Strong Teamwork Practices in Hospital Labor and Delivery Units</t>
  </si>
  <si>
    <t>Farley, Donna O.; Sorbero, Melony E.; Lovejoy, Susan L.; Salisbury, Mary</t>
  </si>
  <si>
    <t>The Dyadic Developmental Psychotherapy Casebook</t>
  </si>
  <si>
    <t>Becker-Weidman, Arthur; Casswell, Geraldine; Clark, Craig W.; Golding, Kim; Land, Mary-Jo; Phillips, Sian; Sik, Karen; Tuovila, Pirjo</t>
  </si>
  <si>
    <t>Medicine, Mobility, and Power in Global Africa : Transnational Health and Healing</t>
  </si>
  <si>
    <t>DILGER, Hansjorg; KANE, Abdoulaye; LANGWICK, Stacey</t>
  </si>
  <si>
    <t>House on Fire : The Fight to Eradicate Smallpox</t>
  </si>
  <si>
    <t>Foege, William H.</t>
  </si>
  <si>
    <t>Introduction to Public Health</t>
  </si>
  <si>
    <t>Goldsteen, Raymond L.; Goldsteen, Karen; Graham, David; Drph, Raymond L Goldsteen; Karen Goldsteen Phd, Mph</t>
  </si>
  <si>
    <t>Philosophy of Science for Nursing Practice : Concepts and Application</t>
  </si>
  <si>
    <t>Dahnke, Michael D.; Dreher, H. Michael; H Michael Dreher Phd, Rn</t>
  </si>
  <si>
    <t>Role Development for Doctoral Advanced Nursing Practice</t>
  </si>
  <si>
    <t>Dreher, H. Michael; Glasgow, Mary Ellen Smith; H Michael Dreher Phd, Rn; Mary Ellen Smith Glasgow Phd, Rn</t>
  </si>
  <si>
    <t>Sleep and Mental Illness</t>
  </si>
  <si>
    <t>Fenwick, Peter; Ebrahim, Irshaad O.; Pandi-Perumal, S. R.; Kramer, Milton; Hobson, J. Allan</t>
  </si>
  <si>
    <t>Practical Approaches to Method Validation and Essential Instrument Qualification</t>
  </si>
  <si>
    <t>Chan, Chung Chow; Lam, Herman; Zhang, Xue-Ming</t>
  </si>
  <si>
    <t>Pharmaceutical Toxicology in Practice : A Guide to Non-clinical Development</t>
  </si>
  <si>
    <t>Lodola, Alberto; Stadler, Jeanne; Lodola, Alberto; Stadler, Jeanne</t>
  </si>
  <si>
    <t>Emerging Infectious Diseases : A Guide to Diseases, Causative Agents, and Surveillance</t>
  </si>
  <si>
    <t>Beltz, Lisa A.</t>
  </si>
  <si>
    <t>Cyclodextrins in Pharmaceutics, Cosmetics, and Biomedicine : Current and Future Industrial Applications</t>
  </si>
  <si>
    <t>Bilensoy, Erem</t>
  </si>
  <si>
    <t>Ethics in Health Services and Policy : A Global Approach</t>
  </si>
  <si>
    <t>Harris, Dean M.</t>
  </si>
  <si>
    <t>Inner Pulse : Unlocking the Secret Code of Sickness and Health</t>
  </si>
  <si>
    <t>Siegel, Marc</t>
  </si>
  <si>
    <t>Venepuncture and Cannulation</t>
  </si>
  <si>
    <t>Phillips, Sarah; Collins, Mary; Dougherty, Lisa</t>
  </si>
  <si>
    <t>Comorbidity in Migraine</t>
  </si>
  <si>
    <t>Schoenen, Jean; Dodick, David W.; Sándor, Peter</t>
  </si>
  <si>
    <t>Advances in Malignant Hematology</t>
  </si>
  <si>
    <t>Saba, Hussain I.; Mufti, Ghulam</t>
  </si>
  <si>
    <t>Mass Spectrometry in Drug Metabolism and Disposition : Basic Principles and Applications</t>
  </si>
  <si>
    <t>Lee, Mike S.; Zhu, Mingshe; Lee, Mike S; Zhu, Mingshe</t>
  </si>
  <si>
    <t>Philosophy of Evidence-based Medicine</t>
  </si>
  <si>
    <t>Howick, Jeremy H.</t>
  </si>
  <si>
    <t>Role Emerging Occupational Therapy : Maximising Occupation Focused Practice</t>
  </si>
  <si>
    <t>Thew, Miranda; Edwards, Mary; Baptiste, Sue; Molineux, Matthew; Molineux, Matthew</t>
  </si>
  <si>
    <t>Fundraising for Small Museums : In Good Times and Bad</t>
  </si>
  <si>
    <t>Cilella, Salvatore G., Jr.; Cilella, Jr Salvatore G</t>
  </si>
  <si>
    <t>Museums</t>
  </si>
  <si>
    <t>Politics of War Trauma : The Aftermath of World War II in Eleven European Countries</t>
  </si>
  <si>
    <t>Withuis, Jolande; Mooij, Annet</t>
  </si>
  <si>
    <t>Geography/Travel; Medicine</t>
  </si>
  <si>
    <t>Plooibare hersenen</t>
  </si>
  <si>
    <t>Booij, Jan</t>
  </si>
  <si>
    <t>Medische professionaliteit en recht</t>
  </si>
  <si>
    <t>Gevers, J.K.M.</t>
  </si>
  <si>
    <t>Compact Clinical Guide to Chronic Pain Management : An Evidence-Based Approach for Nurses</t>
  </si>
  <si>
    <t>D'Arcy, Yvonne; Yvonne D'Arcy MS, Cns</t>
  </si>
  <si>
    <t>Compact Clinical Guide to Acute Pain Management : An Evidence-Based Approach for Nurses</t>
  </si>
  <si>
    <t>Emerging Infections 9</t>
  </si>
  <si>
    <t>Scheld, W. Michael; Grayson, M. Lindsay; Hughes, James M.</t>
  </si>
  <si>
    <t>Genomes of Foodborne and Waterborne Pathogens</t>
  </si>
  <si>
    <t>Fratamico, Pina; Liu, Yanhong; Kathariou, Sophia</t>
  </si>
  <si>
    <t>Science: Biology/Natural History; Engineering; Medicine; Science; Engineering: Chemical</t>
  </si>
  <si>
    <t>Immune Response to Infection</t>
  </si>
  <si>
    <t>Kaufmann, Stefan H. E.; Rouse, Barry T.; Sacks, David L.</t>
  </si>
  <si>
    <t>Fecal Bacteria</t>
  </si>
  <si>
    <t>Sadowsky, Michael J.; Whitman, Richard L.</t>
  </si>
  <si>
    <t>Magic Bullets To Conquer Malaria : from Quinine to Qinghaosu</t>
  </si>
  <si>
    <t>Sherman, Irwin W.</t>
  </si>
  <si>
    <t>Biochemical Imbalances In Disease : A Practitioner's Handbook</t>
  </si>
  <si>
    <t>Ash, Michael; Bold, Justine; Culp, Michael; Hallam, Ada; Hanciles, Smita; Monro, Jean; Mortimore, Denise; Muller, Angelette; Neil, Kate; Woodriff Beirne, Ann</t>
  </si>
  <si>
    <t>Caring for the Physical and Mental Health of People with Learning Disabilities</t>
  </si>
  <si>
    <t>Perry, David; Hammond, Louise; Marston, Geoff; Gaskell, Sherryl; Eva, James; Kearns, Anthony; Davis, Elin</t>
  </si>
  <si>
    <t>Step By Step Help for Children With Adhd : A Self-Help Manual for Parents</t>
  </si>
  <si>
    <t>Laver-Bradbury, Cathy; Thompson, Margaret; Weeks, Anne; Daley, David; Sonuga-Barke, Edmund J. S.; Laver-Bradbury, Cathy; Sonuga-Barke, E.</t>
  </si>
  <si>
    <t>Adopting after Infertility : Messages from Practice, Research and Personal Experience</t>
  </si>
  <si>
    <t>Baffour, Sally; Culley, Lorraine; Feast, Julia; Gwilt, Jenny; Haworth, Gill; HendryKnight, Anthea; Hudson, Nicola; Letherby, Gayle; Balen, Rachel; Crawshaw, Marilyn</t>
  </si>
  <si>
    <t>Chinese Medical Qigong</t>
  </si>
  <si>
    <t>Liu, Tianjun; Chen, Kevin; Liu, Tianjun; Qiang, Xiao Mei</t>
  </si>
  <si>
    <t>Siblings and Autism : Stories Spanning Generations and Cultures</t>
  </si>
  <si>
    <t>Caramagno, Thomas C.; Watkins, Cara Murphy; Stricklin, Katie; Anderson, Catherine; Barnhill, Anne Clinard; Damiano, Anne; Fisch, Lindsey; Giles, Erika; Cumberland, Debra L.; Mills, Bruce E.</t>
  </si>
  <si>
    <t>Cognitive Behavioural Therapy for Child Trauma and Abuse : A Step-By-Step Approach</t>
  </si>
  <si>
    <t>Ronan, Kevin R.; Feather, Jacqueline S.</t>
  </si>
  <si>
    <t>Promoting Psychological Well-Being in Children With Acute and Chronic Illness</t>
  </si>
  <si>
    <t>Edwards, Melinda; Titman, Penny</t>
  </si>
  <si>
    <t>Siblings : The Autism Spectrum Through Our Eyes</t>
  </si>
  <si>
    <t>Van Rensselaer, Anne; Johnson, Jane</t>
  </si>
  <si>
    <t>Basic Theories of Traditional Chinese Medicine</t>
  </si>
  <si>
    <t>Bing, Zhu; Hongcai, Wang</t>
  </si>
  <si>
    <t>Diagnostics of Traditional Chinese Medicine</t>
  </si>
  <si>
    <t>Family Experiences of Bipolar Disorder : The Ups, the Downs and the Bits in Between</t>
  </si>
  <si>
    <t>Aiken, Cara</t>
  </si>
  <si>
    <t>An A-Z of Genetic Factors in Autism : A Handbook for Parents and Carers</t>
  </si>
  <si>
    <t>Autism and the Edges of the Known World : Sensitivities, Language and Constructed Reality</t>
  </si>
  <si>
    <t>Bogdashina, Olga; Hubert, Kazik; Peeters, Theo</t>
  </si>
  <si>
    <t>Understanding Dyspraxia : A Guide for Parents, Teachers and Professionals</t>
  </si>
  <si>
    <t>Boon, Maureen</t>
  </si>
  <si>
    <t>Organize Your ADD/ADHD Child : A Practical Guide for Parents</t>
  </si>
  <si>
    <t>Carter, Cheryl R.; Carter, Cheryl</t>
  </si>
  <si>
    <t>Life At the Edge and Beyond : Living With Adhd and Asperger Syndrome</t>
  </si>
  <si>
    <t>Greenman, Jan; Gray, James</t>
  </si>
  <si>
    <t>Cognitive Behavioural Therapy with Older People : Interventions for Those with and Without Dementia</t>
  </si>
  <si>
    <t>James, Ian Andrew</t>
  </si>
  <si>
    <t>A Practical Guide to Working with Reluctant Clients in Health and Social Care</t>
  </si>
  <si>
    <t>Kindred, Maggie; Kindred, Cath</t>
  </si>
  <si>
    <t>Insightful Body : Healing with Somacentric Dialoguing</t>
  </si>
  <si>
    <t>McKay, Julie</t>
  </si>
  <si>
    <t>Foundation Role Plays for Autism : Role Plays for Working with Individuals with Autism Spectrum Disorders, Parents, Peers, Teachers, and Other Professionals</t>
  </si>
  <si>
    <t>Nelson, Andrew; Wolfberg, Pamela J</t>
  </si>
  <si>
    <t>Get Out, Explore, and Have Fun! : How Families of Children with Autism Or Asperger Syndrome Can Get the Most Out of Community Activities</t>
  </si>
  <si>
    <t>Rudy, Lisa Jo</t>
  </si>
  <si>
    <t>Modern Capitalist Culture</t>
  </si>
  <si>
    <t>White, Leslie A.; Urish, Benjamin</t>
  </si>
  <si>
    <t>No Place for Dying : Hospitals and the Ideology of Rescue</t>
  </si>
  <si>
    <t>Chapple, Helen Stanton</t>
  </si>
  <si>
    <t>Spirits with Scalpels : The Cultural Biology of Religious Healing in Brazil</t>
  </si>
  <si>
    <t>Greenfield, Sidney M.</t>
  </si>
  <si>
    <t>Mudpacks and Prozac : Experiencing Ayurvedic, Biomedical, and Religious Healing</t>
  </si>
  <si>
    <t>Halliburton, Murphy</t>
  </si>
  <si>
    <t>History; Social Science</t>
  </si>
  <si>
    <t>On Knowing and Not Knowing in the Anthropology of Medicine</t>
  </si>
  <si>
    <t>Littlewood, Roland</t>
  </si>
  <si>
    <t>Healthy Ancestor : Embodied Inequality and the Revitalization of Native Hawai’ian Health</t>
  </si>
  <si>
    <t>Left Coast Press</t>
  </si>
  <si>
    <t>McMullin, Juliet</t>
  </si>
  <si>
    <t>Witches, Westerners, and HIV : AIDS and Cultures of Blame in Africa</t>
  </si>
  <si>
    <t>RÃ¶dlach, Alexander</t>
  </si>
  <si>
    <t>Palaeoepidemiology : The Measure of Disease in the Human Past</t>
  </si>
  <si>
    <t>Working with Parents Makes Therapy Work</t>
  </si>
  <si>
    <t>Novick, Kerry Kelly; Novick, Jack</t>
  </si>
  <si>
    <t>Parenting Mentally Ill Children : Faith, Caring, Support, and Surviving the System</t>
  </si>
  <si>
    <t>LeCroy, Craig W.</t>
  </si>
  <si>
    <t>Inside Coma : A New View of Awareness, Healing, and Hope</t>
  </si>
  <si>
    <t>Morin, Pierre; Morin, Pierre; Reiss, Gary</t>
  </si>
  <si>
    <t>Outsmarting Mother Nature : A Woman's Complete Guide to Plastic Surgery in the 21st Century</t>
  </si>
  <si>
    <t>Sweis, Iliana E.; MD, Iliana E</t>
  </si>
  <si>
    <t>Cognitive Behavior Therapy with Older Adults : Innovations Across Care Settings</t>
  </si>
  <si>
    <t>Sorocco, Kristen H.; Lauderdale, Sean</t>
  </si>
  <si>
    <t>Grief Therapy with Latinos : Integrating Culture for Clinicians</t>
  </si>
  <si>
    <t>Vazquez, Carmen; Rosa, Dinelia</t>
  </si>
  <si>
    <t>Fast Facts for the Clinical Nurse Manager : Tips on Managing the Changing Workplace in a Nutshell</t>
  </si>
  <si>
    <t>Fry, Barbara Farquharson; Barbara Farquharson Fry Rn, Med (Adult)</t>
  </si>
  <si>
    <t>Occupational Health and Safety</t>
  </si>
  <si>
    <t>Clarke, Sharon; Burke, Ronald J.; Burke, Professor Ronald J.; Burke, Professor Ronald J.; Cooper, Professor,Sir Cary L.</t>
  </si>
  <si>
    <t>Oxford Textbook of Palliative Social Work</t>
  </si>
  <si>
    <t>Altilio, Terry; Otis-Green, Shirley</t>
  </si>
  <si>
    <t>Teaching and Behavior Support for Children and Adults with Autism Spectrum Disorder : A Practitioner's Guide</t>
  </si>
  <si>
    <t>Luiselli, James K.</t>
  </si>
  <si>
    <t>Nuts and Seeds in Health and Disease Prevention</t>
  </si>
  <si>
    <t>Watson, Ronald Ross; Patel, Vinood B.; Preedy, Victor R.</t>
  </si>
  <si>
    <t>Pharmacy; Health; Medicine</t>
  </si>
  <si>
    <t>Imagining Illness : Public Health and Visual Culture</t>
  </si>
  <si>
    <t>Serlin, David; Bu, Liping; Cartwright, Lisa</t>
  </si>
  <si>
    <t>Social Aspects Of Health, Illness And Healthcare</t>
  </si>
  <si>
    <t>Larkin, Mary</t>
  </si>
  <si>
    <t>Writing Your Nursing Portfolio : A Step-by-step Guide</t>
  </si>
  <si>
    <t>Timmins, Fiona; Duffy, Anita</t>
  </si>
  <si>
    <t>Essentials of Fetal Monitoring, Fourth Edition : Fourth Edition</t>
  </si>
  <si>
    <t>Romo, Patricia, MSN, CNM, RNC; Murray, Michelle, PhD, RNC; Huelsmann, Gayle, BSN, RNC; Murray, Michelle L., Dr., PhD, RNC; Koperski, Nanci, RNC, MBA, MHSA, LNCC</t>
  </si>
  <si>
    <t>The Artinian Intersystem Model : Integrating Theory and Practice for the Professional Nurse, Second Edition</t>
  </si>
  <si>
    <t>Artinian, Barbara M, Dr., PhD, RN; West, Katharine S., MPH,MSN,RN,CNS; Conger, Margaret, EdD, RN; Katharine West Mph, Msn Rn</t>
  </si>
  <si>
    <t>Strengthening the DSM : Incorporating Resilience and Cultural Competence</t>
  </si>
  <si>
    <t>Garcia, Betty; Petrovich, Anne; Petrovich, Anne; Dr Betty Garcia Phd, Lcsw; Anne Petrovich Phd, Lcsw</t>
  </si>
  <si>
    <t>Tibetan Transitions : Historical and Contemporary Perspectives on Fertility, Family Planning, and Demographic Change</t>
  </si>
  <si>
    <t>Childs, Geoff</t>
  </si>
  <si>
    <t>Manual of Traumatic Brain Injury Management</t>
  </si>
  <si>
    <t>Zollman, Felise</t>
  </si>
  <si>
    <t>International Perspectives in Health Informatics</t>
  </si>
  <si>
    <t>Borycki, E.M.; Bartle-Clar, J.A.; Househ, M.S.</t>
  </si>
  <si>
    <t>Building Community Resilience to Disasters : A Way Forward to Enhance National Health Security</t>
  </si>
  <si>
    <t>Chandra, Anita; Acosta, Joie; Stern, Stefanie; Williams, Malcolm V</t>
  </si>
  <si>
    <t>Temporal Bone Dissection Manual : 3D Presentations</t>
  </si>
  <si>
    <t>Cremers, C.; Mulder, J</t>
  </si>
  <si>
    <t>Being and Well-Being : Health and the Working Bodies of Silicon Valley</t>
  </si>
  <si>
    <t>English-Lueck, J. A.</t>
  </si>
  <si>
    <t>Medical Tourism</t>
  </si>
  <si>
    <t>Connell, J.</t>
  </si>
  <si>
    <t>Doctors Without Borders in Ethiopia : Among the Afar</t>
  </si>
  <si>
    <t>Hubbard, Nyla Jo Jones</t>
  </si>
  <si>
    <t>Turning Points : An Extraordinary Journey into the Suicidal Mind</t>
  </si>
  <si>
    <t>De Leo, Diego</t>
  </si>
  <si>
    <t>Matters of the Heart : History, Medicine, and Emotion</t>
  </si>
  <si>
    <t>Bound Alberti, Fay</t>
  </si>
  <si>
    <t>History of Medicine : A Very Short Introduction</t>
  </si>
  <si>
    <t>Bynum, William</t>
  </si>
  <si>
    <t>Epidemiology : A Very Short Introduction</t>
  </si>
  <si>
    <t>Saracci, Rodolfo</t>
  </si>
  <si>
    <t>Atlas : Global Resources for Persons with Intellectual Disabilities 2007</t>
  </si>
  <si>
    <t>High-Dose Irradiation : Wholesomeness of Food Irradiated with Doses above 10 kGy:Report of a Joint FAO/IAEA/WHO Study Group Technical Report Series, No 890</t>
  </si>
  <si>
    <t>Engineering: Chemical; Health; Social Science; Engineering</t>
  </si>
  <si>
    <t>Prevention and Control of Schistosomiasis and Soil-transmitted Helminthiasis : Report of a WHO Expert Committee</t>
  </si>
  <si>
    <t>World Health Organization; UNAIDS; UNAIDS, ; World Health Organization,</t>
  </si>
  <si>
    <t>Safety Evaluation of Certain Food Additives : Sixty-eighth Meeting of the Joint FAO/WHO Expert Committee on Food Additives</t>
  </si>
  <si>
    <t>Joint Fao Who Expert Committee on Food Additives</t>
  </si>
  <si>
    <t>WHO Expert Committee on Biological Standardization : Fifty-sixth Report</t>
  </si>
  <si>
    <t>Service Delivery for Vulnerable Populations : New Directions in Behavioral Health</t>
  </si>
  <si>
    <t>Estrine, Steven; Hettenbach, Robert; Arthur, Heidi; Messina, Maria</t>
  </si>
  <si>
    <t>Animal Subjects : An Ethical Reader in a Posthuman World</t>
  </si>
  <si>
    <t>Wilfrid Laurier University Press</t>
  </si>
  <si>
    <t>Castricano, Jodey</t>
  </si>
  <si>
    <t>Florence Nightingale : An Introduction to Her Life and Family:Collected Works of Florence Nightingale, Volume 1</t>
  </si>
  <si>
    <t>Nightingale, Florence; McDonald, Lynn</t>
  </si>
  <si>
    <t>Florence Nightingale's Suggestions for Thought : Collected Works of Florence Nightingale, Volume 11</t>
  </si>
  <si>
    <t>McDonald, Lynn</t>
  </si>
  <si>
    <t>Florence Nightingale's Spiritual Journey : Biblical Annotations, Sermons and Journal Notes:Collected Works of Florence Nightingale, Volume 2</t>
  </si>
  <si>
    <t>Religion; Nursing</t>
  </si>
  <si>
    <t>Florence Nightingale's Theology : Essays, Letters and Journal Notes:Collected Works of Florence Nightingale, Volume 3</t>
  </si>
  <si>
    <t>Nursing; Religion</t>
  </si>
  <si>
    <t>Florence Nightingale on Mysticism and Eastern Religions : Collected Works of Florence Nightingale, Volume 4</t>
  </si>
  <si>
    <t>Vallée, Gérard; Vallee, Gerard</t>
  </si>
  <si>
    <t>Religion; Social Science; Health</t>
  </si>
  <si>
    <t>Florence Nightingale on Society and Politics, Philosophy, Science, Education and Literature : Collected Works of Florence Nightingale, Volume 5</t>
  </si>
  <si>
    <t>Nursing; Social Science</t>
  </si>
  <si>
    <t>Florence Nightingale on Public Health Care : Collected Works of Florence Nightingale, Volume 6</t>
  </si>
  <si>
    <t>Florence Nightingale’s European Travels : Collected Works of Florence Nightingale, Volume 7</t>
  </si>
  <si>
    <t>Geography/Travel; Nursing</t>
  </si>
  <si>
    <t>Florence Nightingale on Health in India : Collected Works of Florence Nightingale, Volume 9</t>
  </si>
  <si>
    <t>Vallée, Gérard</t>
  </si>
  <si>
    <t>Secondary Sources in the History of Canadian Medicine : A Bibliography / Bibliographie de l’Histoire de la Médecine / Volume 2</t>
  </si>
  <si>
    <t>Roland, Charles G.; Bernier, Jacques</t>
  </si>
  <si>
    <t>General Works/Reference</t>
  </si>
  <si>
    <t>Food That Really Schmecks : Mennonite Country Cooking as Prepared by My Mennonite Friend Bevvy Martin, My Mother and Other Fine Cooks</t>
  </si>
  <si>
    <t>Staebler, Edna; Murray, Rose ; Martin, Bevvy</t>
  </si>
  <si>
    <t>Spiritual Care and Therapy : Integrative Perspectives</t>
  </si>
  <si>
    <t>VanKatwyk, Peter L.</t>
  </si>
  <si>
    <t>Children’s Health Issues in Historical Perspective : International Historical Perspectives</t>
  </si>
  <si>
    <t>Warsh, Cheryl Krasnick; Strong-Boag, Veronica</t>
  </si>
  <si>
    <t>Handbook of Cognitive-Behavioral Approaches in Primary Care</t>
  </si>
  <si>
    <t>DiTomasso, Robert A.; Golden, Barbara A.; Morris, Harry; Dr Barbara a Golden Psy D, Abpp</t>
  </si>
  <si>
    <t>Treating Young Veterans : Promoting Resilience Through Practice and Advocacy</t>
  </si>
  <si>
    <t>Kelly, Diann; Barksdale, Sydney; Gitelson, David; Sydney Barksdale Phd, Jd</t>
  </si>
  <si>
    <t>Feeling of Meaninglessness : A Challenge to Psychotherapy and Philosophy</t>
  </si>
  <si>
    <t>Frankl, Victor E.; Batthyány, Alexander</t>
  </si>
  <si>
    <t>Obstetric Anesthesia</t>
  </si>
  <si>
    <t>Palmer, Craig M.; D'Angelo, Robert; Paech, Michael J.</t>
  </si>
  <si>
    <t>Living with Bipolar Disorder : A Guide for Individuals and Families (Updated Edition)</t>
  </si>
  <si>
    <t>Otto, Michael W.; Reilly-Harrington, Noreen A.; Knauz, Robert O.; Henin, Aude; Kogan, Jane N.; Sachs, Gary S.</t>
  </si>
  <si>
    <t>Hypnosis for Chronic Pain Management : Therapist Guide</t>
  </si>
  <si>
    <t>Jensen, Mark P.</t>
  </si>
  <si>
    <t>Hypnosis for Chronic Pain Management : Workbook</t>
  </si>
  <si>
    <t>Ankylosing Spondylitis</t>
  </si>
  <si>
    <t>Weisman, Michael H.</t>
  </si>
  <si>
    <t>'No Five Fingers are Alike' : What Exiled Kurdish Women in Therapy Told Me</t>
  </si>
  <si>
    <t>Karnac Books</t>
  </si>
  <si>
    <t>Ahlberg, Nora</t>
  </si>
  <si>
    <t>What Can the Matter Be? : Therapeutic Interventions with Parents, Infants and Young Children</t>
  </si>
  <si>
    <t>Bradley, Elizabeth; Emanuel, Louise</t>
  </si>
  <si>
    <t>The 3-Point Therapist</t>
  </si>
  <si>
    <t>Davies, Hilary A.</t>
  </si>
  <si>
    <t>Integrative Psychotherapy in Action</t>
  </si>
  <si>
    <t>Erskine, Richard G.; Moursund, Janet P.</t>
  </si>
  <si>
    <t>Infant Losses; Adult Searches : A Neural and Developmental Perspective on Psychopathology and Sexual Offending</t>
  </si>
  <si>
    <t>Allez, Glyn Hudson</t>
  </si>
  <si>
    <t>Transference and Countertransference : A Unifying Focus of Psychoanalysis</t>
  </si>
  <si>
    <t>Arundale, Jean; Bellman, Debbie Bandler</t>
  </si>
  <si>
    <t>Resistance, Rebellion and Refusal in Groups : The 3 Rs</t>
  </si>
  <si>
    <t>Billow, Richard M.</t>
  </si>
  <si>
    <t>Traumatic Reliving in History, Literature and Film</t>
  </si>
  <si>
    <t>Binion, Rudolph</t>
  </si>
  <si>
    <t>Destructiveness, Intersubjectivity and Trauma : The Identity Crisis of Modern Psychoanalysis</t>
  </si>
  <si>
    <t>Bohleber, Werner</t>
  </si>
  <si>
    <t>A Relational Approach to Rehabilitation : Thinking about Relationships after Brain Injury</t>
  </si>
  <si>
    <t>Bowen, Ceri; Palmer, Siobhan; Yeates, Giles</t>
  </si>
  <si>
    <t>Mirrors and Reflections : Processes of Systemic Supervision</t>
  </si>
  <si>
    <t>Burck, Charlotte; Daniel, Gwyn</t>
  </si>
  <si>
    <t>Eigen in Seoul : Madness and Murder</t>
  </si>
  <si>
    <t>Eigen, Michael</t>
  </si>
  <si>
    <t>Questioning Identities : Philosophy in Psychoanalytic Practice</t>
  </si>
  <si>
    <t>Lynne Ellis, Mary; O'Connor, Noreen</t>
  </si>
  <si>
    <t>Bearing Witness : Psychoanalytic Work with People Traumatised by Torture and State Violence</t>
  </si>
  <si>
    <t>Gautier, Andres; Scalmati, Anna Sabatini</t>
  </si>
  <si>
    <t>The Body of the Organisation and its Health</t>
  </si>
  <si>
    <t>Morgan-Jones, Richard</t>
  </si>
  <si>
    <t>But at the Same Time and on Another Level : Psychoanalytic Theory and Technique in the Kleinian/Bionian Mode</t>
  </si>
  <si>
    <t>S. Grotstein, James</t>
  </si>
  <si>
    <t>But at the Same Time and on Another Level : Clinical Applications in the Kleinian/Bionian Mode</t>
  </si>
  <si>
    <t>The Anorexic Mind</t>
  </si>
  <si>
    <t>Lawrence, Marilyn</t>
  </si>
  <si>
    <t>Practitioner-Based Research : Power, Discourse and Transformation</t>
  </si>
  <si>
    <t>Freshwater, Dawn; Lees, John</t>
  </si>
  <si>
    <t>A Beam of Intense Darkness : Wilfred Bion's Legacy to Psychoanalysis</t>
  </si>
  <si>
    <t>Grotstein, James S.</t>
  </si>
  <si>
    <t>Fifty Years of Attachment Theory : The Donald Winnicott Memorial Lecture</t>
  </si>
  <si>
    <t>Bowlby, Sir Richard; King, Pearl</t>
  </si>
  <si>
    <t>Intensive Short-Term Dynamic Psychotherapy : Theory and Technique</t>
  </si>
  <si>
    <t>Della Selva, Patricia C.</t>
  </si>
  <si>
    <t>Therapy Beyond Modernity : Deconstructing and Transcending Profession-Centred Therapy</t>
  </si>
  <si>
    <t>House, Richard</t>
  </si>
  <si>
    <t>Understanding Trauma : A Psychoanalytical Approach</t>
  </si>
  <si>
    <t>Garland, Caroline</t>
  </si>
  <si>
    <t>Psychosomatics Today : A Psychoanalytic Perspective</t>
  </si>
  <si>
    <t>Aisenstein, Marilia; Rappoport de Aisemberg, Elsa</t>
  </si>
  <si>
    <t>Telling Stories? : Attachment-Based Approaches to the Treatment of Psychosis</t>
  </si>
  <si>
    <t>Benamer, Sarah</t>
  </si>
  <si>
    <t>Fostering Independence : Helping and Caring in Psychodynamic Therapies</t>
  </si>
  <si>
    <t>Brafman, A. H.</t>
  </si>
  <si>
    <t>Anxiety and Mood Disorders Following Traumatic Brain Injury : Clinical Assessment and Psychotherapy</t>
  </si>
  <si>
    <t>Coetzer, Rudi</t>
  </si>
  <si>
    <t>Constructing Stories, Telling Tales : A Guide to Formulation in Applied Psychology</t>
  </si>
  <si>
    <t>Corrie, Sarah; Lane, David A.</t>
  </si>
  <si>
    <t>The Use of Psychoanalytic Concepts in Therapy with Families : For all Professionals Working with Families</t>
  </si>
  <si>
    <t>Beginnings in Psychotherapy : A Guidebook for New Therapists</t>
  </si>
  <si>
    <t>Eichler, Seth</t>
  </si>
  <si>
    <t>Psychotherapy and Culture : Weaving Inner and Outer Worlds</t>
  </si>
  <si>
    <t>Eleftheriadou, Zack</t>
  </si>
  <si>
    <t>Life Scripts : A Transactional Analysis of Unconscious Relational Patterns</t>
  </si>
  <si>
    <t>Erskine, Richard G.</t>
  </si>
  <si>
    <t>Franks and Saracens : Reality and Fantasy in the Crusades</t>
  </si>
  <si>
    <t>Sextuplets : Study of a Sibling Group</t>
  </si>
  <si>
    <t>Fortini, Linda Root; Mori, Laura</t>
  </si>
  <si>
    <t>Difficult Topics in Group Psychotherapy : My Journey from Shame to Courage</t>
  </si>
  <si>
    <t>Gans, Jerome</t>
  </si>
  <si>
    <t>The Groups Book : Psychoanalytic Group Therapy: Principles and Practice</t>
  </si>
  <si>
    <t>What Do Patients Want? : Psychoanalytic Perspectives from the Couch</t>
  </si>
  <si>
    <t>A.S. Hill, Christine</t>
  </si>
  <si>
    <t>In Search of the Good Life : Emmanuel Levinas, Psychoanalysis and the Art of Living</t>
  </si>
  <si>
    <t>Marcus, Paul</t>
  </si>
  <si>
    <t>Play and Power</t>
  </si>
  <si>
    <t>Grunbaum, Liselotte; Mortensen, Karen Vibeke</t>
  </si>
  <si>
    <t>Knowing, Not-Knowing and Sort-Of-Knowing : Psychoanalysis and the Experience of Uncertainty</t>
  </si>
  <si>
    <t>Petrucelli, Jean</t>
  </si>
  <si>
    <t>The Philosophy of Cognitive-Behavioural Therapy (CBT) : Stoic Philosophy as Rational and Cognitive Psychotherapy</t>
  </si>
  <si>
    <t>Robertson, Donald</t>
  </si>
  <si>
    <t>The Language of Bion : A Dictionary of Concepts</t>
  </si>
  <si>
    <t>Sandler, P.C.</t>
  </si>
  <si>
    <t>Therapy with Children : An Existential Perspective</t>
  </si>
  <si>
    <t>Scalzo, Chris</t>
  </si>
  <si>
    <t>Crossing Borders - Integrating Differences : Psychoanalytic Psychotherapy in Transition</t>
  </si>
  <si>
    <t>Gerlach, Alf; Schloesser, Anne-Marie</t>
  </si>
  <si>
    <t>Assessing Change in Psychoanalytic Psychotherapy of Children and Adolescents : Today's Challenge</t>
  </si>
  <si>
    <t>Trowell, Judith; Tsiantis, John</t>
  </si>
  <si>
    <t>Bion's Dream : A Reading of the Autobiographies</t>
  </si>
  <si>
    <t>Harris Williams, Meg</t>
  </si>
  <si>
    <t>A Meltzer Reader : Selections from the writings of Donald Meltzer</t>
  </si>
  <si>
    <t>Meltzer, Donald; Williams, Meg Harris</t>
  </si>
  <si>
    <t>The Psychoanalytic Therapy of Severe Disturbance</t>
  </si>
  <si>
    <t>Williams, Paul</t>
  </si>
  <si>
    <t>Help Yourself Towards Mental Health</t>
  </si>
  <si>
    <t>Young, Courtenay</t>
  </si>
  <si>
    <t>Turning Points in Dynamic Psychotherapy : Initial Assessment, Boundaries, Money, Disruptions and Suicidal Crises</t>
  </si>
  <si>
    <t>Akhtar, Salman</t>
  </si>
  <si>
    <t>The Work of Confluence : Listening and Interpreting in the Psychoanalytic Field</t>
  </si>
  <si>
    <t>Baranger, Madeleine; Baranger, Willy; Glocer Fiorini, Leticia</t>
  </si>
  <si>
    <t>The Making of Psychotherapists : An Anthropological Analysis</t>
  </si>
  <si>
    <t>Davies, James</t>
  </si>
  <si>
    <t>Vulnerability to Psychosis : A Psychoanalytic Study of the Nature and Therapy of the Psychotic State</t>
  </si>
  <si>
    <t>De Masi, Franco; Slotkin, Philip</t>
  </si>
  <si>
    <t>The Analyzing Situation</t>
  </si>
  <si>
    <t>Donnet, Jean-Luc; Weller, Andrew</t>
  </si>
  <si>
    <t>The Analytic Field : A Clinical Concept</t>
  </si>
  <si>
    <t>Basile, Roberto; Ferro, Antonino</t>
  </si>
  <si>
    <t>Systems and Psychoanalysis : Contemporary Integrations in Family Therapy</t>
  </si>
  <si>
    <t>Flaskas, Carmel; Pocock, David</t>
  </si>
  <si>
    <t>Unbearable Affect : A Guide to the Psychotherapy of Psychosis</t>
  </si>
  <si>
    <t>Garfield, David</t>
  </si>
  <si>
    <t>Susan Isaacs : A Life Freeing the Minds of Children</t>
  </si>
  <si>
    <t>Graham, Philip</t>
  </si>
  <si>
    <t>Resonance of Suffering : Countertransference in Non-Neurotic Structures</t>
  </si>
  <si>
    <t>Green, Andre</t>
  </si>
  <si>
    <t>Theory and Practice in Child Psychoanalysis : An Introduction to the Work of Francoise Dolto</t>
  </si>
  <si>
    <t>Hall, Guy; Hivernel, Francoise; Morgan, Sian</t>
  </si>
  <si>
    <t>Our Desire of Unrest : Thinking about Therapy</t>
  </si>
  <si>
    <t>Jacobs, Michael</t>
  </si>
  <si>
    <t>Psychosis in the Family : The Journey of a Transpersonal Psychotherapist and Mother</t>
  </si>
  <si>
    <t>C. Love, Janet</t>
  </si>
  <si>
    <t>Not Just Talking : Conversational Analysis, Harvey Sacks' Gift to Therapy</t>
  </si>
  <si>
    <t>Pain, Jean</t>
  </si>
  <si>
    <t>The Aesthetic Dimension of the Mind : Variations on a Theme of Bion</t>
  </si>
  <si>
    <t>Pistiner de Cortinas, Lia</t>
  </si>
  <si>
    <t>Child-Centred Attachment Therapy : The CcAT Programme</t>
  </si>
  <si>
    <t>Gall, Maggie; Raicar, Alexandra Maeja; Sear, Pauline</t>
  </si>
  <si>
    <t>A Clinical Application of Bion's Concepts : Dreaming, Transformation, Containment and Change</t>
  </si>
  <si>
    <t>Sandler, P.C.; Menezes, Luis Carlos</t>
  </si>
  <si>
    <t>Treating The 'Untreatable' : Healing in the Realms of Madness</t>
  </si>
  <si>
    <t>Steinman, Ira</t>
  </si>
  <si>
    <t>Contributions of Self Psychology to Group Psychotherapy : Selected Papers</t>
  </si>
  <si>
    <t>Stone, Walter N.</t>
  </si>
  <si>
    <t>The Muse as Therapist : A New Poetic Paradigm for Psychotherapy</t>
  </si>
  <si>
    <t>Wilkinson, Heward</t>
  </si>
  <si>
    <t>Taboo or Not Taboo? Forbidden Thoughts, Forbidden Acts in Psychoanalysis and Psychotherapy : Forbidden Thoughts, Forbidden Acts in Psychoanalysis and Psychotherapy</t>
  </si>
  <si>
    <t>C. Bohm, Lori; Curtis, Rebecca C.; Willock, Brent</t>
  </si>
  <si>
    <t>Autism in Childhood and Autistic Features in Adults : A Psychoanalytic Perspective</t>
  </si>
  <si>
    <t>Barrows, Kate</t>
  </si>
  <si>
    <t>Trauma and Attachment</t>
  </si>
  <si>
    <t>Benamer, Sarah; White, Kate</t>
  </si>
  <si>
    <t>Violence in Children : Understanding and Helping Those Who Harm</t>
  </si>
  <si>
    <t>Campher, Rosemary</t>
  </si>
  <si>
    <t>Searching to Be Found : Understanding and Helping Adopted and Looked after Children with Attention Difficulties</t>
  </si>
  <si>
    <t>Lee Comfort, Randy</t>
  </si>
  <si>
    <t>Murder : A Psychotherapeutic Investigation</t>
  </si>
  <si>
    <t>Doctor, Ronald</t>
  </si>
  <si>
    <t>Psychic Assaults and Frightened Clinicians : Countertransference in Forensic Settings</t>
  </si>
  <si>
    <t>Gordon, John; Kirtchuk, Gabriel</t>
  </si>
  <si>
    <t>Fly Away Fear : Overcoming your Fear of Flying</t>
  </si>
  <si>
    <t>Iljon Foreman, Elaine; Van Gerwen, Lucas</t>
  </si>
  <si>
    <t>Psychoanalytic Psychotherapy after Child Abuse : The Treatment of Adults and Children Who Have Experienced Sexual Abuse, Violence, and Neglect in Childhood</t>
  </si>
  <si>
    <t>Itzin, Catherine; Kennedy, Roger; Maxted, Fay; McQueen, Daniel; Sinason, Valerie</t>
  </si>
  <si>
    <t>The Psychoanalytic Work of Hansi Kennedy : From War Nurseries to the Anna Freud Centre (1940-1993)</t>
  </si>
  <si>
    <t>Miller, Jill M.; Neely, Carla</t>
  </si>
  <si>
    <t>Psychoanalytic Energy Psychotherapy : Inspired by Thought Field Therapy, EFT, TAT, and Seemorg Matrix</t>
  </si>
  <si>
    <t>Mollon, Phil</t>
  </si>
  <si>
    <t>Psychoanalytic Practice and State Regulation</t>
  </si>
  <si>
    <t>Parker, Ian; Revelli, Simona</t>
  </si>
  <si>
    <t>When Work Takes Control : The Psychology and Effects of Work Addiction</t>
  </si>
  <si>
    <t>Rasmussen, Pernille</t>
  </si>
  <si>
    <t>Work Discussion : Learning from Reflective Practice in Work with Children and Families</t>
  </si>
  <si>
    <t>Bradley, Jonathan; Rustin, Margaret</t>
  </si>
  <si>
    <t>Forensic Aspects of Dissociative Identity Disorder</t>
  </si>
  <si>
    <t>Galton, Graeme; Sachs, Adah</t>
  </si>
  <si>
    <t>Entropy of Mind and Negative Entropy : A Cognitive and Complex Approach to Schizophrenia and its Therapy</t>
  </si>
  <si>
    <t>Scrimali, Tullio</t>
  </si>
  <si>
    <t>Mentalizing in Child Therapy : Guidelines for Clinical Practitioners</t>
  </si>
  <si>
    <t>Schmeets, M.G.J.; Verheugt-Pleiter, Annelies J.E.; Zevalkink, Jolien</t>
  </si>
  <si>
    <t>Spilt Milk : Perinatal Loss and Breakdown</t>
  </si>
  <si>
    <t>Raphael-Leff, Joan</t>
  </si>
  <si>
    <t>Containment in the Community : Supportive Frameworks for Thinking about Antisocial Behaviour and Mental Health</t>
  </si>
  <si>
    <t>Reiss, David; Rubitel, Alla</t>
  </si>
  <si>
    <t>The How-To Book for Students of Psychoanalysis and Psychotherapy</t>
  </si>
  <si>
    <t>Bach, Sheldon</t>
  </si>
  <si>
    <t>Freud's Schreber Between Psychiatry and Psychoanalysis : On Subjective Disposition to Psychosis</t>
  </si>
  <si>
    <t>Dalzell, Thomas</t>
  </si>
  <si>
    <t>Systems-Centered Therapy : Clinical Practice with Individuals, Families and Groups</t>
  </si>
  <si>
    <t>Agazarian, Yvonne M.; Gantt, Susan P.</t>
  </si>
  <si>
    <t>The Injured Self : The Psychopathology and Psychotherapy of Developmental Deviations</t>
  </si>
  <si>
    <t>Aleksandrowicz, Dov R.; Aleksandrowicz, Malca</t>
  </si>
  <si>
    <t>Child and Adolescent Psychotherapy</t>
  </si>
  <si>
    <t>Blake, Peter</t>
  </si>
  <si>
    <t>Children's Phantasies : The Shaping of Relationships</t>
  </si>
  <si>
    <t>Weininger, Otto; Segal, Hanna</t>
  </si>
  <si>
    <t>All My Sins Remembered : Another Part of a Life and the Other Side of Genius: Family Letters</t>
  </si>
  <si>
    <t>R. Bion, Wilfred</t>
  </si>
  <si>
    <t>Hidden Conversations : An Introduction to Communicative Psychoanalysis</t>
  </si>
  <si>
    <t>Smith, David L.</t>
  </si>
  <si>
    <t>Extending Horizons : Psychoanalytic Psychotherapy with Children, Adolescents and Families</t>
  </si>
  <si>
    <t>Miller, Sheila; Szur, Rolene</t>
  </si>
  <si>
    <t>Mother, Madonna, Whore : The Idealization and Denigration of Motherhood</t>
  </si>
  <si>
    <t>V. Welldon, Estela</t>
  </si>
  <si>
    <t>Cybernetics of Prejudices in the Practice of Psychotherapy</t>
  </si>
  <si>
    <t>Cecchin, Gianfranco; Lane, Gerry; Ray, Wendel A.</t>
  </si>
  <si>
    <t>First Contributions to Psycho-analysis</t>
  </si>
  <si>
    <t>Ferenczi, Sandor; Jones, Ernest</t>
  </si>
  <si>
    <t>The Visible and Invisible Group</t>
  </si>
  <si>
    <t>M. Agazarian, Yvonne; Peters, Richard</t>
  </si>
  <si>
    <t>Autism and Childhood Psychosis</t>
  </si>
  <si>
    <t>Tustin, Frances; Hamilton, Victoria</t>
  </si>
  <si>
    <t>The Therapeutic Relationship in Systemic Therapy</t>
  </si>
  <si>
    <t>Flaskas, Carmel; Perlesz, Amaryll; Wertheim, Eleanor S.</t>
  </si>
  <si>
    <t>On Private Madness</t>
  </si>
  <si>
    <t>Reason and Passion : A Celebration of the Work of Hanna Segal</t>
  </si>
  <si>
    <t>Bell, David</t>
  </si>
  <si>
    <t>Interacting Stories : Narratives, Family Beliefs and Therapy</t>
  </si>
  <si>
    <t>Memory in Dispute</t>
  </si>
  <si>
    <t>Sinason, Valerie; Sinason, Valerie</t>
  </si>
  <si>
    <t>Introduction to Group Analytic Psychotherapy : Studies in the Social Integration of Individuals and Groups</t>
  </si>
  <si>
    <t>Foulkes, S.H.</t>
  </si>
  <si>
    <t>Second Thoughts : Selected Papers on Psychoanalysis</t>
  </si>
  <si>
    <t>Learning from Experience</t>
  </si>
  <si>
    <t>Bion, Wilfred R.</t>
  </si>
  <si>
    <t>Psychology; Education</t>
  </si>
  <si>
    <t>Autistic Barriers in Neurotic Patients</t>
  </si>
  <si>
    <t>Tustin, Frances</t>
  </si>
  <si>
    <t>Further Contributions to the Theory and Technique of Psycho-analysis</t>
  </si>
  <si>
    <t>Ferenczi, Sandor; Suttie, Jane Isabel; Rickman, John</t>
  </si>
  <si>
    <t>Analysis, Repair and Individuation</t>
  </si>
  <si>
    <t>Lambert, Kenneth</t>
  </si>
  <si>
    <t>Winnicott Studies</t>
  </si>
  <si>
    <t>Spurling, Laurence; Squiggle Foundation; By (author) Squiggle Foundation</t>
  </si>
  <si>
    <t>The Motherhood Constellation : A Unified View of Parent-Infant Psychotherapy</t>
  </si>
  <si>
    <t>Stern, Daniel N.</t>
  </si>
  <si>
    <t>Multiple Voices : Narrative in Systemic Family Psychotherapy</t>
  </si>
  <si>
    <t>Byng-Hall, John; Papadopoulos, Renos</t>
  </si>
  <si>
    <t>Psychotic States in Children</t>
  </si>
  <si>
    <t>Dubinsky, Alex; Dubinsky, Helene; Rhode, Maria; Rustin, Margaret</t>
  </si>
  <si>
    <t>Countertransference in Psychoanalytic Psychotherapy with Children and Adolescents</t>
  </si>
  <si>
    <t>Anastasopoulos, Dimitris; Martindale, Brian; Sandler, Anne-Marie; Tsiantis, John</t>
  </si>
  <si>
    <t>Internal Landscapes and Foreign Bodies : Eating Disorders and Other Pathologies</t>
  </si>
  <si>
    <t>Williams, Gianna</t>
  </si>
  <si>
    <t>Bion's Legacy to Groups</t>
  </si>
  <si>
    <t>Borgogno, Franco; Merciai, Silvio A.; Talamo, Parthenope Bion</t>
  </si>
  <si>
    <t>Child-Focused Practice : A Collaborative Systemic Approach</t>
  </si>
  <si>
    <t>Wilson, Jim</t>
  </si>
  <si>
    <t>Fielding, John; Newman, Alexander; Rapp, Miriam; Squiggle Foundation; By (author) Squiggle Foundation</t>
  </si>
  <si>
    <t>Winnicott Studies. No 8</t>
  </si>
  <si>
    <t>Narcissism : A New Theory</t>
  </si>
  <si>
    <t>Symington, Neville</t>
  </si>
  <si>
    <t>Klein</t>
  </si>
  <si>
    <t>Segal, Hanna</t>
  </si>
  <si>
    <t>The Protective Shell in Children and Adults</t>
  </si>
  <si>
    <t>Coaching People with Asperger's Syndrome : Family Coaching</t>
  </si>
  <si>
    <t>Goodyear, Bill</t>
  </si>
  <si>
    <t>The Janus Face of Prenatal Diagnostics : A European Study Bridging Ethics, Psychoanalysis, and Medicine</t>
  </si>
  <si>
    <t>Engels, Eve-Marie; Leuzinger-Bohleber, Marianne; Tsiantis, John</t>
  </si>
  <si>
    <t>The Language of Winnicott : A Dictionary of Winnicott's Use of Words</t>
  </si>
  <si>
    <t>Abram, Jan</t>
  </si>
  <si>
    <t>Signs of Autism in Infants : Recognition and Early Intervention</t>
  </si>
  <si>
    <t>Acquarone, Stella</t>
  </si>
  <si>
    <t>Resilience, Suffering and Creativity : The Work of the Refugee Therapy Centre</t>
  </si>
  <si>
    <t>Alayarian, Aida</t>
  </si>
  <si>
    <t>Innovations in the Reflecting Process : The Inspirations of Tom Andersen</t>
  </si>
  <si>
    <t>Anderson, Harlene; Jensen, Per</t>
  </si>
  <si>
    <t>The Dialogical Therapist : Dialogue in Systemic Practice</t>
  </si>
  <si>
    <t>Bertrando, Paolo</t>
  </si>
  <si>
    <t>Understanding Boundaries and Containment in Clinical Practice</t>
  </si>
  <si>
    <t>Brown, Rebecca; Stobart, Karen</t>
  </si>
  <si>
    <t>Psychotherapy and the Everyday Life : A Guide for the Puzzled Consumer</t>
  </si>
  <si>
    <t>Aronzon, Rami; Budick, Emily</t>
  </si>
  <si>
    <t>Looking into Later Life : A Psychoanalytic Approach to Depression and Dementia in Old Age</t>
  </si>
  <si>
    <t>Davenhill, Rachael</t>
  </si>
  <si>
    <t>Gestalt Therapy : The Art of Contact</t>
  </si>
  <si>
    <t>Ginger, Serge</t>
  </si>
  <si>
    <t>Playing the Unconscious : Psychoanalytic Interviews with Children Using Winnicott's Squiggle Technique</t>
  </si>
  <si>
    <t>Gunter, Michael</t>
  </si>
  <si>
    <t>After Winnicott : Compilation of Works Based on the Life, Writings and Ideas of D.W. Winnicott</t>
  </si>
  <si>
    <t>Karnac, Harry</t>
  </si>
  <si>
    <t>Couple Attachments : Theoretical and Clinical Studies</t>
  </si>
  <si>
    <t>Ludlam, Molly; Nyberg, Viveka</t>
  </si>
  <si>
    <t>Diversity, Discipline and Devotion in Psychoanalytic Psychotherapy : Clinical and Training Perspectives</t>
  </si>
  <si>
    <t>Developmental Science and Psychoanalysis : Integration and Innovation</t>
  </si>
  <si>
    <t>Fonagy, Peter; Mayes, Linda; Target, Mary</t>
  </si>
  <si>
    <t>The Analysand's Tale</t>
  </si>
  <si>
    <t>Morley, Robert</t>
  </si>
  <si>
    <t>The Strategic Dialogue : Rendering the Diagnostic Interview a Real Therapeutic Intervention</t>
  </si>
  <si>
    <t>Nardone, Giorgio; Salvini, Alessandro</t>
  </si>
  <si>
    <t>The Evolution of Family Patterns and Indirect Therapy with Adolescents</t>
  </si>
  <si>
    <t>Giannotti, Emanuela; Nardone, Giorgio; Rocchi, Rita</t>
  </si>
  <si>
    <t>Innovations in Parent-Infant Psychotherapy : International Contributions</t>
  </si>
  <si>
    <t>Pozzi Monzo, Maria; Tydeman, Beverley</t>
  </si>
  <si>
    <t>Politics on the Couch : Citizenship and the Internal Life</t>
  </si>
  <si>
    <t>Samuels, Andrew</t>
  </si>
  <si>
    <t>Political Science; Medicine</t>
  </si>
  <si>
    <t>When the Body Displaces the Mind : Stress, Trauma and Somatic Disease</t>
  </si>
  <si>
    <t>Benjamin Stora, Jean</t>
  </si>
  <si>
    <t>Skin in Psychoanalysis</t>
  </si>
  <si>
    <t>Ulnik, Jorge</t>
  </si>
  <si>
    <t>The Performance of Practice : Enhancing the Repertoire of Therapy with Children and Families</t>
  </si>
  <si>
    <t>Systems-Centered Practice : Selected Papers on Group Psychotherapy</t>
  </si>
  <si>
    <t>Agazarian, Yvonne M.</t>
  </si>
  <si>
    <t>Dual Realities : The Search for Meaning: Psychodynamic Therapy with Physically Ill People</t>
  </si>
  <si>
    <t>Archer, Ruth</t>
  </si>
  <si>
    <t>Intellectual Disabilities : A Systemic Approach</t>
  </si>
  <si>
    <t>Baum, Sandra; Lynggaard, Henrik</t>
  </si>
  <si>
    <t>Training and Training Standards : Psychological Therapies in Primary Care</t>
  </si>
  <si>
    <t>Hooper, Douglas; Weitz, Philippa</t>
  </si>
  <si>
    <t>Unmasking Race, Culture, and Attachment in the Psychoanalytic Space</t>
  </si>
  <si>
    <t>White, Kate</t>
  </si>
  <si>
    <t>The Fundamentals of Psychoanalytic Technique</t>
  </si>
  <si>
    <t>Horacio Etchegoyen, R.; Pitchon, Patricia</t>
  </si>
  <si>
    <t>Unexpected Gains : Psychotherapy with People with Learning Disabilities</t>
  </si>
  <si>
    <t>Miller, Lynda; Simpson, David</t>
  </si>
  <si>
    <t>Childhood Psychosis : A Lacanian Perspective</t>
  </si>
  <si>
    <t>Tendlarz, Silvia Elena</t>
  </si>
  <si>
    <t>Ideas in Practice</t>
  </si>
  <si>
    <t>Bishop, Bernardine; Foster, Angela; Klein, Josephine; O'Connell, Victoria</t>
  </si>
  <si>
    <t>Challenges to Practice</t>
  </si>
  <si>
    <t>Surviving Space : Papers on Infant Observation</t>
  </si>
  <si>
    <t>Briggs, Andrew</t>
  </si>
  <si>
    <t>Perspectives on Supervision</t>
  </si>
  <si>
    <t>Campbell, David; Mason, Barry</t>
  </si>
  <si>
    <t>A Pattern of Madness : Philosophical Foundations for a Theory of Madness</t>
  </si>
  <si>
    <t>Key Papers on Borderline Disorders : With IJP Internet Discussion Reviews</t>
  </si>
  <si>
    <t>Untying the Knot : Working with Children and Parents</t>
  </si>
  <si>
    <t>Brafman, A.H.</t>
  </si>
  <si>
    <t>Reflective Enquiry into Therapeutic Institutions</t>
  </si>
  <si>
    <t>Day, Lesley; Pringle, Pam</t>
  </si>
  <si>
    <t>Pregnancy : The Inside Story</t>
  </si>
  <si>
    <t>Where Analysis Meets the Arts : The Integration of the Arts Therapies with Psychoanalytic Theory</t>
  </si>
  <si>
    <t>Searle, Yvonne; Streng, Isabelle; Sabbadini, Andrea</t>
  </si>
  <si>
    <t>The Edge of Experience : Borderline and Psychosomatic Patients in Clinical Practice</t>
  </si>
  <si>
    <t>Rabavilas, Andreas; Vaslamatzis, Grigoris; Rabavilas, Andreas</t>
  </si>
  <si>
    <t>Foundations for Conceptual Research in Psychoanalysis</t>
  </si>
  <si>
    <t>Dreher, Anna U.</t>
  </si>
  <si>
    <t>Clinical Studies in Neuro-psychoanalysis : Introduction to a Depth Neuropsychology</t>
  </si>
  <si>
    <t>Kaplan-Solms, Karen; Solms, Mark</t>
  </si>
  <si>
    <t>Clinical and Observational Psychoanalytic Research : Roots of a Controversy - Andre Green and Daniel Stern</t>
  </si>
  <si>
    <t>Davies, Rosemary; Sandler, Anne-Marie; Sandler, Joseph</t>
  </si>
  <si>
    <t>W. R. Bion : Between Past and Future</t>
  </si>
  <si>
    <t>Borgogno, Franco; Merciai, Silvio A.; Talamo, Parthenope Bion; Grinberg, Leon</t>
  </si>
  <si>
    <t>Work with Parents : Psychoanalytic Psychotherapy with Children and Adolescents</t>
  </si>
  <si>
    <t>Boethious, Siv Boalt; Hallerfors, Birgit; Horne, Ann; Tsiantis, John; Tischler, Lydia</t>
  </si>
  <si>
    <t>No Lost Certainties to Be Recovered : Sexuality, Creativity, Knowledge</t>
  </si>
  <si>
    <t>Kohon, Gregorio; Forrester, John</t>
  </si>
  <si>
    <t>Psychoanalytic Theories of Affect</t>
  </si>
  <si>
    <t>Stein, Ruth; Sandler, Joseph</t>
  </si>
  <si>
    <t>Beyond Belief : Psychotherapy and Religion</t>
  </si>
  <si>
    <t>M. Stein, Samuel</t>
  </si>
  <si>
    <t>Talking Cure : Mind and Method of the Tavistock Clinic</t>
  </si>
  <si>
    <t>Taylor, David</t>
  </si>
  <si>
    <t>Psychosis (Madness)</t>
  </si>
  <si>
    <t>Assessment in Psychotherapy</t>
  </si>
  <si>
    <t>Alfille, Helen; Cooper, Judy; Tonnesmann, Margret; Tonnesmann, Margret</t>
  </si>
  <si>
    <t>The Values of Psychotherapy</t>
  </si>
  <si>
    <t>Holmes, Jeremy; Lindley, Richard; Hinshelwood, R. D.</t>
  </si>
  <si>
    <t>The Large Group : Dynamics and Therapy</t>
  </si>
  <si>
    <t>Kreeger, Lionel</t>
  </si>
  <si>
    <t>Therapeutic Group Analysis</t>
  </si>
  <si>
    <t>Private Health Sector Assessment in Ghana</t>
  </si>
  <si>
    <t>The World Bank; Sealy, Stephanie; Makinen, Marty; World Bank,</t>
  </si>
  <si>
    <t>Asian American and Pacific Islander Children and Mental Health : Development and Context : Prevention and Treatment</t>
  </si>
  <si>
    <t>Leon, Frederick T. L.; Leong, Frederick T; Juang, Linda; Fitzgerald, Hiram</t>
  </si>
  <si>
    <t>Vitamins in the prevention of human Diseases</t>
  </si>
  <si>
    <t>Herrmann, Wolfgang; Obeid, Rima</t>
  </si>
  <si>
    <t>HIV/AIDS in South Africa</t>
  </si>
  <si>
    <t>Karim, S. S. Abdool; Karim, Q. Abdool</t>
  </si>
  <si>
    <t>The Matter of Air : Science and Art of the Ethereal</t>
  </si>
  <si>
    <t>Connor, Steven</t>
  </si>
  <si>
    <t>Science; Health; Science: Geology; Social Science</t>
  </si>
  <si>
    <t>Ben Behind His Voices : One Family's Journey from the Chaos of Schizophrenia to Hope</t>
  </si>
  <si>
    <t>Kaye, Randye</t>
  </si>
  <si>
    <t>Lives Transformed : A Revolutionary Method of Dynamic Psychotherapy</t>
  </si>
  <si>
    <t>C. Della Selva, Patricia; Malan, David</t>
  </si>
  <si>
    <t>Protein and Peptide Mass Spectrometry in Drug Discovery</t>
  </si>
  <si>
    <t>Gross, Michael L.; Chen, Guodong; Pramanik, Birendra</t>
  </si>
  <si>
    <t>Oral Bioavailability : Basic Principles, Advanced Concepts, and Applications</t>
  </si>
  <si>
    <t>Li, Xiaoling; Hu, Ming</t>
  </si>
  <si>
    <t>Characterization of Impurities and Degradants Using Mass Spectrometry</t>
  </si>
  <si>
    <t>Chen, Guodong; Pramanik, Birendra; Lee, Mike S.; Pramanik, Birendra; Lee, Mike S</t>
  </si>
  <si>
    <t>Drug Discrimination : Applications to Medicinal Chemistry and Drug Studies</t>
  </si>
  <si>
    <t>Glennon, Richard A.; Young, Richard</t>
  </si>
  <si>
    <t>Applications of Toxicogenomics in Safety Evaluation and Risk Assessment</t>
  </si>
  <si>
    <t>Boverhof, Darrell R.; Gollapudi, B. Bhaskar</t>
  </si>
  <si>
    <t>Topical and Transdermal Drug Delivery : Principles and Practice</t>
  </si>
  <si>
    <t>Benson, Heather A. E.; Watkinson, Adam C.; Benson, Heather A E; Watkinson, Adam C</t>
  </si>
  <si>
    <t>Chiral Drugs : Chemistry and Biological Action</t>
  </si>
  <si>
    <t>Lin, Guo-Qiang; You, Qi-Dong; Cheng, Jie-Fei; Lin, Guo-Qiang; You, Qi-Dong; Cheng, Jie-Fei</t>
  </si>
  <si>
    <t>Chemosensors : Principles, Strategies, and Applications</t>
  </si>
  <si>
    <t>Wang, Binghe; Anslyn, Eric V.</t>
  </si>
  <si>
    <t>Labor and Delivery Care : A Practical Guide</t>
  </si>
  <si>
    <t>Cohen, Wayne R.; Friedman, Emanuel A.; Friedman, Emanuel A.</t>
  </si>
  <si>
    <t>Challenging and Emerging Conditions in Emergency Medicine</t>
  </si>
  <si>
    <t>Venkat, Arvind</t>
  </si>
  <si>
    <t>Building Brains : An Introduction to Neural Development</t>
  </si>
  <si>
    <t>Price, David; Jarman, Andrew P.; Mason, John O., Jr.; Kind, Peter C.</t>
  </si>
  <si>
    <t>Programs and Interventions for Maltreated Children and Families at Risk : Clinician's Guide to Evidence-Based Practice</t>
  </si>
  <si>
    <t>Cottom, Robert I.; Rubin, Allen; Rubin, Allen</t>
  </si>
  <si>
    <t>Risk Assessment in People With Learning Disabilities</t>
  </si>
  <si>
    <t>Sellars, Carol</t>
  </si>
  <si>
    <t>Cancer Epigenetics : Biomolecular Therapeutics in Human Cancer</t>
  </si>
  <si>
    <t>Giordano, Antonio; Macaluso, Marcella; Maio, Michele</t>
  </si>
  <si>
    <t>Medical Toxicology of Drugs Abuse : Synthesized Chemicals and Psychoactive Plants</t>
  </si>
  <si>
    <t>Barceloux, Donald G.</t>
  </si>
  <si>
    <t>Periodontal-Restorative Interrelationships : Ensuring Clinical Success</t>
  </si>
  <si>
    <t>Fugazzotto, Paul A.; Hains, Frederick; DePaoli, Sergio</t>
  </si>
  <si>
    <t>News and Numbers : A Writer's Guide to Statistics</t>
  </si>
  <si>
    <t>Cohn, Victor; Cope, Lewis</t>
  </si>
  <si>
    <t>Problem-Based Approach to Gastroenterology and Hepatology</t>
  </si>
  <si>
    <t>Plevris, John; Howden, Colin</t>
  </si>
  <si>
    <t>Evidence-based Orthopedics</t>
  </si>
  <si>
    <t>Bhandari, Mohit</t>
  </si>
  <si>
    <t>Orthodontics : Principles and Practice</t>
  </si>
  <si>
    <t>Gill, Daljit; Naini, Farhad B.</t>
  </si>
  <si>
    <t>Care Planning in Children and Young People's Nursing</t>
  </si>
  <si>
    <t>Corkin, Doris; Clarke, Sonya; Liggett, Lorna</t>
  </si>
  <si>
    <t>Nutrition in the Childbearing Years</t>
  </si>
  <si>
    <t>Derbyshire, Emma</t>
  </si>
  <si>
    <t>Hyperkinetic Movement Disorders : Differential Diagnosis and Treatment</t>
  </si>
  <si>
    <t>Albanese, Alberto; Jankovic, Joseph</t>
  </si>
  <si>
    <t>Integrative Gastroenterology</t>
  </si>
  <si>
    <t>Mullin, Gerard</t>
  </si>
  <si>
    <t>Health Information Management : Principles and Organization for Health Information Services</t>
  </si>
  <si>
    <t>Skurka, Margaret A.</t>
  </si>
  <si>
    <t>Advances in Bioceramics and Porous Ceramics IV : Ceramic Engineering and Science Proceedings</t>
  </si>
  <si>
    <t>Narayan, Roger; Colombo, Paolo; Singh, Dileep; Widjaja, Sujanto; Widjaja, Sujanto</t>
  </si>
  <si>
    <t>Medicine; Engineering; Engineering: General</t>
  </si>
  <si>
    <t>Gynecologic Oncology : Evidence-Based Perioperative and Supportive Care</t>
  </si>
  <si>
    <t>Vasilev, Steven A.; Lentz, Scott E.; Axtell, Allison E.</t>
  </si>
  <si>
    <t>HIV-1 Integrase : Mechanism and Inhibitor Design</t>
  </si>
  <si>
    <t>Neamati, Nouri; Wang, Binghe; Wang, Binghe</t>
  </si>
  <si>
    <t>Fundamental Neuropathology for Pathologists and Toxicologists : Principles and Techniques</t>
  </si>
  <si>
    <t>Bolon, Brad; Butt, Mark; Bolon, Brad; Butt, Mark</t>
  </si>
  <si>
    <t>Development of Vaccines : From Discovery to Clinical Testing</t>
  </si>
  <si>
    <t>Singh, Manmohan; Srivastava, Indresh K.; Singh, Manmohan; Srivastava, Indresh K</t>
  </si>
  <si>
    <t>Pharmacy; Science: Biology/Natural History; Science; Medicine</t>
  </si>
  <si>
    <t>Systems Biology in Drug Discovery and Development</t>
  </si>
  <si>
    <t>Young, Daniel L.; Michelson, Seth</t>
  </si>
  <si>
    <t>Applications of Microdialysis in Pharmaceutical Science</t>
  </si>
  <si>
    <t>Tsai, Tung-Hu</t>
  </si>
  <si>
    <t>Molecular Techniques for the Study of Hospital Acquired Infection</t>
  </si>
  <si>
    <t>Foley, Steven L.; Chen, Anne Y.; Simjee, Shabbir; Zervos, Marcus J.; Simjee, Shabbir; Zervos, Marcus J</t>
  </si>
  <si>
    <t>Biodegradable Polymers in Clinical Use and Clinical Development</t>
  </si>
  <si>
    <t>Domb, Abraham J.; Kumar, Neeraj</t>
  </si>
  <si>
    <t>Chemical Analysis of Antibiotic Residues in Food</t>
  </si>
  <si>
    <t>Wang, Jian; MacNeil, James D.; Kay, Jack F.</t>
  </si>
  <si>
    <t>Detection and Quantification of Antibodies to Biopharmaceuticals : Practical and Applied Considerations</t>
  </si>
  <si>
    <t>Tovey, Michael G.</t>
  </si>
  <si>
    <t>Protein Chaperones and Protection from Neurodegenerative Diseases</t>
  </si>
  <si>
    <t>Witt, Stephan N.; Uversky, Vladimir; Uversky, Vladimir; Uversky, Vladimir</t>
  </si>
  <si>
    <t>Polypharmacology in Drug Discovery</t>
  </si>
  <si>
    <t>Peters, Jens-Uwe; Peters, Jens-Uwe</t>
  </si>
  <si>
    <t>Carbohydrate Recognition : Biological Problems, Methods, and Applications</t>
  </si>
  <si>
    <t>Wang, Binghe; Boons, Geert-Jan</t>
  </si>
  <si>
    <t>Risk and Crisis Communications : Methods and Messages</t>
  </si>
  <si>
    <t>Walaski, Pamela (Ferrante)</t>
  </si>
  <si>
    <t>Engineering: General; Engineering; Social Science</t>
  </si>
  <si>
    <t>Medicinal Chemistry of Nucleic Acids</t>
  </si>
  <si>
    <t>Zhang, Li-He; Xi, Zhen; Chattopadhyaya, Jyoti; Hecht, Sidney M.</t>
  </si>
  <si>
    <t>Neuroimaging in Addiction</t>
  </si>
  <si>
    <t>Adinoff, Bryon; Stein, Elliot A.</t>
  </si>
  <si>
    <t>Current and Future Issues in Hemophilia Care</t>
  </si>
  <si>
    <t>Rodriguez-Merchan, E. Carlos; Valentino, Leonard A.</t>
  </si>
  <si>
    <t>Chemistry and Biochemistry of Oxygen Therapeutics : From Transfusion to Artificial Blood</t>
  </si>
  <si>
    <t>Mozzarelli, Andrea; Bettati, Stefano</t>
  </si>
  <si>
    <t>Development of Therapeutic Agents Handbook</t>
  </si>
  <si>
    <t>Harper's Textbook of Pediatric Dermatology</t>
  </si>
  <si>
    <t>Irvine, Alan D.; Hoeger, Peter H.; Yan, Albert; Irvine, Alan D; Hoeger, Peter H; Yan, Albert C</t>
  </si>
  <si>
    <t>Neurodegeneration : The Molecular Pathology of Dementia and Movement Disorders</t>
  </si>
  <si>
    <t>Dickson, Dennis; Weller, Roy O.</t>
  </si>
  <si>
    <t>Inflammation and Allergy Drug Design</t>
  </si>
  <si>
    <t>Izuhara, K.; Holgate, Stephen T.; Wills-Karp, Marsha</t>
  </si>
  <si>
    <t>Flow Cytometry of Hematological Malignancies</t>
  </si>
  <si>
    <t>Ortolani, Claudio</t>
  </si>
  <si>
    <t>Stillbirth : Prediction, Prevention and Management</t>
  </si>
  <si>
    <t>Spong, Catherine Y.</t>
  </si>
  <si>
    <t>Antibiotics and Antibiotic Resistance</t>
  </si>
  <si>
    <t>Sköld , Ola; Sk?ld, Ola</t>
  </si>
  <si>
    <t>Transforming Public Health Practice : Leadership and Management Essentials</t>
  </si>
  <si>
    <t>Healey, Bernard J.; Lesneski, Cheryll D.</t>
  </si>
  <si>
    <t>Environmental Policy and Public Health : Air Pollution, Global Climate Change, and Wilderness</t>
  </si>
  <si>
    <t>Rom, William N., Jr.</t>
  </si>
  <si>
    <t>Unmasking Psychological Symptoms : How Therapists Can Learn to Recognize the Psychological Presentation of Medical Disorders</t>
  </si>
  <si>
    <t>Schildkrout, Barbara</t>
  </si>
  <si>
    <t>Infectious Diseases : A Geographic Guide</t>
  </si>
  <si>
    <t>Petersen, Eskild; Chen, Lin Hwei; Schlagenhauf, Patricia</t>
  </si>
  <si>
    <t>AST Handbook of Transplant Infections</t>
  </si>
  <si>
    <t>Kumar, Deepali; Humar, Atul</t>
  </si>
  <si>
    <t>The Health Care Data Guide : Learning from Data for Improvement</t>
  </si>
  <si>
    <t>Provost, Lloyd P.; Murray, Sandra</t>
  </si>
  <si>
    <t>The Therapist's Workbook : Self-Assessment, Self-Care, and Self-Improvement Exercises for Mental Health Professionals</t>
  </si>
  <si>
    <t>Kottler, Jeffrey A.</t>
  </si>
  <si>
    <t>Index of Medical Imaging</t>
  </si>
  <si>
    <t>McConnell, Jonathan; Druva, Ruth</t>
  </si>
  <si>
    <t>Acoustic and Auditory Phonetics</t>
  </si>
  <si>
    <t>Johnson, Keith; Sherman, V. Clayton; Sherman, Stephanie G.</t>
  </si>
  <si>
    <t>Language/Linguistics</t>
  </si>
  <si>
    <t>Diagnostic Dermoscopy : The Illustrated Guide</t>
  </si>
  <si>
    <t>Bowling, Jonathan</t>
  </si>
  <si>
    <t>Sport and Exercise Nutrition</t>
  </si>
  <si>
    <t>Lanham-New, Susan; Stear, Samantha; Shirreffs, Susan; Collins, Adam</t>
  </si>
  <si>
    <t>Handbook of Service User Involvement in Mental Health Research : User Involvement in Mental Health Research</t>
  </si>
  <si>
    <t>Wallcraft, Jan; Schrank, Beate; Amering, Michaela; Amering, Michaela</t>
  </si>
  <si>
    <t>Metabolic Syndrome : Underlying Mechanisms and Drug Therapies</t>
  </si>
  <si>
    <t>Wang, Minghan; Wang, Minghan</t>
  </si>
  <si>
    <t>Anticholinesterase Pesticides : Metabolism, Neurotoxicity, and Epidemiology</t>
  </si>
  <si>
    <t>Satoh, Tetsuo; Gupta, Ramesh C.</t>
  </si>
  <si>
    <t>Cardiovascular Effects of Inhaled Ultrafine and Nano-Sized Particles</t>
  </si>
  <si>
    <t>Cassee, Flemming R.; Mills, Nicholas L.; Newby, David E.; Cassee, Flemming R; Mills, Nicholas L; Newby, David E; Newby, David E E</t>
  </si>
  <si>
    <t>Greco-Arab and Islamic Herbal Medicine : Traditional System, Ethics, Safety, Efficacy, and Regulatory Issues</t>
  </si>
  <si>
    <t>Saad, Bashar; Said, Omar</t>
  </si>
  <si>
    <t>Salivary Gland Cytology : A Color Atlas</t>
  </si>
  <si>
    <t>Al-Abbadi, Mousa A.; Al-Abbadi, Mousa A</t>
  </si>
  <si>
    <t>Fisher Investments on Health Care</t>
  </si>
  <si>
    <t>Fisher Investments; Kelly, Michael; Teufel, Andrew S.; Teufel, Andrew S.</t>
  </si>
  <si>
    <t>Cost-Contained Regulatory Compliance : For the Pharmaceutical, Biologics, and Medical Device Industries</t>
  </si>
  <si>
    <t>Weinberg, Sandy</t>
  </si>
  <si>
    <t>Binary Data Analysis of Randomized Clinical Trials with Noncompliance</t>
  </si>
  <si>
    <t>Lui, Kung-Jong</t>
  </si>
  <si>
    <t>Teaching Psychiatry : Putting Theory into Practice</t>
  </si>
  <si>
    <t>Gask, Linda; Coskun, Bulent; Baron, David; Baron, David A.</t>
  </si>
  <si>
    <t>Sex, Stress and Reproductive Success</t>
  </si>
  <si>
    <t>Lovejoy, David A.; Barsyte, Dalia</t>
  </si>
  <si>
    <t>Human Oral Mucosa : Development, Structure and Function</t>
  </si>
  <si>
    <t>Squier, Christopher; Brogden, Kim; O'Rourke, Jodie</t>
  </si>
  <si>
    <t>Practical Endocrinology and Diabetes in Children</t>
  </si>
  <si>
    <t>Raine, Joseph E.; Donaldson, Malcolm D. C.; Gregory, J.W.; Gregory, J. W.; Van-Vliet, Guy; Van-Vliet, Guy</t>
  </si>
  <si>
    <t>Lipids, Malnutrition and the Developing Brain</t>
  </si>
  <si>
    <t>CIBA Foundation Symposium; Lastciba Foundation Symposium,</t>
  </si>
  <si>
    <t>Physiology, Emotion and Psychosomatic Illness</t>
  </si>
  <si>
    <t>Intrauterine Infections</t>
  </si>
  <si>
    <t>Corneal Graft Failure</t>
  </si>
  <si>
    <t>Law and Ethics of AID and Embryo Transfer, Number 17</t>
  </si>
  <si>
    <t>The Human Lens : InRelation to Cataract</t>
  </si>
  <si>
    <t>Trypanosomiasis and Leishmaniasis : with special reference to Chagas' disease</t>
  </si>
  <si>
    <t>Medical Research Systems in Europe</t>
  </si>
  <si>
    <t>Parasites in the Immunized Host : Mechanisms of Survival</t>
  </si>
  <si>
    <t>The Poisioned Patient : The Role of the Laboratory</t>
  </si>
  <si>
    <t>Size at Birth</t>
  </si>
  <si>
    <t>Health and Industrial Growth</t>
  </si>
  <si>
    <t>Outcome of Severe Damage to the Central Nervous System</t>
  </si>
  <si>
    <t>Acute Diarrhoea in Childhood</t>
  </si>
  <si>
    <t>Health Care in a Changing Setting : The UK Experience</t>
  </si>
  <si>
    <t>Research and Medical Practice : Their Interaction</t>
  </si>
  <si>
    <t>Breast-Feeding and the Mother</t>
  </si>
  <si>
    <t>Immunology of the Gut</t>
  </si>
  <si>
    <t>Iron Metabolism</t>
  </si>
  <si>
    <t>Hepatotrophic Factors</t>
  </si>
  <si>
    <t>CIBA Foundation Symposium</t>
  </si>
  <si>
    <t>Major Mental Handicap : Methods and Costs of Prevention</t>
  </si>
  <si>
    <t>Pregnancy Metabolism, Diabetes and the Fetus</t>
  </si>
  <si>
    <t>Maternal Recognition of Pregnancy</t>
  </si>
  <si>
    <t>Submolecular Biology and Cancer</t>
  </si>
  <si>
    <t>Drug Concentrations in Neuropsychiatry</t>
  </si>
  <si>
    <t>Environmental Chemicals, Enzyme Function and Human Disease</t>
  </si>
  <si>
    <t>Perinatal Infections</t>
  </si>
  <si>
    <t>Tinnitus</t>
  </si>
  <si>
    <t>Metabolic Acidosis</t>
  </si>
  <si>
    <t>Fetal Antigens and Cancer</t>
  </si>
  <si>
    <t>Cytopathology of Parasitic Disease</t>
  </si>
  <si>
    <t>Science: Zoology; Science; Medicine</t>
  </si>
  <si>
    <t>Mechanisms of Alcohol Damage in Utero</t>
  </si>
  <si>
    <t>Human Cataract Formation</t>
  </si>
  <si>
    <t>Abortion : Medical Progress and Social Implications</t>
  </si>
  <si>
    <t>Biochemisty of Macrophages</t>
  </si>
  <si>
    <t>Science: Biology/Natural History; Science: Zoology; Science</t>
  </si>
  <si>
    <t>Combining CBT and Medication : An Evidence-Based Approach</t>
  </si>
  <si>
    <t>Sudak, Donna M.</t>
  </si>
  <si>
    <t>Palliative Care : Transforming the Care of Serious Illness</t>
  </si>
  <si>
    <t>Meier, Diane E.; Isaacs, Stephen L.; Hughes, Robert; Hughes, Robert</t>
  </si>
  <si>
    <t>Dermatopathology : Diagnosis by First Impression</t>
  </si>
  <si>
    <t>Ko, Christine J.; Barr, Ronald J.</t>
  </si>
  <si>
    <t>A Pocket Guide for Student Midwives</t>
  </si>
  <si>
    <t>McKay-Moffat, Stella; Lee, Pamela; McKay-Moffat, Stella</t>
  </si>
  <si>
    <t>Nursing the Neonate</t>
  </si>
  <si>
    <t>Meeks, Maggie; Hallsworth, Maggie; Yeo, Helen</t>
  </si>
  <si>
    <t>Qualitative Research in Nursing and Healthcare</t>
  </si>
  <si>
    <t>Holloway, Immy; Wheeler, Stephanie</t>
  </si>
  <si>
    <t>Physical Assessment for Nurses</t>
  </si>
  <si>
    <t>Cox, Carol</t>
  </si>
  <si>
    <t>Statistical Approach to Genetic Epidemiology : Concepts and Applications</t>
  </si>
  <si>
    <t>Ziegler, Andreas; Konig, Inke R.; Pahlke, Friedrich; K?nig, Inke R.</t>
  </si>
  <si>
    <t>Chemical Food Safety : Modular Texts</t>
  </si>
  <si>
    <t>Brimer, Leon</t>
  </si>
  <si>
    <t>Remembering with Emotion in Dynamic Psychotherapy : New Directions in Theory and Technique</t>
  </si>
  <si>
    <t>Sandler, Steven B.</t>
  </si>
  <si>
    <t>Psychotic States : A Psychoanalytic Approach</t>
  </si>
  <si>
    <t>A. Rosenfeld, Herbert</t>
  </si>
  <si>
    <t>The Patient and the Analyst : The Basis of the Psychoanalytic Process</t>
  </si>
  <si>
    <t>Dare, Christopher; Dreher, Anna U.; Holder, Alex; Sandler, Joseph; Sandler, Joseph</t>
  </si>
  <si>
    <t>The Wolf-Man and Sigmund Freud</t>
  </si>
  <si>
    <t>Gardiner, Muriel; Gardiner, Muriel</t>
  </si>
  <si>
    <t>Difficulties in the Analytic Encounter</t>
  </si>
  <si>
    <t>Klauber, John</t>
  </si>
  <si>
    <t>Anxiety and Neurosis</t>
  </si>
  <si>
    <t>Rycroft, Charles</t>
  </si>
  <si>
    <t>Two Papers : 'the Grid' And 'Caesura'</t>
  </si>
  <si>
    <t>Normality and Pathology in Childhood : Assessments of Development</t>
  </si>
  <si>
    <t>Freud, Anna</t>
  </si>
  <si>
    <t>Psychopathology : Contemporary Jungian Perspectives</t>
  </si>
  <si>
    <t>Samuels, Andrew; Samuels, Andrew</t>
  </si>
  <si>
    <t>Selected Papers : Psychoanalysis and Group Analysis</t>
  </si>
  <si>
    <t>Foulkes, S. H.; Pines, M.</t>
  </si>
  <si>
    <t>Koinonia : From Hate, Through Dialogue, to Culture in the Larger Group</t>
  </si>
  <si>
    <t>De Mare, Patrick; Piper, Robin; Thompson, Sheila</t>
  </si>
  <si>
    <t>The Psychoanalysis of Sexual Functions of Women</t>
  </si>
  <si>
    <t>Deutsch, Helene; Roazen, Paul</t>
  </si>
  <si>
    <t>Handing Over : Developing Consistency Across Shifts in Residential and Health Settings</t>
  </si>
  <si>
    <t>Mason, Barry; Campbell, David; Draper, Rosalind</t>
  </si>
  <si>
    <t>Countertransference : Theory, Technique, Teaching</t>
  </si>
  <si>
    <t>Alexandris, Athina; Vaslamatzis, Grigoris</t>
  </si>
  <si>
    <t>Internal Consultation in Health Care Settings</t>
  </si>
  <si>
    <t>Bor, Robert; Miller, Riva; Campbell, David; Draper, Rosalind</t>
  </si>
  <si>
    <t>Second Thoughts on the Theory and Practice of the Milan Approach to Family Therapy</t>
  </si>
  <si>
    <t>Campbell, David; Draper, Ros; Huffington, Clare</t>
  </si>
  <si>
    <t>Teaching Family Therapy</t>
  </si>
  <si>
    <t>Draper, Ros; Gower, Myrna; Huffington, Clare</t>
  </si>
  <si>
    <t>The Harvard Lectures</t>
  </si>
  <si>
    <t>Freud, Anna; Sandler, Joseph; The Institute of Psychoanalysis,</t>
  </si>
  <si>
    <t>Schizoid Phenomena, Object Relations and the Self</t>
  </si>
  <si>
    <t>Guntrip, Harry</t>
  </si>
  <si>
    <t>Co-Constructing Therapeutic Conversations : A Consultation of Restraint</t>
  </si>
  <si>
    <t>Inger, Ivan; Inger, Jeri; Campbell, David; Draper, Rosalind</t>
  </si>
  <si>
    <t>The Psychotic : Aspects of the Personality</t>
  </si>
  <si>
    <t>Rosenfeld, David</t>
  </si>
  <si>
    <t>Irreverence : A Strategy for Therapists' Survival</t>
  </si>
  <si>
    <t>Speak of Me As I Am : The Life and Work of Masud Khan</t>
  </si>
  <si>
    <t>Cooper, Judy; Rayner, Eric</t>
  </si>
  <si>
    <t>Exchanging Voices : A Collaborative Approach to Family Therapy</t>
  </si>
  <si>
    <t>Hoffman, Lynn</t>
  </si>
  <si>
    <t>Resource Focused Therapy</t>
  </si>
  <si>
    <t>Keeney, Bradford; Ray, Wendel A.</t>
  </si>
  <si>
    <t>Clinical Seminars and Other Works</t>
  </si>
  <si>
    <t>Gender and Family Therapy</t>
  </si>
  <si>
    <t>Stress Management for Teachers</t>
  </si>
  <si>
    <t>Hartney, Elizabeth</t>
  </si>
  <si>
    <t>Getting It Right for Children : Stories of Pediatric Care and Advocacy</t>
  </si>
  <si>
    <t>American Academy of Pediatrics</t>
  </si>
  <si>
    <t>Berman, Stephen; American Academy Of Pediatrics</t>
  </si>
  <si>
    <t>Solid State Characterization of Pharmaceuticals</t>
  </si>
  <si>
    <t>Storey, Richard A.; YmÃ©n, Ingvar; Ymén, Ingvar</t>
  </si>
  <si>
    <t>The Space Between : Experience, Context, and Process in the Therapeutic Relationship</t>
  </si>
  <si>
    <t>Flaskas, Carmel; Mason, Barry; Perlesz, Amaryll</t>
  </si>
  <si>
    <t>Hunger Strike : The Anorectic's Struggle As a Metaphor for Our Age</t>
  </si>
  <si>
    <t>Orbach, Susie</t>
  </si>
  <si>
    <t>The Impossibility of Sex : Stories of the Intimate Relationship Between Therapist and Client</t>
  </si>
  <si>
    <t>Infant Observation at the Heart of Training</t>
  </si>
  <si>
    <t>Sternberg, Janine</t>
  </si>
  <si>
    <t>Systems-Centered Therapy for Groups</t>
  </si>
  <si>
    <t>Child Analysis Today</t>
  </si>
  <si>
    <t>Rodriguez De La Sierra, Luis</t>
  </si>
  <si>
    <t>The Electrified Tightrope</t>
  </si>
  <si>
    <t>Eigen, Michael; Phillips, Adam</t>
  </si>
  <si>
    <t>The Psychotic Core</t>
  </si>
  <si>
    <t>Sent Before My Time : A Child Psychotherapist's View of Life on a Neonatal Intensive Care Unit</t>
  </si>
  <si>
    <t>Cohen, Margaret</t>
  </si>
  <si>
    <t>Dangerous Patients : A Psychodynamic Approach to Risk Assessment and Management</t>
  </si>
  <si>
    <t>Influential Papers from the 1950s</t>
  </si>
  <si>
    <t>Furman, Andrew C.; Levy, Steven T.</t>
  </si>
  <si>
    <t>Self in Relationships : Perspectives on Family Therapy from Developmental Psychology</t>
  </si>
  <si>
    <t>Johnsen, Astri; Sundet, Rolf; Torsteinsson, Vigdis Wie</t>
  </si>
  <si>
    <t>Supervisions with Donald Meltzer : The Simsbury Seminars</t>
  </si>
  <si>
    <t>Castella, Rosa; Farre, Lluis; Meltzer, Donald; Tabbia, Carlos</t>
  </si>
  <si>
    <t>Selected Contributions to Psycho-Analysis</t>
  </si>
  <si>
    <t>Rickman, John</t>
  </si>
  <si>
    <t>Dilemmas in the Consulting Room</t>
  </si>
  <si>
    <t>Alfille, Helen; Cooper, Judy; Cooper, Judy</t>
  </si>
  <si>
    <t>Introduction to the Work of Donald Meltzer</t>
  </si>
  <si>
    <t>Fano Cassese, Silvia</t>
  </si>
  <si>
    <t>Psychoanalytic Work with Children and Adults : Meltzer in Barcelona</t>
  </si>
  <si>
    <t>Meltzer, Donald; Farre, Luis</t>
  </si>
  <si>
    <t>Key Papers on Countertransference : IJP Education Section</t>
  </si>
  <si>
    <t>Abensour, Liliane; Eizirik, Claudio Laks; Michels, Robert; Rusbridger, Richard</t>
  </si>
  <si>
    <t>Therapeutic Care for Refugees : No Place Like Home</t>
  </si>
  <si>
    <t>Papadopoulos, Renos</t>
  </si>
  <si>
    <t>Logics of the Mind : A Clinical View</t>
  </si>
  <si>
    <t>Ahumada, Jorge L.</t>
  </si>
  <si>
    <t>Multiple Family Therapy : The Marlborough Model and Its Wider Applications</t>
  </si>
  <si>
    <t>Asen, Eia; Dawson, Neil; McHugh, Brenda</t>
  </si>
  <si>
    <t>Herbert Rosenfeld at Work : The Italian Seminars</t>
  </si>
  <si>
    <t>Rosenfeld, Herbert A.; De Masi, Franco</t>
  </si>
  <si>
    <t>Damaged Bonds</t>
  </si>
  <si>
    <t>Psychoanalysis and Psychotherapy : The Controversies and the Future</t>
  </si>
  <si>
    <t>Frisch, Serge; Gauthier, Jean-Marie; Hinshelwood, R.D.</t>
  </si>
  <si>
    <t>Brief Encounters with Couples : Analytic Perspectives</t>
  </si>
  <si>
    <t>Grier, Francis</t>
  </si>
  <si>
    <t>My Kleinian Home : Into a New Millennium</t>
  </si>
  <si>
    <t>Herman, Nini</t>
  </si>
  <si>
    <t>Weathering the Storms : Psychotherapy for Psychosis</t>
  </si>
  <si>
    <t>Jackson, Murray</t>
  </si>
  <si>
    <t>Forensic Psychotherapy and Psychopathology : Winnicottian Perspectives</t>
  </si>
  <si>
    <t>Winnicott, Donald Woods; Kahr, Brett</t>
  </si>
  <si>
    <t>Culture and System in Family Therapy</t>
  </si>
  <si>
    <t>Krause, Inga-Britt</t>
  </si>
  <si>
    <t>The Delusional Person : Bodily Feelings in Psychosis</t>
  </si>
  <si>
    <t>Resnik, Salomon</t>
  </si>
  <si>
    <t>Post-Kleinian Psychoanalysis : The Biella Seminars</t>
  </si>
  <si>
    <t>Sanders, Kenneth</t>
  </si>
  <si>
    <t>Life within Hidden Worlds : Psychotherapy in Prisons</t>
  </si>
  <si>
    <t>Saunders, Jessica Williams</t>
  </si>
  <si>
    <t>Drawing the Soul : Schemas and Models in Psychoanalysis</t>
  </si>
  <si>
    <t>Burgoyne, Bernard; Burgoyne, Bernard</t>
  </si>
  <si>
    <t>Exploring the Work of Donald Meltzer : A Festschrift</t>
  </si>
  <si>
    <t>Meltzer, Donald; Cohen, Margaret; Hahn, Alberto</t>
  </si>
  <si>
    <t>Systemic Couple Therapy and Depression</t>
  </si>
  <si>
    <t>Asen, Eia; Jones, Elsa</t>
  </si>
  <si>
    <t>Psychoanalytic Psychotherapy of the Severely Disturbed Adolescent</t>
  </si>
  <si>
    <t>Anastasopoulos, Dimitris; Lignos, Effie; Waddell, Margot</t>
  </si>
  <si>
    <t>Toxic Nourishment</t>
  </si>
  <si>
    <t>The Uninvited Guest : Emerging from Narcissism towards Marriage</t>
  </si>
  <si>
    <t>Fisher, James</t>
  </si>
  <si>
    <t>Psychoanalytic Psychotherapy in the Independent Tradition</t>
  </si>
  <si>
    <t>Johnson, Sue; Ruszczynski, Stanley; Ruszczynski, Stanley</t>
  </si>
  <si>
    <t>Psychoanalytic Psychotherapy in the Kleinian Tradition</t>
  </si>
  <si>
    <t>Johnson, Sue; Ruszczynski, Stanley</t>
  </si>
  <si>
    <t>Facing It Out : Clinical Perspectives on Adolescent Disturbance</t>
  </si>
  <si>
    <t>Anderson, Robin; Dartington, Anna</t>
  </si>
  <si>
    <t>Stranger in My Own Body : Atypical Gender Identity Development and Mental Health</t>
  </si>
  <si>
    <t>Di Ceglie, Domenico; Di Ceglie, Domenico</t>
  </si>
  <si>
    <t>But Facts Exist : An Enquiry into Psychoanalytic Theorizing</t>
  </si>
  <si>
    <t>Freeman, Thomas</t>
  </si>
  <si>
    <t>Bridging the Gap : A Training Module in Personal and Professional Development</t>
  </si>
  <si>
    <t>Hildebrand, Judy</t>
  </si>
  <si>
    <t>There Is No Such Thing As a Therapist : An Introduction to the Therapeutic Process</t>
  </si>
  <si>
    <t>Holmes, Carol; Dare, Christopher</t>
  </si>
  <si>
    <t>Psychoanalysis and Developmental Therapy</t>
  </si>
  <si>
    <t>Hurry, Anne; Hurry, Anne</t>
  </si>
  <si>
    <t>Ground Rules in Psychotherapy and Counselling</t>
  </si>
  <si>
    <t>Langs, Robert</t>
  </si>
  <si>
    <t>Unimaginable Storms : A Search for Meaning in Psychosis</t>
  </si>
  <si>
    <t>Jackson, Murray; Williams, Paul; Steiner, John</t>
  </si>
  <si>
    <t>Empowered Psychotherapy : Teaching Self-Processing</t>
  </si>
  <si>
    <t>Langs, Robert; Grotstein, James S.</t>
  </si>
  <si>
    <t>Sincerity and Other Works : Collected Papers of Donald Meltzer</t>
  </si>
  <si>
    <t>Meltzer, Donald; Hahn, Alberto</t>
  </si>
  <si>
    <t>Trauma-Organized Systems : Physical and Sexual Abuse in Families</t>
  </si>
  <si>
    <t>Bentovim, Arnon</t>
  </si>
  <si>
    <t>Psychodrama and Systemic Therapy</t>
  </si>
  <si>
    <t>Farmer, Chris</t>
  </si>
  <si>
    <t>Doubts and Certainties in the Practice of Psychotherapy</t>
  </si>
  <si>
    <t>Clinical Practice and the Architecture of the Mind</t>
  </si>
  <si>
    <t>Langs, Robert; Langs, Robert J.</t>
  </si>
  <si>
    <t>A Question of Time : Essentials of Brief Dynamic Psychotherapy</t>
  </si>
  <si>
    <t>Molnos, Angela; Brown, Dennis</t>
  </si>
  <si>
    <t>Systemic Therapy with Individuals</t>
  </si>
  <si>
    <t>Bertrando, Paolo; Boscolo, Luigi; Novick, Carolyn</t>
  </si>
  <si>
    <t>The Baby and the Bathwater</t>
  </si>
  <si>
    <t>Coltart, Nina; Bollas, Christopher</t>
  </si>
  <si>
    <t>Writing in Psychoanalysis</t>
  </si>
  <si>
    <t>Piccioli, Emma; Piccioli,; etc.,; Rossi, Pier Luigi; Semi, Antonio Alberto</t>
  </si>
  <si>
    <t>Schizophrenia : Its Origins and Need-Adapted Treatment</t>
  </si>
  <si>
    <t>O. Alanen, Yrjo; Fleck, Stephen; Fleck, Stephen; Leinonen, Sirkka-Liisa</t>
  </si>
  <si>
    <t>Taming Wild Thoughts</t>
  </si>
  <si>
    <t>Bion, Wilfred R.; Bion, F.</t>
  </si>
  <si>
    <t>Psychosocial Practice Within a Residential Setting</t>
  </si>
  <si>
    <t>Griffiths, Peter; Pringle, Pam</t>
  </si>
  <si>
    <t>Therapy or Coercion : Does Psychoanalysis Differ from Brainwashing?</t>
  </si>
  <si>
    <t>Hinshelwood, R.D.</t>
  </si>
  <si>
    <t>Death Anxiety and Clinical Practice</t>
  </si>
  <si>
    <t>Langs, Robert; Giovacchini, Peter L.</t>
  </si>
  <si>
    <t>Adolescent Breakdown and Beyond</t>
  </si>
  <si>
    <t>Laufer, Moses; Laufer, Moses</t>
  </si>
  <si>
    <t>Supervision and its Vicissitudes</t>
  </si>
  <si>
    <t>Martindale, Brian; Morner, Margareta; Rodriguez, Maria E. Cid; Vidit, Jean-Pierre; Wallerstein, Robert S.</t>
  </si>
  <si>
    <t>Recovered Memories of Abuse : True or False?</t>
  </si>
  <si>
    <t>Fonagy, Peter; Sandler, Joseph</t>
  </si>
  <si>
    <t>Tradition and Change in Psychoanalysis</t>
  </si>
  <si>
    <t>Schafer, Roy</t>
  </si>
  <si>
    <t>Psychoanalytic Psychotherapy in Institutional Settings</t>
  </si>
  <si>
    <t>Frisch, Serge; Hinshelwood, R.D.; Houzel, Didier; Pestalozzi, Julia</t>
  </si>
  <si>
    <t>Renal Cancer</t>
  </si>
  <si>
    <t>Stadler, Walter; Abraham, Jame</t>
  </si>
  <si>
    <t>Chen, Allen; Vijayakumar, Srinivasan</t>
  </si>
  <si>
    <t>The Endurance Paradox : Bone Health for the Endurance Athlete</t>
  </si>
  <si>
    <t>Whipple, Thomas J.; Eckhardt, Robert B.</t>
  </si>
  <si>
    <t>Pushing for Midwives : Homebirth Mothers and the Reproductive Rights Movement</t>
  </si>
  <si>
    <t>Craven, Christa</t>
  </si>
  <si>
    <t>What does Tropical Medicine stand for today?</t>
  </si>
  <si>
    <t>Grobusch, Martin Peter</t>
  </si>
  <si>
    <t>Skills Of Clinical Supervision For Nurses : A Practical Guide for Supervisees, Clinical Supervisors and Managers</t>
  </si>
  <si>
    <t>Bond, Meg; Holland, Stevie</t>
  </si>
  <si>
    <t>Nurses! Test Yourself In Anatomy &amp; Physiology</t>
  </si>
  <si>
    <t>Rogers, Katherine; Scott, William</t>
  </si>
  <si>
    <t>Nurses! Test Yourself In Essential Calculation Skills</t>
  </si>
  <si>
    <t>Mathematics; Pharmacy; Medicine</t>
  </si>
  <si>
    <t>Workplace Learning In Health And Social Care : A Student's Guide</t>
  </si>
  <si>
    <t>Jackson, Carolyn; Thurgate, Claire</t>
  </si>
  <si>
    <t>Human Resources for Health Crisis in Zambia : An Outcome of Health Worker Entry, Exit, and Performance within the National Health Labor Market</t>
  </si>
  <si>
    <t>Herbst, Christopher; Vledder, Monique; Campbell, Karen</t>
  </si>
  <si>
    <t>Capitalizing on the Demographic Transition : Tackling Noncommunicable Diseases in South Asia</t>
  </si>
  <si>
    <t>Engelgau, Michael Maurice; El-Saharty, Sameh; Kudesia, Preeti; Rajan, Vikram; Rosenhouse, Sandra; Kudesia, Preeti</t>
  </si>
  <si>
    <t>Global HIV Epidemics among Men Who Have Sex with Men (MSM) : Epidemiology, Prevention, Access to Care, and Human Rights</t>
  </si>
  <si>
    <t>World Bank Group; Beyrer, Chris; Wirtz, Andrea L</t>
  </si>
  <si>
    <t>Decade of Aid to the Health Sector in Somalia 2000-2009</t>
  </si>
  <si>
    <t>Capobianco, Emanuele; Naidu, Veni; Naidu, Veni</t>
  </si>
  <si>
    <t>Health Equity and Financial Protection : Streamlined Analysis with ADePT Software</t>
  </si>
  <si>
    <t>World Bank; Bilger, Marcel; Sajaia, Zurab</t>
  </si>
  <si>
    <t>How Governments Can Engage the Private Sector to Improve Health in Africa : Healthy Partnerships</t>
  </si>
  <si>
    <t>Inside Out and Outside In : Psychodynamic Clinical Theory and Psychopathology in Contemporary Multicultural Contexts</t>
  </si>
  <si>
    <t>Basham, Kathryn; Berzoff, Joan; Flanagan, Laura Melano; Heller, Nina R.; Hertz, Patricia; Mattei, Lourdes; Méndez, Teresa; Berzoff, Joan; Flanagan, Laura Melano; Hertz, Patricia</t>
  </si>
  <si>
    <t>Practical Approach to Electromyography : An Illustrated Guide for Clinicians</t>
  </si>
  <si>
    <t>Siao, Peter; Cros, Didier; Vucic, Steve</t>
  </si>
  <si>
    <t>Post-Existentialism and the Psychological Therapies : Towards a Therapy Without Foundations</t>
  </si>
  <si>
    <t>Loewenthal, Del</t>
  </si>
  <si>
    <t>Academic General Practice in the UK Medical Schools, 1948â â2000 : A Short History</t>
  </si>
  <si>
    <t>Howie, John; Whitfield, Michael</t>
  </si>
  <si>
    <t>Psychopharmacology and Child Psychiatry Review : With 1200 Board-Style Questions</t>
  </si>
  <si>
    <t>Thomas, Prakash; Poncin, Yann</t>
  </si>
  <si>
    <t>TPA for Stroke : The Story of a Controversial Drug</t>
  </si>
  <si>
    <t>Zivin, Justin A.; Simmons, John Galbraith</t>
  </si>
  <si>
    <t>Pathways to a Nursing Education Career : Educating the Next Generation of Nurses</t>
  </si>
  <si>
    <t>Halstead, Judith A.; Frank, Betsy; Judith a Halstead Phd, Rn; Betsy Frank Phd, Rn</t>
  </si>
  <si>
    <t>Clinical Wisdom and Interventions in Acute and Critical Care, Second Edition : A Thinking-in-Action Approach</t>
  </si>
  <si>
    <t>Hooper-Kyriakidis, Patricia, PhD, MSN; Stannard, Daphne, RN, PhD, CCRN; Patricia Hooper-Kyriakidis Phd, Msn; Benner, Patricia, RN, PhD, FAAN</t>
  </si>
  <si>
    <t>Jonas and Kovner's Health Care Delivery in the United States, Tenth Edition : 10th Edition</t>
  </si>
  <si>
    <t>Kovner, Anthony R., PhD; Knickman, James R., PhD; Weisfeld, Victoria D., MPH</t>
  </si>
  <si>
    <t>Sleep Disorders and Sleep Promotion In Nursing Practice</t>
  </si>
  <si>
    <t>Redeker, Nancy; McEnany, Geoffry Phillips; Dr Nancy Redeker Phd, Rn; Dr Geoffry Phillips McEnany Phd, Bc</t>
  </si>
  <si>
    <t>Ethics, Aging, and Society : The Critical Turn</t>
  </si>
  <si>
    <t>Holstein, Martha B.; Parks, Jennifer; Waymack, Mark</t>
  </si>
  <si>
    <t>Nursing, Caring, and Complexity Science : For Human-Environment Well Being</t>
  </si>
  <si>
    <t>Davidson, Alice; Ray, Marilyn; Turkel, Marian; Dr Marilyn Ray Rn, Phd; Dr Marilyn Ray Phd, Rn</t>
  </si>
  <si>
    <t>Creating a Caring Science Curriculum : An Emancipatory Pedagogy for Nursing</t>
  </si>
  <si>
    <t>Hills, Marcia; Watson, Jean; Jean Watson Phd, Rn; Marcia Hills Phd, Rn</t>
  </si>
  <si>
    <t>Gerontology Nursing Case Studies : 100 Narratives for Learning</t>
  </si>
  <si>
    <t>Bowles, Donna J.; Donna J Bowles Msn, Edd Rn</t>
  </si>
  <si>
    <t>Eating Behavior and Obesity : Behavioral Economics Strategies for Health Professionals</t>
  </si>
  <si>
    <t>Heshmat, Shahram; Heshmat, Dr Dr Shahram</t>
  </si>
  <si>
    <t>Fast Facts for the Faith Community Nurse : Implementing FCN/Parish Nursing in a Nutshell</t>
  </si>
  <si>
    <t>Hickman, Janet; Janet Hickman MS, Edd Rn</t>
  </si>
  <si>
    <t>Fast Facts for the Cardiac Surgery Nurse : Everything You Need to Know in a Nutshell</t>
  </si>
  <si>
    <t>Hodge, Tanya; Tanya Hodge MS, Rn</t>
  </si>
  <si>
    <t>Mentoring Health Science Professionals</t>
  </si>
  <si>
    <t>Sexual and Reproductive Health in China : Reorienting Concepts and Methodology</t>
  </si>
  <si>
    <t>Zhang, K.; Zhang, Kaining</t>
  </si>
  <si>
    <t>Electrostimulation : Theory, Applications, and Computational Model</t>
  </si>
  <si>
    <t>Reilly, J. Patrick; Diamant, Alan M.</t>
  </si>
  <si>
    <t>Methods in Bioengineering : Organ Preservation and Reengineering</t>
  </si>
  <si>
    <t>Uygun, Korkut; Lee, Charles Y.</t>
  </si>
  <si>
    <t>Medicine; Engineering; Engineering: Chemical</t>
  </si>
  <si>
    <t>Characterizing the HIV/AIDS Epidemic in the Middle East and North Africa : Time for Strategic Action</t>
  </si>
  <si>
    <t>Akala, Francisca Ayodeji; Abu-Raddad, Laith; Semini, Iris; Riedner, Gabrielle; Wilson, David; Tawil, Oussama</t>
  </si>
  <si>
    <t>New Insights into the Supply and Quality of Health Services in Indonesia : A Health Work Force Study</t>
  </si>
  <si>
    <t>Rokx, Claudia; Giles, John; Satriawan, Elan; Marzoeki, Puti; Harimurti, Pandu; Yavuz, Elif</t>
  </si>
  <si>
    <t>Color Atlas of Pediatric Pathology</t>
  </si>
  <si>
    <t>Husain, Aliya; Stocker, J. Thomas</t>
  </si>
  <si>
    <t>Bright Futures : Nutrition</t>
  </si>
  <si>
    <t>Holt, Katrina; Wooldridge, Nancy; Story, Dr Mary; Sofka, Denise</t>
  </si>
  <si>
    <t>Holt, Katrina</t>
  </si>
  <si>
    <t>American Academy of Pediatrics Quick Reference Guide to Pediatric Care</t>
  </si>
  <si>
    <t>Kamat, Deepak M.; Adam, Henry M.; Cain, Kathleen; Campbell, Deborah E.; Adam, Henry M; Cain, Kathleen; Campbell, Deborah E</t>
  </si>
  <si>
    <t>Cancer Causes and Controversies : Understanding Risk Reduction and Prevention</t>
  </si>
  <si>
    <t>Kwabi-Addo, Bernard; Lindstrom, Tia Laura</t>
  </si>
  <si>
    <t>The Search for the Legacy of the USPHS Syphilis Study at Tuskegee : Reflective Essays Based upon Findings from the Tuskegee Legacy Project</t>
  </si>
  <si>
    <t>Lexington Books</t>
  </si>
  <si>
    <t>Elders, M Joycelyn; Warren, Rueben C.; Pinn, Vivian W.; Jones, James H.; Reverby, Susan M.; Satcher, David; Northridge, Mary E.; Braithwaite, Ronald; Katz, Ralph V.; Warren, Rueben</t>
  </si>
  <si>
    <t>Women Psychotherapists : Journeys in Healing</t>
  </si>
  <si>
    <t>Comas-Diaz, Lillian; Weiner, Marcella Bakur; Bradshaw, Carla; Bryant-Davis, Thema; Comas-Díaz, Lillian; Crawford, Janice; Fauman, Beverly; Greene, Beverly; Levalds, Cinzia; Pitta, Patricia</t>
  </si>
  <si>
    <t>Core Clinical Cases for Medical Students : A problem based learning approach for succeeding at Medical School</t>
  </si>
  <si>
    <t>Andrews UK</t>
  </si>
  <si>
    <t>Chang, Joy</t>
  </si>
  <si>
    <t>A Clinical Application of Bion's Concepts : Analytic Function and the Function of the Analyst</t>
  </si>
  <si>
    <t>Sandler, P. C.</t>
  </si>
  <si>
    <t>Relational Transactional Analysis : Principles in Practice</t>
  </si>
  <si>
    <t>Fowlie, Heather; Sills, Charlotte</t>
  </si>
  <si>
    <t>International Perspectives on Children and Mental Health : Development and Context : Prevention and Treatment</t>
  </si>
  <si>
    <t>Fitzgerald, Hiram E.; Puura, Kaija; Paul, Campbell; Paul, Campbell; Tomlinson, Mark</t>
  </si>
  <si>
    <t>Under Pressure : Understanding and managing the pressure and stress of work</t>
  </si>
  <si>
    <t>Sartain, Denis; Katsarou, Maria</t>
  </si>
  <si>
    <t>Vulnerability in Developing Countries</t>
  </si>
  <si>
    <t>United Nations University Press</t>
  </si>
  <si>
    <t>Naudé, Wim A.; Santos-Paulino, Amelia U.; McGillivray, Mark</t>
  </si>
  <si>
    <t>Partnerships for Women's Health : Striving for Best Practice Within the UN Global Compact</t>
  </si>
  <si>
    <t>Timmermann, Martina; Kruesmann, Monika</t>
  </si>
  <si>
    <t>Ispine : Evidence-Based Interventional Spine Care</t>
  </si>
  <si>
    <t>DePalma, Michael</t>
  </si>
  <si>
    <t>After Prostate Cancer : A What-Comes-Next Guide to a Safe and Informed Recovery</t>
  </si>
  <si>
    <t>Melman, Arnold; Newnham, Rosemary</t>
  </si>
  <si>
    <t>Sleep Medicine : Essentials and Review</t>
  </si>
  <si>
    <t>Lee-Chiong, Teófilo, Jr.</t>
  </si>
  <si>
    <t>SARS : A Case Study in Emerging Infections</t>
  </si>
  <si>
    <t>McLean, Angela; May, Robert; Pattison, John; Weiss, Robin</t>
  </si>
  <si>
    <t>Social Justice : The Moral Foundations of Public Health and Health Policy</t>
  </si>
  <si>
    <t>Powers, Madison; Faden, Ruth R.</t>
  </si>
  <si>
    <t>Case Studies in Pharmacy Ethics</t>
  </si>
  <si>
    <t>Veatch, Robert; Haddad, Amy</t>
  </si>
  <si>
    <t>Philosophy; Pharmacy; Medicine</t>
  </si>
  <si>
    <t>Abnormal And Clinical Psychology : An Introductory Textbook</t>
  </si>
  <si>
    <t>Bennett, Paul</t>
  </si>
  <si>
    <t>Relationship Therapy : A Therapist's Tale</t>
  </si>
  <si>
    <t>Social Psychology And Health</t>
  </si>
  <si>
    <t>Stroebe, Wolfgang</t>
  </si>
  <si>
    <t>Psychology; Social Science; Medicine</t>
  </si>
  <si>
    <t>Marriage and Family Therapy : A Practice-Oriented Approach</t>
  </si>
  <si>
    <t>Metcalf, Linda; Metcalf, Linda; Linda Metcalf Phd, Lpc</t>
  </si>
  <si>
    <t>Inside National Health Reform</t>
  </si>
  <si>
    <t>Advances in Multi-Photon Processes and Spectroscopy</t>
  </si>
  <si>
    <t>Lin, S. H.; Fujimura, Yuichi; Villaeys, A. A.</t>
  </si>
  <si>
    <t>Emergencies in Neuro-Ophthalmology : A Case Based Approach</t>
  </si>
  <si>
    <t>Lee, Andrew G; Brazis, Paul W.; Mughal, Mansoor</t>
  </si>
  <si>
    <t>Handbook of Clinical Pediatrics : An Update for the Ambulatory Pediatrician</t>
  </si>
  <si>
    <t>Greydanus, Donald E; Patel, Dilip R.; Reddy, Vinay N.</t>
  </si>
  <si>
    <t>Practical Guide to Comprehensive Stroke Care : Meeting Population Needs</t>
  </si>
  <si>
    <t>Kalra, Lalit; Rudd, Anthony; Wolfe, Charles</t>
  </si>
  <si>
    <t>Myopia : Animal Models to Clinical Trials</t>
  </si>
  <si>
    <t>Beuerman, Roger W; Saw, Seang-Mei; Tan, Donald T. H.; Wong, Tien-Yin</t>
  </si>
  <si>
    <t>Urogynaecology and You : A Handbook for Women with Bladder Disorders, Womb and Vaginal Prolapse</t>
  </si>
  <si>
    <t>Tseng, Arthur L a; Charn, Lee Lih; Tseng, Arthur L. A.</t>
  </si>
  <si>
    <t>Craniofacial Biology and Craniofacial Surgery</t>
  </si>
  <si>
    <t>Sarnat, Bernard G.; Bradley, James P.</t>
  </si>
  <si>
    <t>Tissue Engineering for the Hand : Research Advances and Clinical Applications</t>
  </si>
  <si>
    <t>Chang, Dr. James; Gupta, Gaurav</t>
  </si>
  <si>
    <t>Innovations In Neonatal-Perinatal Medicine : Innovative Technologies and Therapies That Have Fundamentally Changed the Way We Deliver Care for the Fetus and the Neonate</t>
  </si>
  <si>
    <t>Oommen, Mathew; Jatinder, Bhatia</t>
  </si>
  <si>
    <t>Biologically-Responsive Hybrid Biomaterials : A Reference for Material Scientists and Bioengineers</t>
  </si>
  <si>
    <t>Jabbari, Esmaiel; Khademhosseini, Ali</t>
  </si>
  <si>
    <t>Properties of Perovskites and Other Oxides</t>
  </si>
  <si>
    <t>MÃ¼ller, K. Alex; Kool, Tom W.</t>
  </si>
  <si>
    <t>Science: Physics; Science: Chemistry; Science</t>
  </si>
  <si>
    <t>Present and Future Therapies for End-Stage Renal Disease</t>
  </si>
  <si>
    <t>Friedman, Eli A.; Mallappallil, Mary C.</t>
  </si>
  <si>
    <t>Bone Marrow Transplantation Across Major Genetic Barriers</t>
  </si>
  <si>
    <t>Reisner, Yair; Reisner, Yair; Parkman, Robertson</t>
  </si>
  <si>
    <t>Living Related Transplantation</t>
  </si>
  <si>
    <t>Hakim , Nadey; Canelo, Ruben; Papalois, Vassilios E.</t>
  </si>
  <si>
    <t>Recent Trends in Radiation Chemistry</t>
  </si>
  <si>
    <t>Wishart, James F; Rao, B. S. M.</t>
  </si>
  <si>
    <t>Quark-Gluon Plasma 4</t>
  </si>
  <si>
    <t>Hwa, Ruldoph C; Wang, Xin-Nian; Hwa, Rudolph C.</t>
  </si>
  <si>
    <t>A Guide to Human Gene Therapy</t>
  </si>
  <si>
    <t>Herzog, Roland W.; Zolotukhin, Sergei</t>
  </si>
  <si>
    <t>Handbook of Clinical Skills : A Practical Manual</t>
  </si>
  <si>
    <t>Athreya, Balu H</t>
  </si>
  <si>
    <t>Surface Properties and Engineering of Complex Intermetallics</t>
  </si>
  <si>
    <t>Ferr, Esther Belin</t>
  </si>
  <si>
    <t>Engineering; Engineering: Mining; Engineering: Chemical</t>
  </si>
  <si>
    <t>Diabetic Retinopathy</t>
  </si>
  <si>
    <t>Cunha-Vaz, Jose</t>
  </si>
  <si>
    <t>Energy, the Environment and Climate Change</t>
  </si>
  <si>
    <t>Hodgson, Peter E.</t>
  </si>
  <si>
    <t>Engineering; Engineering: Mechanical; Economics; Environmental Studies</t>
  </si>
  <si>
    <t>Biomedical Engineering Entrepreneurship</t>
  </si>
  <si>
    <t>Lee, Jen-Shih</t>
  </si>
  <si>
    <t>Healthy Aging</t>
  </si>
  <si>
    <t>Leung, Ping-Chung</t>
  </si>
  <si>
    <t>Advances in MRI of the Knee for Osteoarthritis</t>
  </si>
  <si>
    <t>Majumdar, Sharmila; Blumenfeld, Janet; Krug von Nidda, Roland</t>
  </si>
  <si>
    <t>Database Technology for Life Sciences and Medicine</t>
  </si>
  <si>
    <t>Bohm, Christian; Plant, Claudia</t>
  </si>
  <si>
    <t>Micrornas in Development and Cancer</t>
  </si>
  <si>
    <t>Slack, Frank J.; Slack, Frank J</t>
  </si>
  <si>
    <t>Cardiac Fibrillation-Defibrillation : Clinical and Engineering Aspects</t>
  </si>
  <si>
    <t>Valentinuzzi, Max E</t>
  </si>
  <si>
    <t>Clinical Leaders : Heroes or Heretics?</t>
  </si>
  <si>
    <t>Robertson, Elizabeth M</t>
  </si>
  <si>
    <t>Gone Viral : The germs that share our lives</t>
  </si>
  <si>
    <t>NewSouth</t>
  </si>
  <si>
    <t>Bowden, Frank</t>
  </si>
  <si>
    <t>Doctor–Patient Interaction</t>
  </si>
  <si>
    <t>Raffler-Engel, Walburga von</t>
  </si>
  <si>
    <t>Birth Models That Work</t>
  </si>
  <si>
    <t>Davis-Floyd, Robbie E.; Barclay, Lesley; Tritten, Jan; Daviss, Betty-Anne; Davis-Floyd, Robbie E.; Daviss, Betty-Anne</t>
  </si>
  <si>
    <t>De Medicina : De medicina</t>
  </si>
  <si>
    <t>Manetti, Daniela</t>
  </si>
  <si>
    <t>Multidisciplinary Management of Head and Neck Cancer</t>
  </si>
  <si>
    <t>Haddad, Robert</t>
  </si>
  <si>
    <t>Healers : Extraordinary Clinicians at Work</t>
  </si>
  <si>
    <t>Schenck, David; Churchill, Larry</t>
  </si>
  <si>
    <t>Integrative Oncology : Integrative Oncology</t>
  </si>
  <si>
    <t>Abrams, Donald; Weil, Andrew</t>
  </si>
  <si>
    <t>The Long Sexual Revolution : English Women, Sex, and Contraception, 1800-1975</t>
  </si>
  <si>
    <t>Cook, Hera</t>
  </si>
  <si>
    <t>Doubt Is Their Product : How Industry's Assault on Science Threatens Your Health</t>
  </si>
  <si>
    <t>Michaels, David</t>
  </si>
  <si>
    <t>Stem Cell and Tissue Engineering</t>
  </si>
  <si>
    <t>Li, Song; Elisseeff, Jennifer; L'Heureux, Nicolas</t>
  </si>
  <si>
    <t>Health Care Dilemma : A Comparison Health Care Systems in Three European Countries and the US</t>
  </si>
  <si>
    <t>Armstrong, Elizabeth G; Fischer, Martin R.; Parsa-Parsi, Ramin W.</t>
  </si>
  <si>
    <t>Bariatric Surgery</t>
  </si>
  <si>
    <t>Hakim, Nadey S.; Favretti, Franco; Segato, Gianni</t>
  </si>
  <si>
    <t>Problem Based Neurosurgery</t>
  </si>
  <si>
    <t>Eljamel, Sam</t>
  </si>
  <si>
    <t>Unbalanced : A View from the Vestibule - Schizophrenia and Hyperattention</t>
  </si>
  <si>
    <t>Locke, Simeon</t>
  </si>
  <si>
    <t>Handbook of Adolescent Medicine and Health Promotion</t>
  </si>
  <si>
    <t>Paperny, David M</t>
  </si>
  <si>
    <t>Depressive Rumination : Nature, Theory and Treatment</t>
  </si>
  <si>
    <t>Papageorgiou, Costas; Wells, Adrian</t>
  </si>
  <si>
    <t>Susceptibility Weighted Imaging in MRI : Basic Concepts and Clinical Applications</t>
  </si>
  <si>
    <t>Haacke, E. Mark; Reichenbach, Jürgen R.; Haacke, E Mark; Reichenbach, J?rgen R; Reichenbach, Jurgen R</t>
  </si>
  <si>
    <t>Statistical Methods in Diagnostic Medicine</t>
  </si>
  <si>
    <t>Zhou, Xiao-Hua; Obuchowski, Nancy A.; McClish, Donna K.</t>
  </si>
  <si>
    <t>Biostatistical Methods : The Assessment of Relative Risks</t>
  </si>
  <si>
    <t>Lachin, John M.</t>
  </si>
  <si>
    <t>Stress Response in Pathogenic Bacteria. 19</t>
  </si>
  <si>
    <t>Kidd, S.; Akerley, Brian J.; Caparon, Michael G.</t>
  </si>
  <si>
    <t>Making Health Care Whole : Integrating Spirituality into Patient Care</t>
  </si>
  <si>
    <t>Templeton Press</t>
  </si>
  <si>
    <t>Puchalski, Christina; Ferrell, Betty</t>
  </si>
  <si>
    <t>Advanced Topics in Forensic DNA Typing : Methodology</t>
  </si>
  <si>
    <t>When the War Never Ends : The Voices of Military Members with PTSD and Their Families</t>
  </si>
  <si>
    <t>Wizelman, Leah</t>
  </si>
  <si>
    <t>Childbirth in Republican China : Delivering Modernity</t>
  </si>
  <si>
    <t>Johnson, Tina</t>
  </si>
  <si>
    <t>Eating Mud Crabs in Kandahar : Stories of Food During Wartime by the World's Leading Correspondents</t>
  </si>
  <si>
    <t>McAllester, Matt</t>
  </si>
  <si>
    <t>Financing Health Care in East Asia and the Pacific : Best Practices and Remaining Challenges</t>
  </si>
  <si>
    <t>Langenbrunner, John C.; Somanathan, Aparnaa</t>
  </si>
  <si>
    <t>Private Health Sector Assessment in Mali : The Post-Bamako Initiative Reality</t>
  </si>
  <si>
    <t>The World Bank; Lamiaux, Mathieu; Rouzaud, Francois; Woods, Wendy</t>
  </si>
  <si>
    <t>Nursing Older Adults : Partnership Working</t>
  </si>
  <si>
    <t>Reed, Jan; Clarke, Charlotte; Macfarlane, Ann</t>
  </si>
  <si>
    <t>Nurses! Test Yourself In Pathophysiology</t>
  </si>
  <si>
    <t>Self-Care Science, Nursing Theory, and Evidence-Based Practice</t>
  </si>
  <si>
    <t>Taylor, Susan; Renpenning, Katherine; Mscn, Katherine Renpenning; Susan Taylor Msn, Phd</t>
  </si>
  <si>
    <t>Public Health Law : Power, Duty, Restraint</t>
  </si>
  <si>
    <t>Distributing Health Care : Principles, Practices and Politics</t>
  </si>
  <si>
    <t>Maclean, Niall</t>
  </si>
  <si>
    <t>Fast Facts : Psoriasis</t>
  </si>
  <si>
    <t>HEALTH PRESS LIMITED</t>
  </si>
  <si>
    <t>Menter, Alan; Smith, Catherine; Barker, Jonathan</t>
  </si>
  <si>
    <t>Fast Facts: Soft Tissue Disorders</t>
  </si>
  <si>
    <t>Speed, Cathy; Hazleman, Brian; Dalton, Seamus</t>
  </si>
  <si>
    <t>Fast Facts: Parkinson's Disease</t>
  </si>
  <si>
    <t>Chaudhuri, K Ray; Clough, Christopher G; Sethi, Kapil D</t>
  </si>
  <si>
    <t>Fast Facts : Lymphoma</t>
  </si>
  <si>
    <t>Hatton, Chris; Collins, Graham; Sweetenham, John</t>
  </si>
  <si>
    <t>Fast Facts: Sexually Transmitted Infections</t>
  </si>
  <si>
    <t>Edwards, Anne; Sherrard, Jackie; Zenilman, Jonathan</t>
  </si>
  <si>
    <t>Fast Facts: Dementia</t>
  </si>
  <si>
    <t>Whalley, Lawrence J; Breitner, John CS</t>
  </si>
  <si>
    <t>Fast Facts : Low Back Pain</t>
  </si>
  <si>
    <t>Swezey, Robert L; Calin, Andei</t>
  </si>
  <si>
    <t>Fast Facts: Rhinitis</t>
  </si>
  <si>
    <t>Scadding, Glenis K; Fokkens, Wytske J</t>
  </si>
  <si>
    <t>Fast Facts: Chronic and Cancer Pain</t>
  </si>
  <si>
    <t>Cousins, Michael J; Gallagher, Rollin M</t>
  </si>
  <si>
    <t>Fast Facts : Schizophrenia</t>
  </si>
  <si>
    <t>Buchanan, Robert W; Lewish, Shôn W</t>
  </si>
  <si>
    <t>Fast Facts: Erectile Dysfunction</t>
  </si>
  <si>
    <t>Carson, Cully; McMahon, Chris; Holmes, Simon; Kirby, Roger S.</t>
  </si>
  <si>
    <t>Fast Facts : Liver Disorders</t>
  </si>
  <si>
    <t>Mahl, Thomas; O'Grady, John</t>
  </si>
  <si>
    <t>Fast Facts: Bipolar Disorder</t>
  </si>
  <si>
    <t>Goodwin, Guy; Sachs, Gary</t>
  </si>
  <si>
    <t>Fast Facts : Inflammatory Bowel Disease</t>
  </si>
  <si>
    <t>Rampton, David S; Shanahan, Fergus</t>
  </si>
  <si>
    <t>Fast Facts : Ophthalmology</t>
  </si>
  <si>
    <t>Pane, Anthony; Simcock, Peter</t>
  </si>
  <si>
    <t>Fast Facts: Minor Surgery</t>
  </si>
  <si>
    <t>Price, Christopher J; Sinclair, Rodney</t>
  </si>
  <si>
    <t>Fast Facts : Multiple Sclerosis</t>
  </si>
  <si>
    <t>Perkin, George D; Wolinsky, Jerry S</t>
  </si>
  <si>
    <t>Evidence, Policy and Practice : Critical Perspectives in Health and Social Care</t>
  </si>
  <si>
    <t>Glasby, Jon</t>
  </si>
  <si>
    <t>Improving Medical Outcomes : The Psychology of Doctor-Patient Visits</t>
  </si>
  <si>
    <t>Leavitt, Jessica; Leavitt, Fred</t>
  </si>
  <si>
    <t>Pain and Chemical Dependency</t>
  </si>
  <si>
    <t>Smith, Howard S.; Passik, Steven D.</t>
  </si>
  <si>
    <t>Observing Bioethics</t>
  </si>
  <si>
    <t>Fox, Renee C.; Swazey, Judith P.</t>
  </si>
  <si>
    <t>The Clinical Application of the Theory of Psychoanalysis</t>
  </si>
  <si>
    <t>Fayek, Ahmed</t>
  </si>
  <si>
    <t>The Life and Death of Psychoanalysis</t>
  </si>
  <si>
    <t>Webster, Jamieson</t>
  </si>
  <si>
    <t>The Uninvited Guest from the Unremembered Past : An Exploration of the Unconscious Transmission of Trauma Across the Generations</t>
  </si>
  <si>
    <t>Coles, Prophecy</t>
  </si>
  <si>
    <t>Fast Facts: Depression</t>
  </si>
  <si>
    <t>Haddad, Mark; Gunn, Jane</t>
  </si>
  <si>
    <t>Fast Facts: Bladder Disorders</t>
  </si>
  <si>
    <t>Slack, Alex; Newman, Diane K; Wein, Alan J</t>
  </si>
  <si>
    <t>IPCS Mode of Action Framework : IPCS Harmonization Project Document No. 4</t>
  </si>
  <si>
    <t>World Health Organization; International Program on Chemical Safety; UNAIDS</t>
  </si>
  <si>
    <t>Poverty and Health : DAC Guidelines and Reference Series</t>
  </si>
  <si>
    <t>Organization for Economic Co-operation and Development</t>
  </si>
  <si>
    <t>Home-Based Long-Term Care : Report of a WHO Study Group</t>
  </si>
  <si>
    <t>WHO Expert Committee on Malaria : Twentieth Report</t>
  </si>
  <si>
    <t>Human Leptospirosis : Guidance for Diagnosis Surveillance and Control</t>
  </si>
  <si>
    <t>Sjogren's Book</t>
  </si>
  <si>
    <t>Wallace, Daniel J.</t>
  </si>
  <si>
    <t>Your Genes, Your Health : A Critical Family Guide That Could Save Your Life</t>
  </si>
  <si>
    <t>Milunsky, Aubrey</t>
  </si>
  <si>
    <t>Applied Clinical Neuropsychology : An Introduction</t>
  </si>
  <si>
    <t>Holtz, Jan Leslie</t>
  </si>
  <si>
    <t>Chemical Safety of Drinking-water : Assessing Priorities for Risk Management</t>
  </si>
  <si>
    <t>World Health Organization; Thompson, Terrence P.</t>
  </si>
  <si>
    <t>Sechzig Jahre WHO in Europa</t>
  </si>
  <si>
    <t>Chicago Review Press NCLEX-RN Practice Test and Review</t>
  </si>
  <si>
    <t>Creating New Families : Therapeutic Approaches to Fostering, Adoption and Kinship Care</t>
  </si>
  <si>
    <t>Kenrick, Jenny; Lindsey, Caroline; Tollemache, Lorraine</t>
  </si>
  <si>
    <t>Hidden Treasure : A Map to the Child's Inner Self</t>
  </si>
  <si>
    <t>Oaklander, Violet</t>
  </si>
  <si>
    <t>Reflecting on Reality : Psychotherapists at Work in Primary Care</t>
  </si>
  <si>
    <t>Blake, Sue; Daws, Dilys; Launer, John</t>
  </si>
  <si>
    <t>Exploring Feeding Difficulties in Children : The Generosity of Acceptance</t>
  </si>
  <si>
    <t>Desmarais, Jane; Desmarais, Jane; Ravenscroft, Kent; Williams, Gianna; Williams, Paul</t>
  </si>
  <si>
    <t>Lives Across Time/Growing Up : Paths to Emotional Health &amp; emotional Illness from Birth to 30 in 76 People</t>
  </si>
  <si>
    <t>Massie, Henry H.; Szajnberg, Nathan M.; Szajnberg, Nathan M.</t>
  </si>
  <si>
    <t>The Half-Alive Ones : Clinical Papers on Analytical Psychology in a Changing World</t>
  </si>
  <si>
    <t>Seligman, Eva</t>
  </si>
  <si>
    <t>Lives Elsewhere : Migration and Psychic Malaise</t>
  </si>
  <si>
    <t>Losi, Natale; Shapiro, Brett</t>
  </si>
  <si>
    <t>The Therapist at Work : Personal Factors Affecting the Analytic Process</t>
  </si>
  <si>
    <t>Anastasopoulos, Dimitris; Papanicolaou, Evagelos</t>
  </si>
  <si>
    <t>The Impossibility of Knowing : Dilemmas of a Psychotherapist</t>
  </si>
  <si>
    <t>Gerrard, Jackie</t>
  </si>
  <si>
    <t>The Internal and External Worlds of Children and Adolescents : Collaborative Therapeutic Care</t>
  </si>
  <si>
    <t>Day, Lesley; Flynn, Denis; Day, Lesley; Flynn, Denis</t>
  </si>
  <si>
    <t>Freud's Technique Papers : A Contemporary Perspective</t>
  </si>
  <si>
    <t>Ellman, Steven J.</t>
  </si>
  <si>
    <t>Dialogical Meetings in Social Networks</t>
  </si>
  <si>
    <t>Arnkil, Tom Erik; Seikkula, Jaakko</t>
  </si>
  <si>
    <t>How Does Psychotherapy Work?</t>
  </si>
  <si>
    <t>Ryan, Jane</t>
  </si>
  <si>
    <t>A Handbook of Short-Term Psychodynamic Psychotherapy</t>
  </si>
  <si>
    <t>Rawson, Penny</t>
  </si>
  <si>
    <t>Violent Adolescents : Understanding the Destructive Impulse</t>
  </si>
  <si>
    <t>Greenwood, Lynn</t>
  </si>
  <si>
    <t>Exploring Eating Disorders in Adolescents : The Generosity of Acceptance</t>
  </si>
  <si>
    <t>The Seven Deadly Sins? : Issues in Clinical Practice and Supervision for Humanistic and Integrative Practitioners</t>
  </si>
  <si>
    <t>Kearns, Anne</t>
  </si>
  <si>
    <t>The Unborn Child : Beginning a Whole Life and Overcoming Problems of Early Origin</t>
  </si>
  <si>
    <t>House, Simon; Ridgway, Roy</t>
  </si>
  <si>
    <t>The Italian Seminars</t>
  </si>
  <si>
    <t>Invisible Boundaries : Psychosis and Autism in Children and Adolescents</t>
  </si>
  <si>
    <t>Houzel, Didier; Rhode, Maria</t>
  </si>
  <si>
    <t>Setting up and Maintaining an Effective Private Practice : A Practical Workbook for Mental Health Practitioners</t>
  </si>
  <si>
    <t>Weitz, Philippa</t>
  </si>
  <si>
    <t>From Chaos to Coherence : Psychotherapy with a Little Boy with ADHD</t>
  </si>
  <si>
    <t>Cleve, Elisabeth</t>
  </si>
  <si>
    <t>The Many Faces of Asperger's Syndrome</t>
  </si>
  <si>
    <t>Klauber, Trudy; Rhode, Maria</t>
  </si>
  <si>
    <t>Psychic Hooks and Bolts : Psychoanalytic Work with Children Under Five and their Families</t>
  </si>
  <si>
    <t>Pozzi Monzo, Maria</t>
  </si>
  <si>
    <t>Attention and Interpretation</t>
  </si>
  <si>
    <t>The Sadomasochistic Perversion : The Entity and the Theories</t>
  </si>
  <si>
    <t>De Masi, Franco</t>
  </si>
  <si>
    <t>Reflexive Inquiry : A Framework for Consultancy Practice</t>
  </si>
  <si>
    <t>Oliver, Christine</t>
  </si>
  <si>
    <t>Born Too Early : Hidden Handicaps of Premature Children</t>
  </si>
  <si>
    <t>Jepsen, Jonna; Martin, Helen</t>
  </si>
  <si>
    <t>The Soul, the Mind, and the Psychoanalyst</t>
  </si>
  <si>
    <t>Infant-Parent Psychotherapy : A Handbook</t>
  </si>
  <si>
    <t>Research on Psychoanalytic Psychotherapy with Adults</t>
  </si>
  <si>
    <t>Kachele, Horst; Renlund, Camilla; Richardson, Phil</t>
  </si>
  <si>
    <t>Reflecting Psychoanalysis : Narrative and Resolve in the Psychoanalytic Experience</t>
  </si>
  <si>
    <t>Reeder, Jurgen</t>
  </si>
  <si>
    <t>The Subject of Addiction : Psychoanalysis and The Administration of Enjoyment</t>
  </si>
  <si>
    <t>Loose, Rik</t>
  </si>
  <si>
    <t>Perversion : The Erotic Form of Hatred</t>
  </si>
  <si>
    <t>Stoller, Robert J.</t>
  </si>
  <si>
    <t>Clinical Papers and Essays on Psychoanalysis</t>
  </si>
  <si>
    <t>Abraham, Karl; Abraham, H.C.; Ellison, D.R.</t>
  </si>
  <si>
    <t>Anxiety at 35,000 Feet : An Introduction to Clinical Aerospace Psychology</t>
  </si>
  <si>
    <t>Bor, Robert; Kahr, Brett</t>
  </si>
  <si>
    <t>New Directions in Psychoanalysis : The Significance of Infant Conflict in the Pattern of Adult Behaviour</t>
  </si>
  <si>
    <t>Heimann, Paula; Klein, Melanie; Money-Kyrle, Roger</t>
  </si>
  <si>
    <t>EMDR and the Energy Therapies : Psychoanalytic Perspectives</t>
  </si>
  <si>
    <t>The Prenatal Theme in Psychotherapy</t>
  </si>
  <si>
    <t>Ploye, Philippe</t>
  </si>
  <si>
    <t>Time Present and Time Past : Selected Papers of Pearl King</t>
  </si>
  <si>
    <t>King, Pearl</t>
  </si>
  <si>
    <t>The Making of a Psychotherapist</t>
  </si>
  <si>
    <t>Symington, Neville; Obholzer, Anton</t>
  </si>
  <si>
    <t>What is Psychotherapeutic Research?</t>
  </si>
  <si>
    <t>Loewenthal, Del; Winter, David</t>
  </si>
  <si>
    <t>Donald Winnicott and John Bowlby : Personal and Professional Perspectives</t>
  </si>
  <si>
    <t>Hauptmann, Bruce; Reeves, Christopher; Issroff, Judith</t>
  </si>
  <si>
    <t>The Pathology of Democracy : A Letter to Bernard Accoyer and to Enlightened Opinion - JLS Supplement (Ex-tensions)</t>
  </si>
  <si>
    <t>Burgoyne, Bernard; Grigg, Russell; Miller, Jacques-Alain</t>
  </si>
  <si>
    <t>Prison of Food : Research and Treatment of Eating Disorders</t>
  </si>
  <si>
    <t>Milanese, Roberta; Nardone, Giorgio; Verbitz, Tiziana</t>
  </si>
  <si>
    <t>Studies in Extended Metapsychology : Clinical Applications of Bion's Ideas</t>
  </si>
  <si>
    <t>Meltzer, Donald</t>
  </si>
  <si>
    <t>Phobia : A Reassessment</t>
  </si>
  <si>
    <t>Morgan, Sian</t>
  </si>
  <si>
    <t>Influential Papers from the 1920s</t>
  </si>
  <si>
    <t>Touch : Attachment and the Body</t>
  </si>
  <si>
    <t>The Dictionary of the Work of W. R. Bion</t>
  </si>
  <si>
    <t>E. Lopez-Corvo, Rafael</t>
  </si>
  <si>
    <t>Psychoanalysis and Art : Kleinian Perspectives</t>
  </si>
  <si>
    <t>Meltzer, Donald; Gosso, Sandra</t>
  </si>
  <si>
    <t>Psychological Therapies in Primary Care : Setting up a Managed Service</t>
  </si>
  <si>
    <t>Foster, Joan; Murphy, Antonia</t>
  </si>
  <si>
    <t>Medicine; Political Science</t>
  </si>
  <si>
    <t>Off the Couch</t>
  </si>
  <si>
    <t>Marchevsky, Noe</t>
  </si>
  <si>
    <t>Fine Arts; Medicine</t>
  </si>
  <si>
    <t>The Mind of the Paedophile : Psychoanalytic Perspectives</t>
  </si>
  <si>
    <t>R. Loeb, Loretta; Socarides, Charles W.</t>
  </si>
  <si>
    <t>The Legacy of Winnicott : Essays on Infant and Child Mental Health</t>
  </si>
  <si>
    <t>Kahr, Brett</t>
  </si>
  <si>
    <t>The Who You Dream Yourself : Playing and Interpretation in Psychotherapy and Theatre</t>
  </si>
  <si>
    <t>Richards, Val</t>
  </si>
  <si>
    <t>Revolutionary Connections : Psychotherapy and Neuroscience</t>
  </si>
  <si>
    <t>Corrigall, Jenny; Wilkinson, Heward</t>
  </si>
  <si>
    <t>Longing : Psychoanalytic Musings on Desire</t>
  </si>
  <si>
    <t>Group Analytic Psychotherapy : Method and Principles</t>
  </si>
  <si>
    <t>Words That Touch : A Psychoanalyst Learns to Speak</t>
  </si>
  <si>
    <t>Quinodoz, Danielle</t>
  </si>
  <si>
    <t>Wild Thoughts Searching for a Thinker : A Clinical Application of W. R. Bion's Theories</t>
  </si>
  <si>
    <t>Anna Freud, Melanie Klein, and the Psychoanalysis of Children and Adolescents</t>
  </si>
  <si>
    <t>Holder, Alex</t>
  </si>
  <si>
    <t>A Healing Conversation : How Healing Happens</t>
  </si>
  <si>
    <t>Organization in the Mind : Psychoanalysis, Group Relations and Organizational Consultancy</t>
  </si>
  <si>
    <t>Armstrong, David; French, Robert; French, Robert</t>
  </si>
  <si>
    <t>Who Owns Psychoanalysis?</t>
  </si>
  <si>
    <t>Casement, Ann</t>
  </si>
  <si>
    <t>Power of Understanding : Essays in Honour of Veikko Tahka</t>
  </si>
  <si>
    <t>Tahka, Veikko; Laine, Aira</t>
  </si>
  <si>
    <t>Ending Analysis : Theory and Technique</t>
  </si>
  <si>
    <t>De Simone, Gilda; Chasseguet-Smirgel, Janine; Baggott, Judy</t>
  </si>
  <si>
    <t>Working Systemically with Families : Formulation, Intervention and Evaluation</t>
  </si>
  <si>
    <t>The Function of Assessment Within Psychological Therapies : A Psychodynamic View</t>
  </si>
  <si>
    <t>Caparrotta, Luigi; Ghaffari, Kamran</t>
  </si>
  <si>
    <t>Play and Reflection in Donald Winnicott's Writings</t>
  </si>
  <si>
    <t>Arctic Spring : Potential for Growth in Adults with Psychosis and Autism</t>
  </si>
  <si>
    <t>Tremelloni, Laura</t>
  </si>
  <si>
    <t>The Kleinian Development</t>
  </si>
  <si>
    <t>Elusive Elements in Practice</t>
  </si>
  <si>
    <t>Clinical Effectiveness in Psychotherapy and Mental Health : Strategies and Resources for the Effective Clinical Governance</t>
  </si>
  <si>
    <t>Leroux, Penny; McPherson, Susan; Richardson, Phil</t>
  </si>
  <si>
    <t>Ten Lectures on Psychotherapy and Spirituality</t>
  </si>
  <si>
    <t>Field, Nathan; Harvey, Trudy; Sharp, Belinda</t>
  </si>
  <si>
    <t>Short-Term Psychodynamic Psychotherapy : An Analysis of the Key Principles</t>
  </si>
  <si>
    <t>Explorations in Autism : A Psychoanalytic Study</t>
  </si>
  <si>
    <t>Bremner, John; Hoxter, Shirley; Meltzer, Donald; Weddell, Doreen; Wittenberg, Isca</t>
  </si>
  <si>
    <t>The Challenge of Attachment for Caregiving</t>
  </si>
  <si>
    <t>Heard, Dorothy; Lake, Brian</t>
  </si>
  <si>
    <t>Putting Theory to Work : How are Theories Actually Used in Practice?</t>
  </si>
  <si>
    <t>Canestri, Jorge</t>
  </si>
  <si>
    <t>Assessment in Child Psychotherapy</t>
  </si>
  <si>
    <t>Quagliata, Emanuela; Rustin, Margaret</t>
  </si>
  <si>
    <t>The Claustrum : An Investigation of Claustrophobic Phenomena</t>
  </si>
  <si>
    <t>Changing Ideas in a Changing World : The Revolution in Psychoanalysis - Essays in Honour of Arnold Cooper</t>
  </si>
  <si>
    <t>Fonagy, Peter; Michels, Robert; Sandler, Joseph</t>
  </si>
  <si>
    <t>Functional Dialectic System Approach to Therapy for Individuals, Couples, and Families</t>
  </si>
  <si>
    <t>Almagor, Moshe</t>
  </si>
  <si>
    <t>Talk As Therapy : Psychotherapy in a Linguistic Perspective</t>
  </si>
  <si>
    <t>Pawelczyk, Joanna</t>
  </si>
  <si>
    <t>Deleuze and Guattari's Anti-Oedipus : A Reader's Guide</t>
  </si>
  <si>
    <t>Buchanan, Ian</t>
  </si>
  <si>
    <t>Spirituality and Art Therapy : Living the Connection</t>
  </si>
  <si>
    <t>Busch, Cam; Franklin, Michael; Lovell, Suzanne; Marek, Bernie; Moon, Catherine; Rugh, Madeline M.; Sagar, Carol; Timm-Bottos, Janis; Zaphir-Chasman, Edit; Farrelly-Hansen, Mimi</t>
  </si>
  <si>
    <t>Spiritual Dimensions of Nursing Practice</t>
  </si>
  <si>
    <t>Carson, Verna Benner; Koenig, Harold G.</t>
  </si>
  <si>
    <t>Parish Nursing : Stories of Service and Care</t>
  </si>
  <si>
    <t>Lipid Nanocarriers in Cancer Diagnosis and Therapy</t>
  </si>
  <si>
    <t>Patravale, Vandana B; Ramesh, Rajagopal RR; Souto, Eliana</t>
  </si>
  <si>
    <t>Medicine; Engineering; Science: Anatomy/Physiology; Science; Engineering: Chemical</t>
  </si>
  <si>
    <t>Measuring Caring : International Research on Caritas as Healing</t>
  </si>
  <si>
    <t>Nelson, John; Watson, Jean; Jean Watson Phd, Rn; John Nelson Rn, MS; Nelson, John</t>
  </si>
  <si>
    <t>Two Centuries of Solidarity : German, Belgian and Dutch Social Health Insurance, 1770-2008</t>
  </si>
  <si>
    <t>Companje, K. P.; Hendriks, R. H. M.; Veraghtert, K. F. E.; Widdershoven, B. E. M.</t>
  </si>
  <si>
    <t>Geography/Travel</t>
  </si>
  <si>
    <t>Home nursing in Europe : Patterns of professionalisation and institutionalisation of home care and family care to elderly people in Denmark, France, the Netherlands and Germany</t>
  </si>
  <si>
    <t>van der Boom, Hannerieke</t>
  </si>
  <si>
    <t>Mobilities and Health</t>
  </si>
  <si>
    <t>Gatrell, Anthony C.; Elliott, Professor Susan J; Williams, Dr Allison</t>
  </si>
  <si>
    <t>Ethical Dilemmas in Assisted Reproductive Technologies</t>
  </si>
  <si>
    <t>Schenker, Joseph G.</t>
  </si>
  <si>
    <t>Student Nurse Guide To Decision Making In Practice</t>
  </si>
  <si>
    <t>Aston, Liz; Wakefield, Jill; McGown, Rachel</t>
  </si>
  <si>
    <t>Nurse Mentor And Reviewer Update Book</t>
  </si>
  <si>
    <t>Murray, Cyril; Rosen, Lyn; Staniland, Karen</t>
  </si>
  <si>
    <t>Interpreting Statistical Findings : A Guide For Health Professionals And Students</t>
  </si>
  <si>
    <t>Walker, Jan; Almond, Palo</t>
  </si>
  <si>
    <t>Health; Social Science; Mathematics</t>
  </si>
  <si>
    <t>Critically Engaging CBT</t>
  </si>
  <si>
    <t>Loewenthal, Del; House, Richard</t>
  </si>
  <si>
    <t>Implementing Excellence In Your Health Care Organization : Managing, Leading And Collaborating</t>
  </si>
  <si>
    <t>Doing A Literature Review In Health And Social Care : A Practical Guide</t>
  </si>
  <si>
    <t>Aveyard, Helen</t>
  </si>
  <si>
    <t>Engaging Patients In Healthcare</t>
  </si>
  <si>
    <t>Coulter, Angela</t>
  </si>
  <si>
    <t>Physical Health and Well-Being in Mental Health Nursing : Clinical Skills for Practice</t>
  </si>
  <si>
    <t>Nash, Michael</t>
  </si>
  <si>
    <t>Clinical Judgement And Decision-Making : Nursing and Interprofessional Healthcare</t>
  </si>
  <si>
    <t>Standing, Mooi</t>
  </si>
  <si>
    <t>Reflective Practice For Healthcare Professionals : A Practical Guide</t>
  </si>
  <si>
    <t>Taylor, Beverley</t>
  </si>
  <si>
    <t>Lyme Disease : An Evidence-based Approach</t>
  </si>
  <si>
    <t>Halperin, J. J.</t>
  </si>
  <si>
    <t>The Chinese Medical Ministries of Kang Cheng and Shi Meiyu, 1872–1937 : On a Cross-Cultural Frontier of Gender, Race, and Nation</t>
  </si>
  <si>
    <t>Lehigh University Press</t>
  </si>
  <si>
    <t>Shemo, Connie A.</t>
  </si>
  <si>
    <t>Childhood Depression : A Place for Psychotherapy</t>
  </si>
  <si>
    <t>Miles, Gillian; Trowell, Judith</t>
  </si>
  <si>
    <t>Psyche and Brain : The Biology of Talking Cures</t>
  </si>
  <si>
    <t>Levin, Fred M.</t>
  </si>
  <si>
    <t>Lean Management in Hospitals: Principles and Key Factors for Successful Implementation</t>
  </si>
  <si>
    <t>Lindenau-Stockfisch, Verena</t>
  </si>
  <si>
    <t>A Socio-Cultural Perspective on Patient Safety</t>
  </si>
  <si>
    <t>Waring, Justin; Rowley, Emma; Rowley, Emma</t>
  </si>
  <si>
    <t>Rethinking Aging : Growing Old and Living Well in an Overtreated Society</t>
  </si>
  <si>
    <t>Transcultural Nursing Theory and Models : Application in Nursing Education, Practice, and Administration</t>
  </si>
  <si>
    <t>Sagar, Priscilla; Priscilla Sagar Edd, Rn</t>
  </si>
  <si>
    <t>Sibling Aggression : Assessment and Treatment</t>
  </si>
  <si>
    <t>Caspi, Jonathan; Caspi, Dr Jonathan</t>
  </si>
  <si>
    <t>Guidelines for Nurse Practitioners in Gynecologic Settings, Tenth Edition : 10th edition</t>
  </si>
  <si>
    <t>Hawkins, Joellen W., RN, PhD, WHNP-BC, FAAN, FAANP; Roberto-Nichols, Diane M., BS, APRN-C; Stanley-Haney, J. Lynn, MA, APRN-C; Diane M Roberto-Nichols Bs, Aprn-C</t>
  </si>
  <si>
    <t>Assessing Mindfulness and Acceptance Processes in Clients : Illuminating the Theory and Practice of Change</t>
  </si>
  <si>
    <t>Context Press</t>
  </si>
  <si>
    <t>Baer, Ruth</t>
  </si>
  <si>
    <t>The ABCs of Human Behavior : Behavioral Principles for the Practicing Clinician</t>
  </si>
  <si>
    <t>Ramnero, Jonas; Torneke, Niklas</t>
  </si>
  <si>
    <t>ACT Made Simple : An Easy-to-Read Primer on Acceptance and Commitment Therapy</t>
  </si>
  <si>
    <t>New Harbinger Publications</t>
  </si>
  <si>
    <t>Harris, Russ; Hayes, Steven C.</t>
  </si>
  <si>
    <t>Cognitive Behavioral Workbook for Depression : A Step-by-step Guide to Overcoming Depression</t>
  </si>
  <si>
    <t>Knaus, William J.; Ellis, Albert</t>
  </si>
  <si>
    <t>The Dialectical Behavior Therapy Skills Workbook : Practical DBT Exercises for Learning Mindfulness, Interpersonal Effectiveness, Emotion Regulation, and Distress Tolerance</t>
  </si>
  <si>
    <t>McKAY, Matthew; Brantley, Jeffrey; Wood, Jeffrey C.</t>
  </si>
  <si>
    <t>Get Out of Your Mind and into Your Life : The New Acceptance and Commitment Therapy</t>
  </si>
  <si>
    <t>Hayes, Steven C.; Smith, Spencer</t>
  </si>
  <si>
    <t>A History of the Behavioral Therapies : Founders' Personal Histories</t>
  </si>
  <si>
    <t>O'Donohue, William T.; Henderson, Deborah; Hayes, Steven; Fisher, Jane; Hayes, Linda; Hayes, Steven C.</t>
  </si>
  <si>
    <t>Integrative Psychiatry</t>
  </si>
  <si>
    <t>Monti, Daniel A.; Beitman, Bernard D.; Bell, Iris</t>
  </si>
  <si>
    <t>Translation of Evidence into Nursing and Health Care Practice : Application to Nursing and Health Care</t>
  </si>
  <si>
    <t>White, Kathleen M.; Dudley-Brown, Sharon; White, Phd; Kathleen M White Phd, Rn; Sharon Dudley-Brown Phd, Rn</t>
  </si>
  <si>
    <t>Understanding Autism : Parents, Doctors, and the History of a Disorder</t>
  </si>
  <si>
    <t>Silverman, Chloe</t>
  </si>
  <si>
    <t>Leukemia</t>
  </si>
  <si>
    <t>Popat, Uday; Abraham, Jame</t>
  </si>
  <si>
    <t>Head and Neck Cancer</t>
  </si>
  <si>
    <t>Heron, Dwight; Tishler, Roy; Thomas, Charles</t>
  </si>
  <si>
    <t>The Accidental System : Health Care Policy In America</t>
  </si>
  <si>
    <t>Westview Press</t>
  </si>
  <si>
    <t>Reagan, Michael D</t>
  </si>
  <si>
    <t>Pharmaceutical Reform : A Guide to Improving Performance and Equity</t>
  </si>
  <si>
    <t>Roberts, Marc J.; Reich, Michael R.</t>
  </si>
  <si>
    <t>Nursing Before Nightingale, 1815-1899</t>
  </si>
  <si>
    <t>Helmstadter, Carol; Godden, Judith; Cunningham, Dr Andrew; Grell, Professor Ole Peter</t>
  </si>
  <si>
    <t>Tests to Evaluate Public Health Disease Reporting Systems in Local Public Health Agencies</t>
  </si>
  <si>
    <t>Dausey, David J.; Lurie, Nicole; Diamond, Alexis; Meade, Barbara ; Wasserman, Jeffrey</t>
  </si>
  <si>
    <t>Analysis of Healthcare Interventions that Change Patient Trajectories</t>
  </si>
  <si>
    <t>Bigelow, James H.; Fonkych, Katya; Fung, Constance; Wang, Jason</t>
  </si>
  <si>
    <t>Challenges of Creating a Global Health Resource Tracking System</t>
  </si>
  <si>
    <t>Eiseman, Elisa; Fossum, Donna</t>
  </si>
  <si>
    <t>Steeling the Mind : Combat Stress Reactions and Their Implications for Urban Warfare</t>
  </si>
  <si>
    <t>Helmus, Todd C.; Glenn, Russell W.</t>
  </si>
  <si>
    <t>Infectious Disease and National Security : Strategic Information Needs</t>
  </si>
  <si>
    <t>Cecchine, Gary; Moore, Melinda</t>
  </si>
  <si>
    <t>State and Pattern of Health Information Technology Adoption</t>
  </si>
  <si>
    <t>Fonkych, Katya; Taylor, Roger</t>
  </si>
  <si>
    <t>Maintaining Military Medical Skills During Peacetime : Outlining and Assessing a New Approach</t>
  </si>
  <si>
    <t>Eibner, Christine</t>
  </si>
  <si>
    <t>Military Science</t>
  </si>
  <si>
    <t>The Enculturated Gene : Sickle Cell Health Politics and Biological Difference in West Africa</t>
  </si>
  <si>
    <t>Fullwiley, Duana</t>
  </si>
  <si>
    <t>Huang Di Nei Jing Su Wen : Annotated Translation of Huang Di's Inner Classic - Basic Questions</t>
  </si>
  <si>
    <t>Unschuld, Paul U.; Tessenow, Hermann</t>
  </si>
  <si>
    <t>Handbook of Imaging the Alzheimer Brain</t>
  </si>
  <si>
    <t>Ashford, J.W.; Rosen, A.; Adamson, M.</t>
  </si>
  <si>
    <t>User Centred Networked Health Care : Proceedings of MIE</t>
  </si>
  <si>
    <t>Aarts, J.; Andersen, S.K.; Hurlen, P.</t>
  </si>
  <si>
    <t>Health; Social Science; Library Science</t>
  </si>
  <si>
    <t>Patient Safety Informatics : Adverse Drug Events, Human Factors and IT Tools for Patient Medication Safety</t>
  </si>
  <si>
    <t>Beuscart, R.; Jensen, S.; Koutkias, V.</t>
  </si>
  <si>
    <t>Selected Papers from the Japanese Conference on the Advancement of Assistive and Rehabilitation Technology : 23rd JCAART 2008, Niigata</t>
  </si>
  <si>
    <t>Ohnabe, H.; Kubo, M.; Collins, D.M.</t>
  </si>
  <si>
    <t>e-Health Across Borders Without Boundaries : E-salus trans confinia sine finibus</t>
  </si>
  <si>
    <t>Stoicu-Tivadar, L.; Blobel, B.; Marcun, T.</t>
  </si>
  <si>
    <t>Health Informatics : The Transformative Power of Innovation:Selected Papers from the 19th Australian National Health Informatics Conference (HIC 2011)</t>
  </si>
  <si>
    <t>Hansen, D.P.; Maeder, A.J.; Schaper, L.K.</t>
  </si>
  <si>
    <t>Annual Review of Cybertherapy and Telemedicine 2011 : Advanced Technologies in Behavioral, Social and Neurosciences</t>
  </si>
  <si>
    <t>Wiederhold, B.K.; Bouchard, S.; Riva, G.</t>
  </si>
  <si>
    <t>Handbook of Animal Models in Alzheimer’s Disease</t>
  </si>
  <si>
    <t>Casadesus, G.</t>
  </si>
  <si>
    <t>Transatlantic Cooperation Surrounding Health Related Information and Communication Technology</t>
  </si>
  <si>
    <t>De Moor, G.J.E.</t>
  </si>
  <si>
    <t>Better than Human : The Promise and Perils of Enhancing Ourselves</t>
  </si>
  <si>
    <t>Buchanan, Allen</t>
  </si>
  <si>
    <t>Science; Philosophy; Science: Biology/Natural History</t>
  </si>
  <si>
    <t>Weighing In : Obesity, Food Justice, and the Limits of Capitalism</t>
  </si>
  <si>
    <t>Guthman, Julie</t>
  </si>
  <si>
    <t>Infections and Inequalities : The Modern Plagues</t>
  </si>
  <si>
    <t>Farmer, Paul</t>
  </si>
  <si>
    <t>Adults with Childhood Illnesses : Considerations for Practice</t>
  </si>
  <si>
    <t>Roche, Naomi; AuCoin, Mark; Hodge, Jessica P.; Brundall, John; Mjelde-Mossey, Lee Ann; Rasheed, K.; Solarz, Stephen J.; Bricker, J. Timothy; Omar, Hatim A.; Merrick, Joav</t>
  </si>
  <si>
    <t>AIDS and Accusation : Haiti and the Geography of Blame</t>
  </si>
  <si>
    <t>Healthcare Management</t>
  </si>
  <si>
    <t>Walshe, Kieran; Smith, Judith</t>
  </si>
  <si>
    <t>Introduction To Health Economics</t>
  </si>
  <si>
    <t>Guinness, Lorna; Wiseman, Virginia</t>
  </si>
  <si>
    <t>The Ten-Thousand Year Fever : Rethinking Human and Wild-Primate Malarias</t>
  </si>
  <si>
    <t>Cormier, Loretta A</t>
  </si>
  <si>
    <t>Comprehensive Systematic Review for Advanced Nursing Practice</t>
  </si>
  <si>
    <t>Holly, Dr. Cheryl; Salmond, Dr. Susan; Saimbert, Marie K.; Dr Cheryl Holly Edd, Rn; Dr Susan Salmond Edd, Rn</t>
  </si>
  <si>
    <t>Neurologic Complications of Cancer Therapy</t>
  </si>
  <si>
    <t>Wen, Patrick; Schiff, David; Lee, Eudocia Quant</t>
  </si>
  <si>
    <t>Transcending the Legacies of Slavery : A Psychoanalytic View</t>
  </si>
  <si>
    <t>Smith, Barbara Fletchman</t>
  </si>
  <si>
    <t>Healing Kentucky : Medicine in the Bluegrass State</t>
  </si>
  <si>
    <t>University Press of Kentucky</t>
  </si>
  <si>
    <t>Baird, Nancy Disher; Baird, Nancy Disher Disher</t>
  </si>
  <si>
    <t>Microbial Metal and Metalloid Metabolism : Advances and Applications</t>
  </si>
  <si>
    <t>Stolz, John F.; Oremland, Ronald S.</t>
  </si>
  <si>
    <t>Bipolar Psychopharmacology : Caring for the Patient</t>
  </si>
  <si>
    <t>Akiskal, Hagop S.; Tohen, Mauricio</t>
  </si>
  <si>
    <t>Primer on Transplantation : American Society of Transplantation</t>
  </si>
  <si>
    <t>American Society of Transplantation; Hricik, Donald</t>
  </si>
  <si>
    <t>The Handbook of Language and Speech Disorders</t>
  </si>
  <si>
    <t>Damico, Jack S.; Müller, Nicole; Ball, Martin J.; Müller, Nicole; Müller, Nicole; Mller, Nicole</t>
  </si>
  <si>
    <t>Nutritional and Metabolic Bases of Cardiovascular Disease</t>
  </si>
  <si>
    <t>Mancini, Mario; Ordovas, Jose M.; Riccardi, Gabrielle; Rubba, Paolo; Strazzullo, Pasquale</t>
  </si>
  <si>
    <t>Practical Guide to Mechanical Ventilation</t>
  </si>
  <si>
    <t>Hite, Robert; Truwit, J. D.; Epstein, S. K.</t>
  </si>
  <si>
    <t>Personal Health Records : A Guide for Clinicians</t>
  </si>
  <si>
    <t>Al-Ubaydli, Mohammad; Al-Ubaydli, Mohammad</t>
  </si>
  <si>
    <t>Making Disease, Making Citizens : The Politics of Hepatitis C</t>
  </si>
  <si>
    <t>Fraser, Suzanne; Seear, Kate</t>
  </si>
  <si>
    <t>Clinical Linguistics : Theory and applications in speech pathology and therapy</t>
  </si>
  <si>
    <t>Fava, Elisabetta</t>
  </si>
  <si>
    <t>Handbook of Applied Behavior Analysis</t>
  </si>
  <si>
    <t>Austin, John; Carr, James</t>
  </si>
  <si>
    <t>50 Health Scares That Fizzled</t>
  </si>
  <si>
    <t>Pediatrics</t>
  </si>
  <si>
    <t>Nelson, Maureen</t>
  </si>
  <si>
    <t>Effusion Cytology : A Practical Guide to Cancer Diagnosis</t>
  </si>
  <si>
    <t>Ganjei-Azar, Parvin; Jorda, Merce; Krishan, Awtar</t>
  </si>
  <si>
    <t>Liver Pathology : An Atlas and Concise Guide</t>
  </si>
  <si>
    <t>Suriawinata, Arief; Thung, Swan</t>
  </si>
  <si>
    <t>Sleep in Childhood Neurological Disorders</t>
  </si>
  <si>
    <t>Kothare, Sanjeev; Kotagal, Suresh</t>
  </si>
  <si>
    <t>Youth Violence : Theory, Prevention, and Intervention</t>
  </si>
  <si>
    <t>Seifert, Kathryn; Kohl, Ben</t>
  </si>
  <si>
    <t>Cancer Disparities : Causes and Evidence-Based Solutions</t>
  </si>
  <si>
    <t>Elk, Ronit; Landrine, Hope; Landrine, Hope; D, Hope Landrine Ph</t>
  </si>
  <si>
    <t>Understanding Why Addicts Are Not All Alike : Recognizing the Types and How Their Differences Affect Intervention and Treatment</t>
  </si>
  <si>
    <t>Fisher, Gary L.</t>
  </si>
  <si>
    <t>The Anna Freud Tradition : Lines of Development - Evolution of Theory and Practice over the Decades</t>
  </si>
  <si>
    <t>Malberg, Norka T.; Raphael-Leff, Joan</t>
  </si>
  <si>
    <t>Reader in the History of Aphasia : From Franz Gall to Norman Geschwind</t>
  </si>
  <si>
    <t>Eling, Paul</t>
  </si>
  <si>
    <t>Disability Management and Workplace Integration : International Research Findings</t>
  </si>
  <si>
    <t>Harder, Henry G.; Geisen, Thomas</t>
  </si>
  <si>
    <t>Clinical Microbiology : Quality In Laboratory Diagnosis</t>
  </si>
  <si>
    <t>Stratton, Charles; Laposata, Michael</t>
  </si>
  <si>
    <t>Laboratory Management : Quality in Laboratory Diagnosis</t>
  </si>
  <si>
    <t>Kinkus, Candis; Laposata, Michael</t>
  </si>
  <si>
    <t>The Pool Activity Level (PAL) Instrument for Occupational Profiling : A Practical Resource for Carers of People with Cognitive Disability</t>
  </si>
  <si>
    <t>Pool, Jackie; Downs, Murna; Downs, Murna</t>
  </si>
  <si>
    <t>Paediatric Endocrinology and Diabetes</t>
  </si>
  <si>
    <t>Butler, Gary E.; Kirk, Jeremy</t>
  </si>
  <si>
    <t>Oxford Desk Reference : Oncology</t>
  </si>
  <si>
    <t>Ajithkumar, Thankamma V.; Cook, Natalie; Hatcher, Helen; Barrett, Ann</t>
  </si>
  <si>
    <t>Working with Self-Management Courses : The Thoughts of Participants, Planners and Policy Makers</t>
  </si>
  <si>
    <t>Jones, F. Roy</t>
  </si>
  <si>
    <t>Oral Complications of Cancer and Its Management</t>
  </si>
  <si>
    <t>Davies, Andrew; Epstein, Joel</t>
  </si>
  <si>
    <t>Oxford Desk Reference : Obstetrics and Gynaecology</t>
  </si>
  <si>
    <t>Arulkumaran, Sabaratnam; Regan, Lesley; Farquharson, David I.M.; Monga, Ash; Papageorghiou, Aris</t>
  </si>
  <si>
    <t>Emergencies in Trauma</t>
  </si>
  <si>
    <t>Bhangu, Aneel; Lee, Caroline; Porter, Keith</t>
  </si>
  <si>
    <t>Oxford Oncology Library : Systemic Treatment of Prostate Cancer</t>
  </si>
  <si>
    <t>Horwich, Alan</t>
  </si>
  <si>
    <t>Thoracic Anaesthesia</t>
  </si>
  <si>
    <t>Wilkinson, Jonathan; Pennefather, Stephen H.; McCahon, Robert A.</t>
  </si>
  <si>
    <t>Oxford Desk Reference : Cardiology</t>
  </si>
  <si>
    <t>Tse, Hung-Fat; Lip, Gregory Y. H.; Coats, Andrew J.S.</t>
  </si>
  <si>
    <t>Baldwin, Robert</t>
  </si>
  <si>
    <t>Antibacterial Chemotherapy : Theory, Problems, and Practice</t>
  </si>
  <si>
    <t>Amyes, Sebastian</t>
  </si>
  <si>
    <t>Mental Health and Care Homes</t>
  </si>
  <si>
    <t>Dening, Tom; Milne, Alisoun</t>
  </si>
  <si>
    <t>Sexually Transmitted Infections</t>
  </si>
  <si>
    <t>Barlow, David; Fox, Julie</t>
  </si>
  <si>
    <t>Change Leadership in Nursing : How Change Occurs in a Complex Hospital System</t>
  </si>
  <si>
    <t>Hickey, Mairead; Kritek, Phyllis Beck; Mairead Hickey Phd, Rn; The Brigham And Women's Hospital,</t>
  </si>
  <si>
    <t>Effects of Herbal Supplements on Clinical Laboratory Test Results</t>
  </si>
  <si>
    <t>Dasgupta, Amitava</t>
  </si>
  <si>
    <t>Medical Errors and Patient Safety : Strategies to reduce and disclose medical errors and improve patient Safety</t>
  </si>
  <si>
    <t>Kalra, Jay</t>
  </si>
  <si>
    <t>Kitchens : The Culture of Restaurant Work</t>
  </si>
  <si>
    <t>Fine, Gary Alan</t>
  </si>
  <si>
    <t>Home Economics; Social Science</t>
  </si>
  <si>
    <t>Youth Gambling : The Hidden Addiction</t>
  </si>
  <si>
    <t>Grant, Jon E.; Griffiths, Mark; Gupta, Rina; Ma, Cecilia; Derevensky, Jeffrey L.; Merrick, Professor Joav; Derevensky, Jeffrey L.; Merrick, Joav; Shek, Daniel T. L.; Gainsbury, Sally</t>
  </si>
  <si>
    <t>The Art and Science of Valuing in Psychotherapy : Helping Clients Discover, Explore, and Commit to Valued Action Using Acceptance and Commitment Thera</t>
  </si>
  <si>
    <t>Dahl, JoAnne; Lundgren, Tobias; Plumb-Vilardaga, Jennifer; Stewart, Ian</t>
  </si>
  <si>
    <t>Language and Schizophrenia</t>
  </si>
  <si>
    <t>Wrobel, Janusz</t>
  </si>
  <si>
    <t>Language of Psychotherapy</t>
  </si>
  <si>
    <t>Ekstein, Rudolf; Eschbach, Achim</t>
  </si>
  <si>
    <t>Psychodynamic Coaching : Focus and Depth</t>
  </si>
  <si>
    <t>Charlotte Beck, Ulla</t>
  </si>
  <si>
    <t>Fast Facts: Benign Prostatic Hyperplasia</t>
  </si>
  <si>
    <t>Kirby, Roger; Gilling, Peter</t>
  </si>
  <si>
    <t>Baby-Making : What the New Reproductive Treatments Mean for Families and Society</t>
  </si>
  <si>
    <t>Fauser, Bart; Devroey, Paul; Fauser, B C J M</t>
  </si>
  <si>
    <t>Fast Facts: Prostate Cancer</t>
  </si>
  <si>
    <t>Kirby, Roger; Patel, Manish I</t>
  </si>
  <si>
    <t>Acceptance and Commitment Therapy for Eating Disorders : A Process-Focused Guide to Treating Anorexia and Bulimia</t>
  </si>
  <si>
    <t>Sandoz, Emily K.; Wilson, Kelly G.; DuFrene, Troy</t>
  </si>
  <si>
    <t>Clinical Trials : Study Design, Endpoints and Biomarkers, Drug Safety, and FDA and ICH Guidelines</t>
  </si>
  <si>
    <t>Brody, Tom</t>
  </si>
  <si>
    <t>Fundamentals of Inflammation</t>
  </si>
  <si>
    <t>Serhan, Charles N.; Ward, Peter A.; Gilroy, Derek W.; Ayoub, Samir S.</t>
  </si>
  <si>
    <t>Core Clinical Competencies in Anesthesiology : A Case-Based Approach</t>
  </si>
  <si>
    <t>Gallagher, Christopher J.; Lewis, Michael C.; Schwengel, Deborah A.</t>
  </si>
  <si>
    <t>Infertility in the Modern World : Present and Future Prospects</t>
  </si>
  <si>
    <t>Bentley, Gillian R.; Mascie-Taylor, C. G. Nicholas</t>
  </si>
  <si>
    <t>Skin Disease in Organ Transplantation</t>
  </si>
  <si>
    <t>Otley, Clark C.; Stasko, Thomas</t>
  </si>
  <si>
    <t>Learning RFT : An Introduction to Relational Frame Theory and Its Clinical Applications</t>
  </si>
  <si>
    <t>Torneke, Niklas; TÃ¶rneke, Niklas; Hayes, Steven C.; Barnes-Holmes, Dermot</t>
  </si>
  <si>
    <t>Act in Practice : Case Conceptualization in Acceptance and Commitment Therapy</t>
  </si>
  <si>
    <t>Bach, Patricia A.; Moran, Daniel J.; Hayes, Steven C.</t>
  </si>
  <si>
    <t>Derived Relational Responding Applications for Learners with Autism and Other Developmental Disabilities : A Progressive Guide to Change</t>
  </si>
  <si>
    <t>Rehfeldt, Ruth Anne; Barnes-Holmes, Yvonne; Hayes, Steven C.</t>
  </si>
  <si>
    <t>Shattered States : Disorganised Attachment and its Repair</t>
  </si>
  <si>
    <t>White, Kate; Yellin, Judy</t>
  </si>
  <si>
    <t>Addictive Personalities and Why People Take Drugs : The Spike and the Moon</t>
  </si>
  <si>
    <t>Winship, Gary</t>
  </si>
  <si>
    <t>Dangerous Trade : Histories of Industrial Hazard Across a Globalizing World</t>
  </si>
  <si>
    <t>Sellers, Christopher; Melling, Joseph</t>
  </si>
  <si>
    <t>International Disaster Nursing</t>
  </si>
  <si>
    <t>Powers, Robert; Daily, Elaine</t>
  </si>
  <si>
    <t>Pediatric Stroke and Cerebrovascular Disorders</t>
  </si>
  <si>
    <t>Roach, Steven E.; Lo, Warren D.; Heyer, Geoffrey</t>
  </si>
  <si>
    <t>Biennial Review of Health Care Management</t>
  </si>
  <si>
    <t>Savage, Grant T.; Blair, John; Fottler, Myron D.; Blair, John; Fottler, Myron D.; Savage, Grant; Friedman, Leonard H.</t>
  </si>
  <si>
    <t>Access To Care and Factors That Impact Access, Patients as Partners In Care and Changing Roles of Health Providers</t>
  </si>
  <si>
    <t>Kronenfeld, Jennie Jacobs; Kronenfeld, Jennie</t>
  </si>
  <si>
    <t>List of occupational diseases (revised 2010) : Identification and recognition of occupational diseases: Criteria for incorporating diseases in the ILO list of occupational diseases (OSH 74)</t>
  </si>
  <si>
    <t>Approaches to Attribution of Detrimental Health Effects to Occupational Ionizing Radiation Exposure and their Application in Compensation Programmes for Cancer (OSH 73) : A practical guide</t>
  </si>
  <si>
    <t>Niu, Shengli; Deboodt, Pascal; Zeeb, Hajo</t>
  </si>
  <si>
    <t>Biaggioni, Italo; Low, Phillip A.; Polinsky, Ronald J.; Robertson, David; Paton, Julian F R; Low, Phillip A.</t>
  </si>
  <si>
    <t>Extractables &amp; Leachables for Pharmaceutical Products 2010 : 14-15 September, 2010, London</t>
  </si>
  <si>
    <t>iSmithers Rapra</t>
  </si>
  <si>
    <t>Acceptance and Commitment Therapy for the Treatment of Post-Traumatic Stress Disorder and Trauma-Related Problems : A Practitioner's Guide to Using Mindfulness and Acceptance Strategies</t>
  </si>
  <si>
    <t>Walser, Robyn; Westrup, Darrah; Walser, Robyn D.; Hayes, Steven C.</t>
  </si>
  <si>
    <t>The Philosophy of Food</t>
  </si>
  <si>
    <t>Kaplan, David M.</t>
  </si>
  <si>
    <t>The Gentrification of the Mind : Witness to a Lost Imagination</t>
  </si>
  <si>
    <t>Schulman, Sarah</t>
  </si>
  <si>
    <t>Emerging Nanotechnologies In Dentistry : Processes, Materials and Applications</t>
  </si>
  <si>
    <t>William Andrew</t>
  </si>
  <si>
    <t>Subramani, Karthikeyan; Ahmed, Waqar</t>
  </si>
  <si>
    <t>Surviving HIV/AIDS in the Inner City : How Resourceful Latinas Beat the Odds</t>
  </si>
  <si>
    <t>Chase, Sabrina</t>
  </si>
  <si>
    <t>Contested Illnesses : Citizens, Science, and Health Social Movements</t>
  </si>
  <si>
    <t>Brown, Phil; Morello-Frosch, Rachel; Zavestoski, Stephen; Morello-Frosch, Rachel</t>
  </si>
  <si>
    <t>Pharmageddon</t>
  </si>
  <si>
    <t>Healy, David</t>
  </si>
  <si>
    <t>Valor : The American Odyssey of Roy Dominguez</t>
  </si>
  <si>
    <t>Dominguez, Roy; Lane, James B.; Dominguez, Rogelio; Bayh, Evan</t>
  </si>
  <si>
    <t>Organizational Management : Organizational Management</t>
  </si>
  <si>
    <t>Nicholson, Claudia J.; Murphy, Patricia Anne; Miller, Patricia L.; Wesselmann, Amanda; McHugh, Eileen; Catlin-Legutko, Cinnamon; Klingler, Stacy; Beatty, Bob</t>
  </si>
  <si>
    <t>Stewardship: Collections and Historic Preservation</t>
  </si>
  <si>
    <t>Carrlee, Scott; Teeple, Bruce; Miller, Patricia L.; Clark, Julia; Hoff, Jackie; Meister, Nicolette B.; Reilly, Julie A.; Catlin-Legutko, Cinnamon; Klingler, Stacy; Beatty, Bob</t>
  </si>
  <si>
    <t>Financial Resource Development and Management : Financial Resource Development and Management</t>
  </si>
  <si>
    <t>Granger, Brenda; Catlin-Legutko, Cinnamon; Hruska, Benjamin J.; Lord, Allyn; Catlin-Legutko, Cinnamon; Klingler, Stacy; Beatty, Bob</t>
  </si>
  <si>
    <t>Why Millions Died : Before the War on Infectious Diseases</t>
  </si>
  <si>
    <t>Scherr, George H.</t>
  </si>
  <si>
    <t>Interpretation: Education, Programs, and Exhibits</t>
  </si>
  <si>
    <t>Hague, Stephen; Keim, Laura; Flagler, Madeline C.; Goforth, Teresa; Dillenburg, Eugene; Klein, Janice; Martin, Rebecca; Catlin-Legutko, Cinnamon; Klingler, Stacy; Beatty, Bob</t>
  </si>
  <si>
    <t>Reaching and Responding to the Audience : Reaching and Responding to the Audience</t>
  </si>
  <si>
    <t>Edie, Kara; Klingler, Stacy; Graft, Conny; Walden, Barbara B.; Burkhart, Kat; Hemmerlein, Tamara; Matelic, Candace Tangorra; Catlin-Legutko, Cinnamon; Klingler, Stacy; Beatty, Bob</t>
  </si>
  <si>
    <t>Presence and the Present : Relationship and Time in Contemporary Psychodynamic Therapy</t>
  </si>
  <si>
    <t>Stadter, Michael</t>
  </si>
  <si>
    <t>Leadership, Mission, and Governance : Leadership, Mission, and Governance</t>
  </si>
  <si>
    <t>Cook, Cherie; Merritt, Elizabeth; Gonzales, Sara; Friesen, Steve; Skramstad, Harold; Skramstad, Susan; Catlin-Legutko, Cinnamon; Catlin-Legutko, Cinnamon; Klingler, Stacy; Beatty, Bob</t>
  </si>
  <si>
    <t>Paediatric Obesity. Not only a Weight Concern : (Includes downloadable software)</t>
  </si>
  <si>
    <t>SEEd</t>
  </si>
  <si>
    <t>Angelo Pietrobelli; Heymsfield, Steven B</t>
  </si>
  <si>
    <t>The Built Environment and Public Health</t>
  </si>
  <si>
    <t>Lopez, Russell P.</t>
  </si>
  <si>
    <t>Handbook of Evidence-Based Practice in Clinical Psychology, Child and Adolescent Disorders</t>
  </si>
  <si>
    <t>Hersen, Michel; Sturmey, Peter</t>
  </si>
  <si>
    <t>Handbook of Evidence-Based Practice in Clinical Psychology : Adult Disorders</t>
  </si>
  <si>
    <t>Concepts in Male Health : Perspectives Across the Lifespan</t>
  </si>
  <si>
    <t>Leone, James E.</t>
  </si>
  <si>
    <t>Human Resources Management for Health Care Organizations : A Strategic Approach</t>
  </si>
  <si>
    <t>Pynes, Joan E.; Lombardi, Donald N.; Pynes, Joan</t>
  </si>
  <si>
    <t>Treating Adolescent Substance Abuse Using Family Behavior Therapy : A Step-By-Step Approach</t>
  </si>
  <si>
    <t>Donohue, Brad; Azrin, Nathan H.; Azrin, Nathan H.</t>
  </si>
  <si>
    <t>Becoming a Therapist : On the Path to Mastery</t>
  </si>
  <si>
    <t>Skovholt, Thomas; Skovholt, Thomas M.</t>
  </si>
  <si>
    <t>Clinical Trial Design : Bayesian and Frequentist Adaptive Methods</t>
  </si>
  <si>
    <t>Yin, Guosheng</t>
  </si>
  <si>
    <t>Critical Thinking in Clinical Practice : Improving the Quality of Judgments and Decisions</t>
  </si>
  <si>
    <t>Gambrill, Eileen</t>
  </si>
  <si>
    <t>Handbook of Global Health Communication</t>
  </si>
  <si>
    <t>Obregon, Rafael; Waisbord, Silvio; Obregon, Rafael; Waisbord, Professor Silvio</t>
  </si>
  <si>
    <t>Organic Production and Food Quality : A Down to Earth Analysis</t>
  </si>
  <si>
    <t>Blair, Robert</t>
  </si>
  <si>
    <t>Translational Neuroscience : A Guide to a Successful Program</t>
  </si>
  <si>
    <t>Garcia-Rill, Edgar</t>
  </si>
  <si>
    <t>Pharmacogenetics and Individualized Therapy</t>
  </si>
  <si>
    <t>Maitland-van der Zee, Anke-Hilse; Daly, Ann K.</t>
  </si>
  <si>
    <t>Rough-Fuzzy Pattern Recognition : Applications in Bioinformatics and Medical Imaging</t>
  </si>
  <si>
    <t>Maji, Pradipta; Pal, Sankar K.; Maji, Pradipta</t>
  </si>
  <si>
    <t>Counseling About Cancer : Strategies for Genetic Counseling</t>
  </si>
  <si>
    <t>Schneider, Katherine A.</t>
  </si>
  <si>
    <t>Physiologically Based Pharmacokinetic (PBPK) Modeling and Simulations : Principles, Methods, and Applications in the Pharmaceutical Industry</t>
  </si>
  <si>
    <t>Peters, Sheila Annie</t>
  </si>
  <si>
    <t>Radiochemical Syntheses, Radiopharmaceuticals for Positron Emission Tomography : Radiopharmaceuticals for Positron Emission Tomography</t>
  </si>
  <si>
    <t>Scott, Peter J. H.; Hockley, Brian G.; Kilbourn, Michael R.; Kilbourn, Michael R; Hockley, Brian G</t>
  </si>
  <si>
    <t>AH Receptor in Biology and Toxicology</t>
  </si>
  <si>
    <t>Pohjanvirta, Raimo</t>
  </si>
  <si>
    <t>Hospital Images : A Clinical Atlas</t>
  </si>
  <si>
    <t>Aronowitz, Paul</t>
  </si>
  <si>
    <t>Environmental Chemistry and Toxicology of Mercury</t>
  </si>
  <si>
    <t>Liu, Guangliang; Cai, Yong; O'Driscoll, Nelson; Liu, Guangliang; Cai, Yong; O'Driscoll, Nelson</t>
  </si>
  <si>
    <t>Applications of Ion Chromatography for Pharmaceutical and Biological Products</t>
  </si>
  <si>
    <t>Bhattacharyya, Lokesh; Rohrer, Jeffrey S.</t>
  </si>
  <si>
    <t>Engineering; Science: Chemistry; Science; Engineering: Chemical</t>
  </si>
  <si>
    <t>Leachables and Extractables Handbook : Safety Evaluation, Qualification, and Best Practices Applied to Inhalation Drug Products</t>
  </si>
  <si>
    <t>Ball, Douglas J.; Norwood, Daniel L.; Stults, Cheryl L. M.; Nagao, Lee M.; Stults, Cheryl L M; Nagao, Lee M</t>
  </si>
  <si>
    <t>Oxidative Stress in Vertebrates and Invertebrates : Molecular Aspects of Cell Signaling</t>
  </si>
  <si>
    <t>Farooqui, Tahira; Farooqui, Akhlaq A.; Farooqui, Tahira; Farooqui, Akhlaq A</t>
  </si>
  <si>
    <t>Analysis of Aggregates and Particles in Protein Pharmaceuticals</t>
  </si>
  <si>
    <t>Mahler, Hanns-Christian; Jiskoot, Wim</t>
  </si>
  <si>
    <t>Evo-Devo of Child Growth : Treatise on Child Growth and Human Evolution</t>
  </si>
  <si>
    <t>Hochberg, Ze'ev</t>
  </si>
  <si>
    <t>Antimicrobial Resistance in the Environment</t>
  </si>
  <si>
    <t>Keen, Patricia L.; Montforts, Mark H. M. M.</t>
  </si>
  <si>
    <t>Engineering; Engineering: Environmental; Science; Science: Biology/Natural History</t>
  </si>
  <si>
    <t>Non-Neoplastic Hematopathology and Infections</t>
  </si>
  <si>
    <t>Cualing, Hernani; Bhargava, Parul; Sandin, Ramon L.</t>
  </si>
  <si>
    <t>Pediatric Non-Clinical Drug Testing : Principles, Requirements, and Practice</t>
  </si>
  <si>
    <t>Hoberman, Alan M.; Lewis, Elise M.; Hoberman, Alan M; Lewis, Elise M</t>
  </si>
  <si>
    <t>Intelligent Surfaces in Biotechnology : Scientific and Engineering Concepts, Enabling Technologies, and Translation to Bio-Oriented Applications</t>
  </si>
  <si>
    <t>Textor, Marcus; Grandin, H. Michelle; Whitesides, George M.; Whitesides, George M; Textor, Marcus</t>
  </si>
  <si>
    <t>Therapeutic Targets : Modulation, Inhibition, and Activation</t>
  </si>
  <si>
    <t>Botana, Luis M.; Loza, Mabel</t>
  </si>
  <si>
    <t>Antiviral Drugs : From Basic Discovery Through Clinical Trials</t>
  </si>
  <si>
    <t>Kazmierski, Wieslaw M.</t>
  </si>
  <si>
    <t>The Handbook of Stress : Neuropsychological Effects on the Brain</t>
  </si>
  <si>
    <t>Conrad, Cheryl D.</t>
  </si>
  <si>
    <t>Water and Sanitation Related Diseases and the Environment : Challenges, Interventions and Preventive Measures</t>
  </si>
  <si>
    <t>Selendy, Janine M. H.; Selendy, Janine M H</t>
  </si>
  <si>
    <t>Essentials of Dyslexia Assessment and Intervention</t>
  </si>
  <si>
    <t>Mather, Nancy; Wendling, Barbara J.; Kaufman, Alan S.; Kaufman, Nadeen L.; Kaufman, Nadeen L</t>
  </si>
  <si>
    <t>AAGBI Core Topics in Anaesthesia 2012</t>
  </si>
  <si>
    <t>Johnston, Ian; Harrop-Griffiths, William; Gemmell, Leslie; Harrop-Griffiths, William</t>
  </si>
  <si>
    <t>Roitt's Essential Immunology</t>
  </si>
  <si>
    <t>Delves, Peter J.; Martin, Seamus J.; Burton, Dennis R.; Roitt, Ivan M.</t>
  </si>
  <si>
    <t>Integrated Vector Management : Controlling Vectors of Malaria and Other Insect Vector Borne Diseases</t>
  </si>
  <si>
    <t>Matthews, Graham</t>
  </si>
  <si>
    <t>How to Survive in Anaesthesia</t>
  </si>
  <si>
    <t>Robinson, Neville; Hall, George M.; Fawcett, William</t>
  </si>
  <si>
    <t>Diagnostic Tests Toolkit</t>
  </si>
  <si>
    <t>Thompson, Matthew; Van den Bruel, Ann; Heneghan, Carl; Perera, Rafael; Badenoch, Douglas</t>
  </si>
  <si>
    <t>Community Mental Health : Putting Policy Into Practice Globally</t>
  </si>
  <si>
    <t>Thornicroft, Graham; Alem, Atalay; Drake, Robert E.; Ito, Dr. Hiroto; Mari, Dr. Jair; McGeorge, Dr. Peter; Tara, Dr. R.; Semrau, Dr. Maya</t>
  </si>
  <si>
    <t>How to Manage Your GP Practice</t>
  </si>
  <si>
    <t>Clarke, Farine; Slavin, Laurence</t>
  </si>
  <si>
    <t>Cardiovascular Problems in Emergency Medicine : A Discussion-based Review</t>
  </si>
  <si>
    <t>Brown, David; Grossman, Shamai; Rosen, Peter; Harrigan, Richard A.; Mattu, Amal; Ullman, Edward; Grossman, Shamai A.; Rosen, Peter</t>
  </si>
  <si>
    <t>Synthesizing Qualitative Research : Choosing the Right Approach</t>
  </si>
  <si>
    <t>Hannes, Karin; Lockwood, Craig</t>
  </si>
  <si>
    <t>How to Present at Meetings</t>
  </si>
  <si>
    <t>Hall, George M.; Robinson, Neville</t>
  </si>
  <si>
    <t>Atrial Fibrillation Ablation, 2011 Update : The State of the Art based on the VeniceChart International Consensus Document</t>
  </si>
  <si>
    <t>Cleft Palate Speech : Assessment and Intervention</t>
  </si>
  <si>
    <t>Howard, Sara; Lohmander, Anette; Howard, Sara</t>
  </si>
  <si>
    <t>Post-traumatic Stress Disorder</t>
  </si>
  <si>
    <t>Stein, Dan J.; Friedman, Matthew; Blanco, Carlos</t>
  </si>
  <si>
    <t>Diagnosis of Lymphoproliferative Diseases</t>
  </si>
  <si>
    <t>Gatter, Kevin; Delsol, Georges; Warnke, Roger; Pezzella, Francesco</t>
  </si>
  <si>
    <t>Diabetic Emergencies : Diagnosis and Clinical Management</t>
  </si>
  <si>
    <t>Katsilambros, Nicholas; Kanaka-Gantenbein, Christina; Liatis, Stavros; Tentolouris, Nicholas; Kanaka-Gantenbein, Christina</t>
  </si>
  <si>
    <t>Neuromuscular Disorders</t>
  </si>
  <si>
    <t>Tawil, Rabi; Venance, Shannon</t>
  </si>
  <si>
    <t>Eating Disorders and the Brain</t>
  </si>
  <si>
    <t>Lask, Bryan; Frampton, Ian; Frampton, Ian</t>
  </si>
  <si>
    <t>Economics; Medicine</t>
  </si>
  <si>
    <t>Phenomenology for Therapists : Researching the Lived World</t>
  </si>
  <si>
    <t>Finlay, Linda</t>
  </si>
  <si>
    <t>Molecular Analysis and Genome Discovery</t>
  </si>
  <si>
    <t>Rapley, Ralph; Harbron, Stuart</t>
  </si>
  <si>
    <t>Addiction Dilemmas : Family Experiences from Literature and Research and Their Lessons for Practice</t>
  </si>
  <si>
    <t>Orford, Jim</t>
  </si>
  <si>
    <t>Concise Guide to Pediatric Arrhythmias</t>
  </si>
  <si>
    <t>Wren, Christopher</t>
  </si>
  <si>
    <t>Clinical Dilemmas in Inflammatory Bowel Disease : New Challenges</t>
  </si>
  <si>
    <t>Irving, Peter; Siegel, Corey A.; Rampton, David; Shanahan, Fergus</t>
  </si>
  <si>
    <t>Critical Neuroscience : A Handbook of the Social and Cultural Contexts of Neuroscience</t>
  </si>
  <si>
    <t>Choudhury, Suparna; Slaby, Jan</t>
  </si>
  <si>
    <t>Handbook of Alzheimer's Disease and Other Dementias</t>
  </si>
  <si>
    <t>Budson, Andrew E.; Kowall, Neil W.</t>
  </si>
  <si>
    <t>Nursing the Cardiac Patient</t>
  </si>
  <si>
    <t>Humphreys, Melanie</t>
  </si>
  <si>
    <t>Atlas of Endoscopic Ultrasonography</t>
  </si>
  <si>
    <t>Gress, Frank; Savides, Thomas; Bounds, Brenna C.; Deutsch, John C.</t>
  </si>
  <si>
    <t>Advanced Therapy for Hepatitis C</t>
  </si>
  <si>
    <t>McCaughan, Geoffrey W.; McHutchison, John G.; Pawlotsky, Jean-Michel</t>
  </si>
  <si>
    <t>The Metabolic Syndrome : Science and Clinical Practice</t>
  </si>
  <si>
    <t>Byrne, Christopher D.; Wild, Sarah H.</t>
  </si>
  <si>
    <t>A Practical Approach to Cardiovascular Medicine</t>
  </si>
  <si>
    <t>Ardehali, Reza; Perez, Marco; Wang, Paul; Wang, Paul</t>
  </si>
  <si>
    <t>Holstege, Christopher P.; Baer, Alexander B.; Pines, Jesse M.; Brady, William J.</t>
  </si>
  <si>
    <t>Models and Frameworks for Implementing Evidence-Based Practice : Linking Evidence to Action</t>
  </si>
  <si>
    <t>Rycroft-Malone, Jo; Bucknall, Tracey</t>
  </si>
  <si>
    <t>The Hands-On Guide for Junior Doctors</t>
  </si>
  <si>
    <t>Donald, Anna; Stein, Mike; Scott Hill, Ciaran</t>
  </si>
  <si>
    <t>The Hands-On Guide to Clinical Pharmacology</t>
  </si>
  <si>
    <t>Chatu, Sukhdev</t>
  </si>
  <si>
    <t>If Memory Serves : Gay Men, AIDS, and the Promise of the Queer Past</t>
  </si>
  <si>
    <t>Castiglia, Christopher; Reed, Christopher</t>
  </si>
  <si>
    <t>Body and Soul : The Black Panther Party and the Fight against Medical Discrimination</t>
  </si>
  <si>
    <t>Nelson, Alondra</t>
  </si>
  <si>
    <t>NURSING: The Ultimate Study Guide</t>
  </si>
  <si>
    <t>Nadia Singh BSN, RN; Nadia Singh Bsn, Rn</t>
  </si>
  <si>
    <t>Gerioperative Nursing Care : Principles and Practices of Surgical Care for the Older Adult</t>
  </si>
  <si>
    <t>Shippee-Rice, Raelene V.; Fetzer, Susan; Long, Jennifer V.; Dr Raelene V Shippee-Rice Phd, Rn; Dr Susan Fetzer Phd, Rn Mba</t>
  </si>
  <si>
    <t>Reconstructing Subjects. : A Philosophical Critique of Psychotherapy.</t>
  </si>
  <si>
    <t>Al-Shawi, Hakam H.</t>
  </si>
  <si>
    <t>Of Philosophers and Madmen. : A disclosure of Martin Heidegger, Medard Boss, and Sigmund Freud.</t>
  </si>
  <si>
    <t>Askay, Richard; Farquhar, Jensen</t>
  </si>
  <si>
    <t>Tales from Kentucky Doctors</t>
  </si>
  <si>
    <t>Montell, William Lynwood; Montell, William Lynwood Lynwood</t>
  </si>
  <si>
    <t>Child and Adolescent Behavioral Health : A Resource for Advanced Practice Psychiatric and Primary Care Practitioners in Nursing</t>
  </si>
  <si>
    <t>Yearwood, Edilma L.; Pearson, Geraldine S.; Newland, Jamesetta A.</t>
  </si>
  <si>
    <t>Oral Wound Healing : Cell Biology and Clinical Management</t>
  </si>
  <si>
    <t>Larjava, Hannu</t>
  </si>
  <si>
    <t>Pursuing the Triple Aim : Seven Innovators Show the Way to Better Care, Better Health, and Lower Costs</t>
  </si>
  <si>
    <t>Bisognano, Maureen; Kenney, Charles</t>
  </si>
  <si>
    <t>Cereals and Pulses : Nutraceutical Properties and Health Benefits</t>
  </si>
  <si>
    <t>Yu, Liangli L.; Tsao, Rong; Shahidi, Fereidoon</t>
  </si>
  <si>
    <t>Bioethics for Beginners : 60 Cases and Cautions from the Moral Frontier of Healthcare</t>
  </si>
  <si>
    <t>McGee, Glenn</t>
  </si>
  <si>
    <t>Case Studies in Gerontological Nursing for the Advanced Practice Nurse</t>
  </si>
  <si>
    <t>Kazer, Meredith Wallace; Neal-Boylan, Leslie</t>
  </si>
  <si>
    <t>ADME-Enabling Technologies in Drug Design and Development</t>
  </si>
  <si>
    <t>Zhang, Donglu; Surapaneni, Sekhar; Surapaneni, Sekhar</t>
  </si>
  <si>
    <t>Dioxins and Health : Including Other Persistent Organic Pollutants and Endocrine Disruptors</t>
  </si>
  <si>
    <t>Schecter, Arnold; Schecter, Arnold</t>
  </si>
  <si>
    <t>Case Studies in Modern Drug Discovery and Development</t>
  </si>
  <si>
    <t>Huang, Xianhai; Aslanian, Robert G.; Huang, Xianhai; Aslanian, Robert G</t>
  </si>
  <si>
    <t>Antibody-Mediated Drug Delivery Systems : Concepts, Technology, and Applications</t>
  </si>
  <si>
    <t>Pathak, Yashwant; Benita, Simon</t>
  </si>
  <si>
    <t>Predictive Approaches in Drug Discovery and Development : Biomarkers and In Vitro / In Vivo Correlations</t>
  </si>
  <si>
    <t>Williams, J. Andrew; Lalonde, Richard; Koup, Jeffrey R.; Christ, David D.; Ekins, Sean</t>
  </si>
  <si>
    <t>Culture and Reflexivity in Systemic Psychotherapy : Mutual Perspectives</t>
  </si>
  <si>
    <t>Broken Bounds : Contemporary Reflections on the Antisocial Tendency</t>
  </si>
  <si>
    <t>Reeves, Christopher</t>
  </si>
  <si>
    <t>Clinical Context for Evidence-Based Nursing Practice</t>
  </si>
  <si>
    <t>Kent, Bridie; McCormack, Brendan</t>
  </si>
  <si>
    <t>The Physiological Effects of Ageing</t>
  </si>
  <si>
    <t>Farley, Alistair; McLafferty, Ella; Hendry, Charles</t>
  </si>
  <si>
    <t>Clinical Governance : A Guide to Implementation for Healthcare Professionals</t>
  </si>
  <si>
    <t>McSherry, Robert; Pearce, Paddy; Tingle, John</t>
  </si>
  <si>
    <t>The Handbook of Midwifery Research</t>
  </si>
  <si>
    <t>Steen, Mary; Roberts, Taniya</t>
  </si>
  <si>
    <t>Long Term Conditions : A Guide for Nurses and Healthcare Professionals</t>
  </si>
  <si>
    <t>Randall, Sue; Ford, Helen</t>
  </si>
  <si>
    <t>The Textbook of Non-Medical Prescribing</t>
  </si>
  <si>
    <t>Nuttall, Dilyse; Rutt-Howard, Jane; Rutt-Howard, Jane</t>
  </si>
  <si>
    <t>Research for Evidence-Based Practice in Healthcare</t>
  </si>
  <si>
    <t>Newell, Robert; Burnard, Philip</t>
  </si>
  <si>
    <t>Clinical Case Studies for the Family Nurse Practitioner</t>
  </si>
  <si>
    <t>Neal-Boylan, Leslie</t>
  </si>
  <si>
    <t>Clinical Case Studies in Home Health Care</t>
  </si>
  <si>
    <t>Rapid Surgery</t>
  </si>
  <si>
    <t>Baker, Cara R.; Reese, George; Teo, James T. H.</t>
  </si>
  <si>
    <t>Getting Started in Health Research</t>
  </si>
  <si>
    <t>Bowers, David; House, Allan; Owens, David</t>
  </si>
  <si>
    <t>Oncology : Oncology</t>
  </si>
  <si>
    <t>Bower, Mark; Waxman, Jonathan</t>
  </si>
  <si>
    <t>Rapid Clinical Pharmacology : A Student Formulary</t>
  </si>
  <si>
    <t>Batchelder, Andrew; Rodrigues, Charlene; Alrifai, Ziad; Stanley, Adrian</t>
  </si>
  <si>
    <t>Rapid Paediatrics and Child Health</t>
  </si>
  <si>
    <t>Brough, Helen A.; Nataraja, Ram</t>
  </si>
  <si>
    <t>Make a Decision : Surgery</t>
  </si>
  <si>
    <t>Corrigan, Mark; Hill, Arnold; Redmond, Paul</t>
  </si>
  <si>
    <t>Lecture Notes: Dermatology</t>
  </si>
  <si>
    <t>Graham-Brown, Robin; Burns, Tony; Graham-Brown, Robin</t>
  </si>
  <si>
    <t>ABC of Interventional Cardiology</t>
  </si>
  <si>
    <t>Grech, Ever D.</t>
  </si>
  <si>
    <t>Rapid Medicine</t>
  </si>
  <si>
    <t>Sam, Amir H.; Teo, James T. H.</t>
  </si>
  <si>
    <t>Essential Medical Genetics</t>
  </si>
  <si>
    <t>Tobias, Edward S.; Connor, Michael; Ferguson Smith, Malcolm</t>
  </si>
  <si>
    <t>The Respiratory System at a Glance</t>
  </si>
  <si>
    <t>Ward, Jeremy P. T.; Ward, Jane; Leach, Richard M.; Wiener, Charles M.</t>
  </si>
  <si>
    <t>General Surgery : General Surgery</t>
  </si>
  <si>
    <t>Ellis, Harold; Calne, Roy; Watson, Christopher</t>
  </si>
  <si>
    <t>Denyer, Stephen P.; Hodges, Norman; Gorman, Sean P.; Gilmore, Brendan F.</t>
  </si>
  <si>
    <t>Science; Medicine; Science: Biology/Natural History; Pharmacy</t>
  </si>
  <si>
    <t>Gastroenterology : Clinical Cases Uncovered</t>
  </si>
  <si>
    <t>Keshav, Satish; Culver, Emma</t>
  </si>
  <si>
    <t>Adult Emergency Medicine at a Glance</t>
  </si>
  <si>
    <t>Hughes, Thomas; Cruickshank, Jaycen</t>
  </si>
  <si>
    <t>The Endocrine System</t>
  </si>
  <si>
    <t>Greenstein, Ben; Wood, Diana</t>
  </si>
  <si>
    <t>Hepatology: Clinical Cases Uncovered</t>
  </si>
  <si>
    <t>Nash, Kathryn; Guha, Indra Neil</t>
  </si>
  <si>
    <t>Rapid Obstetrics and Gynaecology</t>
  </si>
  <si>
    <t>Moore, Misha; Lam, Sarah-Jane; Kay, Adam R.; Lam, Sarah-Jane</t>
  </si>
  <si>
    <t>Neurology : Clinical Cases Uncovered</t>
  </si>
  <si>
    <t>Macleod, Malcolm; Simpson, Marion; Pal, Suvankar</t>
  </si>
  <si>
    <t>Biomedical Science : Biomedical Science</t>
  </si>
  <si>
    <t>Lyons, Ian</t>
  </si>
  <si>
    <t>Psychiatry : Psychiatry</t>
  </si>
  <si>
    <t>Harrison, Paul; Geddes, John; Sharpe, Michael</t>
  </si>
  <si>
    <t>Staged Diabetes Management</t>
  </si>
  <si>
    <t>Mazze, Roger; Bergenstal, Richard M.; Cuddihy, Robert; Strock, Ellie S.; Criego, Amy; Langer, Oded; Simonson, Gregg; Powers, Margaret A.</t>
  </si>
  <si>
    <t>Schiff's Diseases of the Liver</t>
  </si>
  <si>
    <t>Schiff, Eugene R.; Maddrey, Willis C.; Sorrell, Michael F.</t>
  </si>
  <si>
    <t>Stephens' Detection and Evaluation of Adverse Drug Reactions : Principles and Practice</t>
  </si>
  <si>
    <t>Stephens, M. D. B.; Talbot, John; Aronson, Jeffrey K.</t>
  </si>
  <si>
    <t>Mindfulness-Based Cognitive Therapy for Cancer</t>
  </si>
  <si>
    <t>Bartley, Trish; Teasdale, John</t>
  </si>
  <si>
    <t>Psychological Management of Stroke</t>
  </si>
  <si>
    <t>Lincoln, Nadina B.; Kneebone, Ian I.; Macniven, Jamie A. B.; Morris, Reg C.</t>
  </si>
  <si>
    <t>Clinician's Handbook for Obsessive Compulsive Disorder : Inference-Based Therapy</t>
  </si>
  <si>
    <t>O'Connor, Kieron; Aardema, Frederick</t>
  </si>
  <si>
    <t>Pharmacotherapy of Child and Adolescent Psychiatric Disorders</t>
  </si>
  <si>
    <t>Rosenberg, David; Gershon, Samuel</t>
  </si>
  <si>
    <t>Clinical Dilemmas in Primary Liver Cancer</t>
  </si>
  <si>
    <t>Williams, Roger; Taylor-Robinson, Simon D.</t>
  </si>
  <si>
    <t>Hormonal Therapy for Male Sexual Dysfunction</t>
  </si>
  <si>
    <t>Maggi, Mario</t>
  </si>
  <si>
    <t>Evidence-based Interventional Pain Practice : According to Clinical Diagnoses</t>
  </si>
  <si>
    <t>Van Zundert, Jan; Patijn, Jacob; Hartrick, Craig; Lataster, Arno; Huygen, Frank; Mekhail, Nagy; Van Kleef, Maarten</t>
  </si>
  <si>
    <t>Advances in Combination Therapy for Asthma and COPD</t>
  </si>
  <si>
    <t>Busse, William; Lotvall, Jan</t>
  </si>
  <si>
    <t>Edmonds, Keith</t>
  </si>
  <si>
    <t>Smith's Textbook of Endourology</t>
  </si>
  <si>
    <t>Preminger, Glenn; Badlani, Gopal; Smith, Arthur D.; Kavoussi, Louis</t>
  </si>
  <si>
    <t>Gregory's Pediatric Anesthesia</t>
  </si>
  <si>
    <t>Gregory, George A.; Andropoulos, Dean B.</t>
  </si>
  <si>
    <t>Esophagus</t>
  </si>
  <si>
    <t>Richter, Joel E.; Castell, Donald O.</t>
  </si>
  <si>
    <t>Flexible Bronchoscopy</t>
  </si>
  <si>
    <t>Wang, Ko-Pen; Mehta, Atul C.; Turner, J. Francis</t>
  </si>
  <si>
    <t>Focal Therapy in Prostate Cancer</t>
  </si>
  <si>
    <t>Ahmed, Hashim Uddin; Arya, Manit; Carroll, Peter R.; Emberton, Mark</t>
  </si>
  <si>
    <t>Gershman, George; Thomson, Mike; Ament, Marvin</t>
  </si>
  <si>
    <t>Muscle Aging, Inclusion-Body Myositis and Myopathies</t>
  </si>
  <si>
    <t>Askanas, Valerie; Engel, W. King</t>
  </si>
  <si>
    <t>Medical Care of the Liver Transplant Patient</t>
  </si>
  <si>
    <t>Clavien, Pierre-Alain; Trotter, James F.; Müllhaupt, Beat</t>
  </si>
  <si>
    <t>Integrated Clinical Orthodontics</t>
  </si>
  <si>
    <t>Krishnan, Vinod; Davidovitch, Ze'ev; Krishnan, Vinod; Davidovitch, Ze'ev</t>
  </si>
  <si>
    <t>Health Visiting : A Rediscovery</t>
  </si>
  <si>
    <t>Luker, Karen A.; Orr, Jean; McHugh, Gretl A.</t>
  </si>
  <si>
    <t>Transfusion Medicine</t>
  </si>
  <si>
    <t>McCullough, Jeff</t>
  </si>
  <si>
    <t>Peptide Drug Discovery and Development : Translational Research in Academia and Industry</t>
  </si>
  <si>
    <t>Castanho, Miguel; Santos, Nuno</t>
  </si>
  <si>
    <t>Mechanisms in the Chain of Safety : Research and Operational Experiences in Aviation Psychology</t>
  </si>
  <si>
    <t>D'Oliveira, Teresa C, Dr; de Voogt, Alex, Dr</t>
  </si>
  <si>
    <t>English Language and the Medical Profession : Instructing and Assessing the Communication Skills of International Physicians</t>
  </si>
  <si>
    <t>Hoekje, Barbara; Tipton, Sara; Pennington, Martha</t>
  </si>
  <si>
    <t>Sociological Reflections on the Neurosciences</t>
  </si>
  <si>
    <t>Pickersgill, Martyn; Van Keulen, Ira; KatzRothman, Barbara</t>
  </si>
  <si>
    <t>Human Simulation for Nursing and Health Professions</t>
  </si>
  <si>
    <t>Wilson, Linda; Rockstraw, Leland; Linda Wilson Rn, Phd; Leland Rockstraw Rn, Phd</t>
  </si>
  <si>
    <t>Vital Notes for Nurses : Principles of Care</t>
  </si>
  <si>
    <t>Lloyd, Hilary; Hancock, Helen; Campbell, Steven</t>
  </si>
  <si>
    <t>Vital Notes for Nurses: Accountability</t>
  </si>
  <si>
    <t>Caulfield, Helen</t>
  </si>
  <si>
    <t>ECG Interpretation for Everyone : An On-the-Spot Guide</t>
  </si>
  <si>
    <t>Kusumoto, Fred; Bernath, Pam</t>
  </si>
  <si>
    <t>Understanding the Public Health Implications of Prisoner Reentry in California : State-of-the-State Report</t>
  </si>
  <si>
    <t>Davis, Lois M.; Williams, Malcolm V.; Derose, Kathryn Pitkin; Steinberg, Rabbi Paul ; Overton, Adrian ; Miyashiro, Lisa ; Fain, Terry ; Williams, Eugene III</t>
  </si>
  <si>
    <t>Pediatric Cardiovascular Medicine</t>
  </si>
  <si>
    <t>Moller, James H.; Hoffman, Julien I. E.; Hoffman, Julien I E</t>
  </si>
  <si>
    <t>Getting Better at Private Practice</t>
  </si>
  <si>
    <t>Stout, Chris E.</t>
  </si>
  <si>
    <t>Assessment and Treatment Planning for PTSD</t>
  </si>
  <si>
    <t>Frueh, Christopher; Grubaugh, Anouk; Elhai, Jon D.; Ford, Julian D.</t>
  </si>
  <si>
    <t>Advanced Practice Registered Nurse as a Prescriber</t>
  </si>
  <si>
    <t>Brown, Marie Annette; Kaplan, Louise</t>
  </si>
  <si>
    <t>Nursing; Medicine; Pharmacy</t>
  </si>
  <si>
    <t>Vital Notes for Nurses : Professional Development, Reflection and Decision-Making</t>
  </si>
  <si>
    <t>Jasper, Melanie; Elliott, Paul; Koubel, Georgina</t>
  </si>
  <si>
    <t>Vital Notes for Nurses : Promoting Health</t>
  </si>
  <si>
    <t>Wills, Jane</t>
  </si>
  <si>
    <t>Perinatal Programming : The State of the Art</t>
  </si>
  <si>
    <t>Plagemann, Andreas</t>
  </si>
  <si>
    <t>Language, Body, and Health : The Role of Discourse in Health Care</t>
  </si>
  <si>
    <t>McPherron, Paul; Ramanathan, Vaidehi</t>
  </si>
  <si>
    <t>Networks in Tropical Medicine : Internationalism, Colonialism, and the Rise of a Medical Specialty, 1890-1930</t>
  </si>
  <si>
    <t>Neill, Deborah</t>
  </si>
  <si>
    <t>The Internal World of the Juvenile Sex Offender : Through a Glass Darkly Then Face to Face</t>
  </si>
  <si>
    <t>Keogh, Timothy</t>
  </si>
  <si>
    <t>The Autisms</t>
  </si>
  <si>
    <t>Coleman, Mary; Gillberg, Christopher</t>
  </si>
  <si>
    <t>Why Millions Survive Cancer the Successes of Science : The successes of science</t>
  </si>
  <si>
    <t>Pecorino, Lauren</t>
  </si>
  <si>
    <t>Advances in Clinical Phonetics</t>
  </si>
  <si>
    <t>Ball, Martin J.; Duckworth, Martin</t>
  </si>
  <si>
    <t>Intelligibility in Speech Disorders : Theory, measurement and management</t>
  </si>
  <si>
    <t>Kent, Raymond D.</t>
  </si>
  <si>
    <t>Non-fluent Aphasia in a Multilingual World</t>
  </si>
  <si>
    <t>Menn, Lise; O’Connor, Michael P.; Obler, Loraine K.</t>
  </si>
  <si>
    <t>Accelerated Education in Nursing : Challenges, Strategies, and Future Directions</t>
  </si>
  <si>
    <t>Zhan, Lin; Finch, Linda; Lin Zhan Phd, Rn; Linda P Finch Phd, Rn</t>
  </si>
  <si>
    <t>Safety-Net Health Care System : Health Care at the Margins</t>
  </si>
  <si>
    <t>Almgren, Gunnar; Lindhorst, Taryn; Gunnar Almgren Msw, Phd; Taryn Lindhorst Msw, Phd</t>
  </si>
  <si>
    <t>Halper, June; Harris, Colleen</t>
  </si>
  <si>
    <t>Pharmacoepidemiology</t>
  </si>
  <si>
    <t>Strom, Brian L.; Kimmel, Stephen E; Hennessy, Sean</t>
  </si>
  <si>
    <t>Self-harm and Young People</t>
  </si>
  <si>
    <t>The Spinney Press</t>
  </si>
  <si>
    <t>Healey, Justin</t>
  </si>
  <si>
    <t>Vegetarianism</t>
  </si>
  <si>
    <t>Deep Brain Stimulation : A New Life for People with Parkinson's, Dystonia and Essential Tremor</t>
  </si>
  <si>
    <t>Chou, Kelvin; Grube, Susan; Patil, Parag</t>
  </si>
  <si>
    <t>The Moon and Madness</t>
  </si>
  <si>
    <t>McCrae, Niall; Crawford, Paul</t>
  </si>
  <si>
    <t>Medical Professionalism in the New Information Age</t>
  </si>
  <si>
    <t>Apple, Rima; Dimick, Matthew; Golden, Janet; Hall, Mark A.; Madison, Kristin; Painter, Michael; Rodwin, Marc; Rosenbaum, Sara; Rothman, David; Blumenthal, David</t>
  </si>
  <si>
    <t>Using Occupational Therapy Theory in Practice</t>
  </si>
  <si>
    <t>Boniface, Gail; Seymour, Alison</t>
  </si>
  <si>
    <t>The Psychotherapy Documentation Primer</t>
  </si>
  <si>
    <t>Wiger, Donald E.; Wiger,</t>
  </si>
  <si>
    <t>Essential Angioplasty</t>
  </si>
  <si>
    <t>von Schmilowski, E.; Swanton, R. H.</t>
  </si>
  <si>
    <t>Essentials of Gastroenterology</t>
  </si>
  <si>
    <t>Sitaraman, Shanthi V.; Friedman, Lawrence S.</t>
  </si>
  <si>
    <t>Richardson, Malcolm D.; Warnock, David W.</t>
  </si>
  <si>
    <t>Pharmaceutical Lifecycle Management : Making the Most of Each and Every Brand</t>
  </si>
  <si>
    <t>Ellery, Tony; Hansen, Neal</t>
  </si>
  <si>
    <t>Medicine; Business/Management; Economics; Pharmacy</t>
  </si>
  <si>
    <t>Dendrimer-Based Drug Delivery Systems : From Theory to Practice</t>
  </si>
  <si>
    <t>Cheng, Yiyun; Tomalia, Donald A.</t>
  </si>
  <si>
    <t>Applications of Transition Metal Catalysis in Drug Discovery and Development : An Industrial Perspective</t>
  </si>
  <si>
    <t>Crawley, Matthew L.; Trost, Barry M.; Crawley, Matthew L; Trost, Barry M</t>
  </si>
  <si>
    <t>Queenan's Management of High-Risk Pregnancy : An Evidence-Based Approach</t>
  </si>
  <si>
    <t>Queenan, John T.; Spong, Catherine Y.; Lockwood, Charles J.</t>
  </si>
  <si>
    <t>Acceptance and Mindfulness Treatments for Children and Adolescents : A Practitioner's Guide</t>
  </si>
  <si>
    <t>Greco, Laurie A.; Hayes, Steven C.</t>
  </si>
  <si>
    <t>Successful Accreditation in Echocardiography : A Self-Assessment Guide</t>
  </si>
  <si>
    <t>Banypersad, Sanjay</t>
  </si>
  <si>
    <t>Critical Care Management of the Obese Patient</t>
  </si>
  <si>
    <t>El Solh, Ali</t>
  </si>
  <si>
    <t>A Practical Guide to Cluster Randomised Trials in Health Services Research</t>
  </si>
  <si>
    <t>Eldridge, Sandra; Kerry, Sally M.; Grieve, Richard; Ukoumunne, Obioha</t>
  </si>
  <si>
    <t>Atlas of Human Infectious Diseases</t>
  </si>
  <si>
    <t>Wertheim, Heiman F. L.; Horby, Peter; Woodall, John P.</t>
  </si>
  <si>
    <t>ABC of Epilepsy</t>
  </si>
  <si>
    <t>Smithson, W. Henry; Walker, Matthew C.</t>
  </si>
  <si>
    <t>Fat, Fate, and Disease : Why We Are Losing the War Against Obesity and Chronic Disease</t>
  </si>
  <si>
    <t>Forensic Neuropsychology : A Scientific Approach</t>
  </si>
  <si>
    <t>Larrabee, Glenn J.</t>
  </si>
  <si>
    <t>Operative Hysteroscopy : A Practical Guide</t>
  </si>
  <si>
    <t>Römer, Thomas</t>
  </si>
  <si>
    <t>Endoscopic Mitral Valve Surgery : Handbook of Minimal-invasive Cardiac Surgery</t>
  </si>
  <si>
    <t>Krakor, Ralf</t>
  </si>
  <si>
    <t>Assisted Reproduction Techniques : Challenges and Management Options</t>
  </si>
  <si>
    <t>Sharif, Khaldoun; Coomarasamy, Arri</t>
  </si>
  <si>
    <t>Beside the Troubled Waters : A Black Doctor Remembers Life, Medicine, and Civil Rights in an Alabama Town</t>
  </si>
  <si>
    <t>Hereford, Sonnie Wellington, III; Ellis, Jack D.</t>
  </si>
  <si>
    <t>Enemy in the Blood : Malaria, Environment, and Development in Argentina</t>
  </si>
  <si>
    <t>Carter, Eric D.</t>
  </si>
  <si>
    <t>Unicompartmental Arthroplasty with the Oxford Knee</t>
  </si>
  <si>
    <t>Goodfellow Publishers Ltd</t>
  </si>
  <si>
    <t>Goodfellow, John; O'Connor, John; Dodd, Christopher; Murray, David</t>
  </si>
  <si>
    <t>Coping with Blast-Related Traumatic Brain Injury in Returning Troops : Wounds of War III</t>
  </si>
  <si>
    <t>Wiederhold, B.K.</t>
  </si>
  <si>
    <t>Patient Safety and Hospital Accreditation : A Model for Ensuring Success</t>
  </si>
  <si>
    <t>Myers, Sharon Ann; Sharon Ann Myers Rn, Cphrm</t>
  </si>
  <si>
    <t>Rural Nurse : Transition to Practice</t>
  </si>
  <si>
    <t>Molinari, Deana; Bushy, Angeline; Deana Molinari Phd, Rn MS; Angeline Bushy Phd, Rn</t>
  </si>
  <si>
    <t>Treatment Planning for Children with Autism Spectrum Disorders : An Individualized, Problem-Solving Approach</t>
  </si>
  <si>
    <t>Chedd, Naomi; Levine, Karen</t>
  </si>
  <si>
    <t>Medical Billing and Coding For Dummies</t>
  </si>
  <si>
    <t>Smiley, Karen; Smiley, Karen</t>
  </si>
  <si>
    <t>Plant Bioactives and Drug Discovery : Principles, Practice, and Perspectives</t>
  </si>
  <si>
    <t>Cechinel-Filho, Valdir; Cechinel-Filho, Valdir</t>
  </si>
  <si>
    <t>Medicine; Science; Science: Botany; Pharmacy</t>
  </si>
  <si>
    <t>Analytical Techniques for Clinical Chemistry : Methods and Applications</t>
  </si>
  <si>
    <t>Caroli, Sergio; Záray, Gyula; Caroli, Sergio; Z?ray, Gyula; Zaray, Gyula</t>
  </si>
  <si>
    <t>Design and Analysis of Experiments in the Health Sciences</t>
  </si>
  <si>
    <t>van Belle, Gerald; Kerr, Kathleen F.</t>
  </si>
  <si>
    <t>Health Assessment : Health Assessment</t>
  </si>
  <si>
    <t>Crouch, Anna T.; Meurier, Clency</t>
  </si>
  <si>
    <t>Why Nobody Believes the Numbers : Distinguishing Fact from Fiction in Population Health Management</t>
  </si>
  <si>
    <t>Lewis, A.; Lewis, Al; Lewis, Al</t>
  </si>
  <si>
    <t>Healthy and Safe Homes : Research, Practice, and Policy</t>
  </si>
  <si>
    <t>APHA Press</t>
  </si>
  <si>
    <t>Morley, Rebecca L.; Mickalide, Angela D.; Mack, Karin A.</t>
  </si>
  <si>
    <t>Chronic Disease Epidemiology and Control</t>
  </si>
  <si>
    <t>Remington, Patrick L.; Brownson, Ross C.; Wegner, Mark V.</t>
  </si>
  <si>
    <t>Case Studies in Public Health Ethics</t>
  </si>
  <si>
    <t>Coughlin, Steven S.</t>
  </si>
  <si>
    <t>Disability and Public Health</t>
  </si>
  <si>
    <t>Drum, Charles E.; Krahn, Gloria L.; Bersani, Hank</t>
  </si>
  <si>
    <t>Ethics in Epidemiology and Public Health Practice : Collected Works</t>
  </si>
  <si>
    <t>Youth Violence : Interventions for Health Care Providers</t>
  </si>
  <si>
    <t>Ketterlinus, Robert D.</t>
  </si>
  <si>
    <t>Environmental Health and Racial Equity in the United States : Building Environmentally Just, Sustainable, and Livable Communities</t>
  </si>
  <si>
    <t>Bullard, Robert D.; Johnson, Glenn S.; Torres, Angel O.</t>
  </si>
  <si>
    <t>Megacities and Global Health</t>
  </si>
  <si>
    <t>Khan, Omar; Pappas, Gregory</t>
  </si>
  <si>
    <t>Gynecologic Cancer</t>
  </si>
  <si>
    <t>Mundt, Arno; Yashar, Catheryn; Mell, Loren; Thomas, Charles R. , Jr.</t>
  </si>
  <si>
    <t>Cancer on Trial : Oncology as a New Style of Practice</t>
  </si>
  <si>
    <t>Keating, Peter; Cambrosio, Alberto</t>
  </si>
  <si>
    <t>Dinner Roles : American Women and Culinary Culture</t>
  </si>
  <si>
    <t>University of Iowa Press</t>
  </si>
  <si>
    <t>Inness, Sherrie A.</t>
  </si>
  <si>
    <t>Educating For Professionalism : Creating A Culture Of Humanism In Medical Education</t>
  </si>
  <si>
    <t>Wear, Delese; Bickel, Janet; Cohen, Jordan J.</t>
  </si>
  <si>
    <t>Shadow Girl : A Memoir Of Attachment</t>
  </si>
  <si>
    <t>Abramson, Deb</t>
  </si>
  <si>
    <t>How Everyday Products Make People Sick : Toxins at Home and in the Workplace</t>
  </si>
  <si>
    <t>Blanc, Paul D.; Blanc, Paul</t>
  </si>
  <si>
    <t>Are We Ready? : Public Health since 9/11</t>
  </si>
  <si>
    <t>Rosner, David; Markowitz, Gerald</t>
  </si>
  <si>
    <t>Partner to the Poor : A Paul Farmer Reader</t>
  </si>
  <si>
    <t>Farmer, Paul; Saussy, Haun; Kidder, Tracy</t>
  </si>
  <si>
    <t>Danger to Self : On the Front Line with an ER Psychiatrist</t>
  </si>
  <si>
    <t>Linde, Paul</t>
  </si>
  <si>
    <t>The Convergence of Science and Governance : Research, Health Policy, and American States</t>
  </si>
  <si>
    <t>Fox, Daniel M.</t>
  </si>
  <si>
    <t>Clinical Cases in Pediatric Dentistry</t>
  </si>
  <si>
    <t>de Fonseca, Marcio A.; Truesdale, Amy L.; Moursi, Amr M.</t>
  </si>
  <si>
    <t>Mineralized Tissues in Oral and Craniofacial Science : Biological Principles and Clinical Correlates</t>
  </si>
  <si>
    <t>McCauley, Laurie K.; Somerman, Martha J.</t>
  </si>
  <si>
    <t>Self-Medication and Violent Behavior</t>
  </si>
  <si>
    <t>LFB Scholarly Publishing LLC</t>
  </si>
  <si>
    <t>Ostrowsky, Michael K</t>
  </si>
  <si>
    <t>Multilingual Aspects of Fluency Disorders</t>
  </si>
  <si>
    <t>Howell, Peter; Van Borsel, John</t>
  </si>
  <si>
    <t>Paediatric Hypertension : (Includes downloadable software)</t>
  </si>
  <si>
    <t>SEEd Srl</t>
  </si>
  <si>
    <t>Giovannozzi, Chiara</t>
  </si>
  <si>
    <t>Drugs and Laboratory Parameters</t>
  </si>
  <si>
    <t>Caputi, Achille Patrizio; Fava, Giuseppina</t>
  </si>
  <si>
    <t>Medicine; Engineering: General; Pharmacy; Engineering</t>
  </si>
  <si>
    <t>Applied Epidemiology and Biostatistics : (Includes downloadable software)</t>
  </si>
  <si>
    <t>La Torre, Giuseppe</t>
  </si>
  <si>
    <t>Social Science; Health; Engineering: General; Engineering</t>
  </si>
  <si>
    <t>Unusual Signs and Symptoms in Internal Medicine</t>
  </si>
  <si>
    <t>Gallo, Vittorio</t>
  </si>
  <si>
    <t>Risk of Disability in Elderly Diabetic Patients</t>
  </si>
  <si>
    <t>Marengo, Claudio; Comoglio, Marco</t>
  </si>
  <si>
    <t>Chemotherapy Regimens in Rare Solid Tumors</t>
  </si>
  <si>
    <t>Comandone, Alessandro</t>
  </si>
  <si>
    <t>Dementia Care with Black and Latino Families : A Social Work Problem-Solving Approach</t>
  </si>
  <si>
    <t>Sanders, Delia González; Fortinsky, Richard; Lcsw, Delia Gonzalez Sanders Phd</t>
  </si>
  <si>
    <t>Science Has No Sex : The Life of Marie Zakrzewska, M.D.</t>
  </si>
  <si>
    <t>Tuchman, Arleen Marcia</t>
  </si>
  <si>
    <t>Pharmacogenomics in Clinical Therapeutics</t>
  </si>
  <si>
    <t>Langman, Loralie J.; Dasgupta, Amitava</t>
  </si>
  <si>
    <t>Communicable Disease Control and Health Protection Handbook</t>
  </si>
  <si>
    <t>Hawker, Jeremy; Begg, Norman; Blair, Iain; Reintjes, Ralf; Weinberg, Julius; Ekdahl, Karl</t>
  </si>
  <si>
    <t>Understanding Multiple Sclerosis</t>
  </si>
  <si>
    <t>Stauffer, Melissa</t>
  </si>
  <si>
    <t>Mad Tales from the Raj : Colonial Psychiatry in South Asia, 1800-58</t>
  </si>
  <si>
    <t>Anthem Press</t>
  </si>
  <si>
    <t>Ernst, Waltraud</t>
  </si>
  <si>
    <t>Principles and Applications of Spatial Hearing</t>
  </si>
  <si>
    <t>Suzuki, Yoiti; Brungart, Douglas; Iida, Kazuhiro</t>
  </si>
  <si>
    <t>Textbook of Laser and Light Dermatology in the Asian Skin</t>
  </si>
  <si>
    <t>Tay, Yong-Kwang; Chan, Yuin-Chew</t>
  </si>
  <si>
    <t>Computational Analysis of the Human Eye with Applications</t>
  </si>
  <si>
    <t>Dua, Sumeet; Acharya U, Rajendra; Ng, Eddie Yin-Kwee</t>
  </si>
  <si>
    <t>Health Hazards of Environmental Arsenic Poisoning : From Epidemic to Pandemic</t>
  </si>
  <si>
    <t>Chen, Chien-Jen; Chiou, Hung-Yi</t>
  </si>
  <si>
    <t>The Complete Guide to Complementary Therapies in Cancer Care : Essential Information for Patients, Survivors and Health Professionals</t>
  </si>
  <si>
    <t>Cassileth, Barrie R</t>
  </si>
  <si>
    <t>Manual of Gynecologic Oncology</t>
  </si>
  <si>
    <t>Chu, Christina S; Rubin, Stephen C</t>
  </si>
  <si>
    <t>A Handbook of Vascular Disease Management</t>
  </si>
  <si>
    <t>Moore, Wesley S.; Jimenez, Juan Carlos</t>
  </si>
  <si>
    <t>Integrative Strategies for Cancer Patients : A Practical Resource for Managing the Side Effects of Cancer Therapy</t>
  </si>
  <si>
    <t>Ladas, Elena J.; Kelly, Kara M.</t>
  </si>
  <si>
    <t>Fiscal Dimension of HIV/AIDS in Botswana, South Africa, Swaziland, and Uganda : Experiences from Botswana, South Africa, Swaziland, and Uganda</t>
  </si>
  <si>
    <t>Lule, Elizabeth; Haacker, Markus; World Bank,</t>
  </si>
  <si>
    <t>Spirituality and Health Research : Methods, Measurements, Statistics, and Resources</t>
  </si>
  <si>
    <t>Koenig, Harold G.</t>
  </si>
  <si>
    <t>Ferenczi and His World : Rekindling the Spirit of the Budapest School</t>
  </si>
  <si>
    <t>Keve, Tom; Szekacs-Weisz, Judit</t>
  </si>
  <si>
    <t>101 Tips to Getting the Residency You Want : A Guide for Medical Students</t>
  </si>
  <si>
    <t>Canady, John</t>
  </si>
  <si>
    <t>Seven Wheelchairs : A Life beyond Polio</t>
  </si>
  <si>
    <t>Presley, Gary</t>
  </si>
  <si>
    <t>The Adventures of Cancer Bitch</t>
  </si>
  <si>
    <t>Wisenberg, S. L.</t>
  </si>
  <si>
    <t>The Orange Wire Problem and Other Tales from the Doctor’s Office</t>
  </si>
  <si>
    <t>Watts, David</t>
  </si>
  <si>
    <t>Microneedle-mediated Transdermal and Intradermal Drug Delivery</t>
  </si>
  <si>
    <t>Donnelly, Ryan F.; Singh, Thakur Raghu Raj; Morrow, Desmond I. J.; Woolfson, A. David</t>
  </si>
  <si>
    <t>Endometriosis : Science and Practice</t>
  </si>
  <si>
    <t>Giudice, Linda C.; Evers, Johannes L. H.; Healy, David L.</t>
  </si>
  <si>
    <t>Management of Chemical and Biological Samples for Screening Applications</t>
  </si>
  <si>
    <t>Wigglesworth, Mark; Wood, Terry</t>
  </si>
  <si>
    <t>Psychosocial Interventions for Genetically Influenced Problems in Childhood and Adolescence</t>
  </si>
  <si>
    <t>Rende, Richard</t>
  </si>
  <si>
    <t>Absorption and Drug Development : Solubility, Permeability, and Charge State</t>
  </si>
  <si>
    <t>Avdeef, Alex</t>
  </si>
  <si>
    <t>Targets and Emerging Therapies for Schizophrenia</t>
  </si>
  <si>
    <t>Albert, Jeffrey S.; Wood, Michael W.</t>
  </si>
  <si>
    <t>Mastering Intensive Short-Term Dynamic Psychotherapy : Roadmap to the Unconscious</t>
  </si>
  <si>
    <t>Neborsky, Robert J.; ten Have-de Labije, Josette</t>
  </si>
  <si>
    <t>Our Bodies Belong to God : Organ Transplants, Islam, and the Struggle for Human Dignity in Egypt</t>
  </si>
  <si>
    <t>Hamdy, Sherine</t>
  </si>
  <si>
    <t>Public Health and Epidemiology at a Glance</t>
  </si>
  <si>
    <t>Somerville, Margaret; Kumaran, K.; Anderson, Rob</t>
  </si>
  <si>
    <t>Initial Management of Acute Medical Patients : A Guide for Nurses and Healthcare Practitioners</t>
  </si>
  <si>
    <t>Wood, Ian; Garner, Michelle; Wood, Professor of Early Medieval History Ian; Garner, Michelle</t>
  </si>
  <si>
    <t>Being a Therapist : A Practitioner's Handbook</t>
  </si>
  <si>
    <t>Klein, Mavis</t>
  </si>
  <si>
    <t>Antimicrobial Chemotherapy</t>
  </si>
  <si>
    <t>Finch, Roger; Davey, Peter; Wilcox, Mark H.</t>
  </si>
  <si>
    <t>Oxford Guide to CBT for People with Cancer</t>
  </si>
  <si>
    <t>Moorey, Stirling; Greer, Steven</t>
  </si>
  <si>
    <t>Oxford Handbook of Clinical Pharmacy</t>
  </si>
  <si>
    <t>Wiffen, Philip; Mitchell, Marc; Snelling, Melanie; Stoner, Nicola</t>
  </si>
  <si>
    <t>Oxford Handbook of Nutrition and Dietetics</t>
  </si>
  <si>
    <t>Webster-Gandy, Joan; Madden, Angela; Holdsworth, Michelle</t>
  </si>
  <si>
    <t>Prenatal Tests and Ultrasound</t>
  </si>
  <si>
    <t>Burton, Elizabeth Crabtree; Luciani, Richard</t>
  </si>
  <si>
    <t>Listening to Pain : A Clinician's Guide to Improving Pain Management Through Better Communication</t>
  </si>
  <si>
    <t>Fishman, Scott M.</t>
  </si>
  <si>
    <t>Borderline Personality Disorder : Borderline Personality Disorder</t>
  </si>
  <si>
    <t>Krawitz, Roy; Jackson, Wendy</t>
  </si>
  <si>
    <t>Essential Tremor : Essential Tremor: the Facts</t>
  </si>
  <si>
    <t>Plumb, Mark; Bain, Peter</t>
  </si>
  <si>
    <t>Living with a Long-Term Illness : Living with a Long-Term Illness</t>
  </si>
  <si>
    <t>Campling, Frankie; Sharpe, Michael</t>
  </si>
  <si>
    <t>Lupus : Lupus</t>
  </si>
  <si>
    <t>Isenberg, David; Manzi, Susan</t>
  </si>
  <si>
    <t>Motor Neuron Disease : Motor Neuron Disease</t>
  </si>
  <si>
    <t>Talbot, Kevin; Marsden, Rachael</t>
  </si>
  <si>
    <t>Perspectives on Complementary and Alternative Medicines</t>
  </si>
  <si>
    <t>Olver, Ian N.; Robotin, Monica</t>
  </si>
  <si>
    <t>Optical Detection of Cancer</t>
  </si>
  <si>
    <t>Meyers, Arlen D.</t>
  </si>
  <si>
    <t>Nursing Leadership : A Concise Encyclopedia, Second Edition</t>
  </si>
  <si>
    <t>Feldman, Harriet R., PhD, RN, FAAN; Greenberg, Martha J., PhD, RN; Jaffe-Ruiz, Marilyn, EdD, RN; McClure, Margaret L., RN, EdD, FAAN; McBride, Angela Barron, PhD, RN, FAAN; Smith, Thomas D., MS, RN, DNP; Alexander, G. Rumay, EdD, RN</t>
  </si>
  <si>
    <t>Evidence-Based Geriatric Nursing Protocols for Best Practice : Fourth Edition</t>
  </si>
  <si>
    <t>Capezuti, Elizabeth, PhD, RN, FAAN; Zwicker, DeAnne, DrNP, APRN, BC; Fulmer, Terry T., PhD, RN, FAAN; Boltz, Marie, PhD, RN</t>
  </si>
  <si>
    <t>Nursing Interventions Through Time : History as Evidence</t>
  </si>
  <si>
    <t>D'Antonio, Patricia; Lewenson, Sandra; Patricia D'Antonio Phd, Rn; Sandra Lewenson Edd, Rn</t>
  </si>
  <si>
    <t>Acceptance and Commitment Therapy for Anxiety Disorders : A Practitioner's Treatment Guide to Using Mindfulness, Acceptance, and Values-Based Behavior Change Strategies</t>
  </si>
  <si>
    <t>Forsyth, John P.; Eifert, Georg H.; Hayes, Steven C.; Hayes, Steven</t>
  </si>
  <si>
    <t>Cognitive Behavior Therapy : Core Principles for Practice</t>
  </si>
  <si>
    <t>O'Donohue, William T.; Fisher, Jane E.</t>
  </si>
  <si>
    <t>Techniques in Complete Denture Technology</t>
  </si>
  <si>
    <t>Wood, Duncan J.; Johnson, Tony</t>
  </si>
  <si>
    <t>Biomedical Imaging : Principles and Applications</t>
  </si>
  <si>
    <t>Salzer, Reiner; Salzer, Reiner</t>
  </si>
  <si>
    <t>Bladder Pathology</t>
  </si>
  <si>
    <t>Cheng, Liang; Lopez-Beltran, Antonio; Bostwick, David G</t>
  </si>
  <si>
    <t>Private Practices : Harry Stack Sullivan, the Science of Homosexuality, and American Liberalism</t>
  </si>
  <si>
    <t>Wake, Naoko</t>
  </si>
  <si>
    <t>Group Exercises for Addiction Counseling</t>
  </si>
  <si>
    <t>Miller, Geri; Miller,</t>
  </si>
  <si>
    <t>Psychiatry and Heart Disease : The Mind, Brain, and Heart</t>
  </si>
  <si>
    <t>Riba, Michelle; Wulsin, Lawson; Rubenfire, Melvyn; Ravindranath, Divy</t>
  </si>
  <si>
    <t>Coffee : Emerging Health Effects and Disease Prevention</t>
  </si>
  <si>
    <t>Chu, Yi-Fang</t>
  </si>
  <si>
    <t>Pediatric Robotic and Reconstructive Urology : A Comprehensive Guide</t>
  </si>
  <si>
    <t>Gundeti, Mohan S.</t>
  </si>
  <si>
    <t>An Alternative History of Hyperactivity : Food Additives and the Feingold Diet</t>
  </si>
  <si>
    <t>Smith, Matthew</t>
  </si>
  <si>
    <t>The Maudsley Prescribing Guidelines in Psychiatry</t>
  </si>
  <si>
    <t>Taylor, David; Paton, Carol; Kapur, Shitij</t>
  </si>
  <si>
    <t>The Total Transference and the Complete Counter-Transference : The Kleinian Psychoanalytic Approach with More Disturbed Patients</t>
  </si>
  <si>
    <t>Collaborative/Therapeutic Assessment : A Casebook and Guide</t>
  </si>
  <si>
    <t>Finn, Stephen E.; Fischer, Constance T.; Handler, Leonard; Finn,</t>
  </si>
  <si>
    <t>Suicide Risk Management : A Manual for Health Professionals</t>
  </si>
  <si>
    <t>Chehil, Sonia; Kutcher, Stanley P.</t>
  </si>
  <si>
    <t>How to Succeed in Psychiatry : A Guide to Training and Practice</t>
  </si>
  <si>
    <t>Fiorillo, Andrea; Calliess, Iris; Sass, Henning</t>
  </si>
  <si>
    <t>Therapeutic Proteins : Strategies to Modulate Their Plasma Half-Lives</t>
  </si>
  <si>
    <t>Kontermann, Roland</t>
  </si>
  <si>
    <t>A Pleasing Birth : Midwives and Maternity Care</t>
  </si>
  <si>
    <t>De Vries, Raymond</t>
  </si>
  <si>
    <t>Patients as Policy Actors : A Century of Changing Markets and Missions</t>
  </si>
  <si>
    <t>Hoffman, Beatrix; Tomes, Nancy; Grob, Rachel; Schlesinger, Mark</t>
  </si>
  <si>
    <t>Patient Citizens, Immigrant Mothers : Mexican Women, Public Prenatal Care, and the Birth Weight Paradox</t>
  </si>
  <si>
    <t>Galvez, Alyshia</t>
  </si>
  <si>
    <t>Testing Baby : The Transformation of Newborn Screening, Parenting, and Policymaking</t>
  </si>
  <si>
    <t>Grob, Rachel</t>
  </si>
  <si>
    <t>Sensory and Consumer Research in Food Product Design and Development</t>
  </si>
  <si>
    <t>Moskowitz, Howard R.; Beckley, Jacqueline H.; Resurreccion, Anna V. A.</t>
  </si>
  <si>
    <t>Nutritional and Therapeutic Interventions for Diabetes and Metabolic Syndrome</t>
  </si>
  <si>
    <t>Bagchi, Debasis; Nair, Sreejayan</t>
  </si>
  <si>
    <t>Neurasthenic Nation : America's Search for Health, Happiness, and Comfort, 1869-1920</t>
  </si>
  <si>
    <t>Schuster, David G.</t>
  </si>
  <si>
    <t>Brain, Mind, and Developmental Psychopathology in Childhood</t>
  </si>
  <si>
    <t>Garralda, Elena; Raynaud, Jean-Philippe; Raynaud, Jean-Philippe</t>
  </si>
  <si>
    <t>Why Calories Count : From Science to Politics</t>
  </si>
  <si>
    <t>Nestle, Marion; Nesheim, Malden</t>
  </si>
  <si>
    <t>Oral Rehabilitation : A Case-Based Approach</t>
  </si>
  <si>
    <t>Klineberg, Iven; Kingston, Diana; Klineberg, Iven; Kingston, Diana</t>
  </si>
  <si>
    <t>Gastrointestinal Bleeding</t>
  </si>
  <si>
    <t>Sung, Joseph; Kuipers, Ernst; Barkun, Alan</t>
  </si>
  <si>
    <t>Multiple Sclerosis : Diagnosis and Therapy</t>
  </si>
  <si>
    <t>Weiner, Howard L.; Stankiewicz, James M.</t>
  </si>
  <si>
    <t>Immunotherapy in Transplantation : Principles and Practice</t>
  </si>
  <si>
    <t>Kaplan, Bruce; Burkhart, Gilbert J.; Lakkis, Fadi G.; Morris, Randall</t>
  </si>
  <si>
    <t>Essentials of Autism Spectrum Disorders Evaluation and Assessment</t>
  </si>
  <si>
    <t>Saulnier, Celine A.; Ventola, Pamela E.; Ventola, Pamela E.</t>
  </si>
  <si>
    <t>Social Determinants of Health among African-American Men</t>
  </si>
  <si>
    <t>Treadwell, Henrie M.; Xanthos, Clare; Holden, Kisha B.</t>
  </si>
  <si>
    <t>Public Health and Social Justice</t>
  </si>
  <si>
    <t>Donohoe, Martin</t>
  </si>
  <si>
    <t>Cancer and Aging Handbook : Research and Practice</t>
  </si>
  <si>
    <t>Bellizzi, Keith M; Gosney, Margot</t>
  </si>
  <si>
    <t>Cancer as a Metabolic Disease : On the Origin, Management, and Prevention of Cancer</t>
  </si>
  <si>
    <t>Seyfried, Thomas</t>
  </si>
  <si>
    <t>Systems Biology for Traditional Chinese Medicine</t>
  </si>
  <si>
    <t>Luo, Guoan; Wang, Yiming; Liang, Qionglin; Liu, Qingfei</t>
  </si>
  <si>
    <t>Integrated Biomaterials in Tissue Engineering</t>
  </si>
  <si>
    <t>Ramalingam, Murugan; Haidar, Ziyad; Ramakrishna, Seeram; Kobayashi, Hisatoshi; Haikel, Youssef</t>
  </si>
  <si>
    <t>Microcirculation Imaging</t>
  </si>
  <si>
    <t>Leahy, Martin J.</t>
  </si>
  <si>
    <t>Issues in Heart Failure Nursing</t>
  </si>
  <si>
    <t>M&amp;K Update Ltd</t>
  </si>
  <si>
    <t>Jones, Chris; Bell, Debbie; Carey, Marj</t>
  </si>
  <si>
    <t>Preoperative Assessment and Perioperative Management</t>
  </si>
  <si>
    <t>Radford, Mark; Evans, Clare; Williamson, Alastair</t>
  </si>
  <si>
    <t>Ward Based Critical Care : A guide for health professionals</t>
  </si>
  <si>
    <t>Smith, Sally A; Challinor, Alistair; Price, Ann M.</t>
  </si>
  <si>
    <t>Arterial Blood Gases : An easy learning guide</t>
  </si>
  <si>
    <t>Foxall, Fiona</t>
  </si>
  <si>
    <t>Nutritional Care and Older Adults</t>
  </si>
  <si>
    <t>Taylor, Amanda</t>
  </si>
  <si>
    <t>Improving Patients Outcomes : A guide for ward managers</t>
  </si>
  <si>
    <t>Wells, Alison</t>
  </si>
  <si>
    <t>Managing Intimacy and Emotions in Advanced Fertility Care : the future of nursing and midwifery roles</t>
  </si>
  <si>
    <t>Allen, Helen</t>
  </si>
  <si>
    <t>Eye Emergencies : A practitioners guide</t>
  </si>
  <si>
    <t>Field, Dorothy; Tillotson, Julie</t>
  </si>
  <si>
    <t>Practical Prescribing for Musculoskeletal Practitioners</t>
  </si>
  <si>
    <t>Dawson, Julie; Hennell, Sheena</t>
  </si>
  <si>
    <t>Nursing; Pharmacy; Medicine</t>
  </si>
  <si>
    <t>Pre-teen and Teenage Pregnancy : A 21st century reality</t>
  </si>
  <si>
    <t>Leishman, June; Moir, James</t>
  </si>
  <si>
    <t>Nurse Facilitated Hospital Discharge</t>
  </si>
  <si>
    <t>Lees, Liz</t>
  </si>
  <si>
    <t>Self Assessment in Limb X-ray Interpretation : Musculoskeletal Trauma Imaging of Appendicular Skeleton</t>
  </si>
  <si>
    <t>Sakthivel Wainford, Karen</t>
  </si>
  <si>
    <t>Self Assessment in Paediatric Musculoskeletal Trauma X-rays</t>
  </si>
  <si>
    <t>Self Assessment in Axial Skeleton Musculoskeletal Trauma X-rays</t>
  </si>
  <si>
    <t>Self Assessment in Musculoskeletal Pathology X-rays</t>
  </si>
  <si>
    <t>Science; Medicine; Science: Physics</t>
  </si>
  <si>
    <t>Clinician's Guide to Chronic Disease Management of Long Term Conditions : A Cognitive Behavioural Approach</t>
  </si>
  <si>
    <t>Lewin, Robert; Furze, Gill; Donnison, Jennifer</t>
  </si>
  <si>
    <t>Identification and Treatment of Alcohol Dependency</t>
  </si>
  <si>
    <t>Martin, Colin</t>
  </si>
  <si>
    <t>Issues in Ophthalmic Practice : Current and future challenges</t>
  </si>
  <si>
    <t>Watkinson, Susan</t>
  </si>
  <si>
    <t>Developing Advanced Assessment Skills : Patients with Long Term Conditions</t>
  </si>
  <si>
    <t>Saxon, Ann; Lillyman, Susan</t>
  </si>
  <si>
    <t>Research Issues in Health &amp; Social Care</t>
  </si>
  <si>
    <t>Cowan, David</t>
  </si>
  <si>
    <t>Perspectives on Death and Dying</t>
  </si>
  <si>
    <t>Management of Pain in Older People</t>
  </si>
  <si>
    <t>Schofield, Pat</t>
  </si>
  <si>
    <t>Primary Care Case Studies</t>
  </si>
  <si>
    <t>Burke, Lydia</t>
  </si>
  <si>
    <t>Nutrition for Children : A no nonsense guide for parents</t>
  </si>
  <si>
    <t>Boobier, Wyndham</t>
  </si>
  <si>
    <t>Spiritual Assessment in Healthcare Practice</t>
  </si>
  <si>
    <t>McSherry, Wilfred; Ross, Linda</t>
  </si>
  <si>
    <t>Management of COPD in Primary and Secondary Care : In Primary and Secondary Care</t>
  </si>
  <si>
    <t>Lynes, David</t>
  </si>
  <si>
    <t>Inter-professional Approaches to Young Fathers</t>
  </si>
  <si>
    <t>Reeves, Jane</t>
  </si>
  <si>
    <t>Nurses and Their Patients : Informing practice through psychodynamic insights</t>
  </si>
  <si>
    <t>de Raeve, Louise; Rafferty, Michael; Paget, Mary</t>
  </si>
  <si>
    <t>Paediatric Minor Emergencies</t>
  </si>
  <si>
    <t>Bethel, James</t>
  </si>
  <si>
    <t>Interpersonal Skills</t>
  </si>
  <si>
    <t>Wright, Bob</t>
  </si>
  <si>
    <t>Business/Management; Psychology</t>
  </si>
  <si>
    <t>Routine Blood Results Explained : A guide for nurses and allied health professionals</t>
  </si>
  <si>
    <t>Blann, Andrew</t>
  </si>
  <si>
    <t>Fat Matters : From sociology to science</t>
  </si>
  <si>
    <t>Tsichlia, Gina; Johnstone, Alex</t>
  </si>
  <si>
    <t>Ophthalmic Study Guide</t>
  </si>
  <si>
    <t>Field, Dorothy; Tillotson, Julie; Macfarlane, Mandy</t>
  </si>
  <si>
    <t>Guide to Research for Podiatrists</t>
  </si>
  <si>
    <t>Campbell, Jackie; Springett, Kate ; Borthwick, Alan</t>
  </si>
  <si>
    <t>Aquatic Exercise for Pregnancy : A resource book for midwives and health and fitness professionals</t>
  </si>
  <si>
    <t>Baines, Susan; Murphy, Susie</t>
  </si>
  <si>
    <t>Loss and Grief</t>
  </si>
  <si>
    <t>Haemodynamic Monitoring &amp; Manipulation : An easy learning guide</t>
  </si>
  <si>
    <t>Deep Vein Thrombosis and Pulmonary Embolism : A guide for practitioners</t>
  </si>
  <si>
    <t>Cardiac Arrhythmia Recognition : An easy learning guide</t>
  </si>
  <si>
    <t>CT Anatomy for Radiotherapy</t>
  </si>
  <si>
    <t>Bridge, Pete; Tipper, David J.</t>
  </si>
  <si>
    <t>Preventing and Reducing Aggression and Violence in Health and Social Care : A holistic approach</t>
  </si>
  <si>
    <t>Ford, Kelvin; Byrt, Richard; Dooher, James</t>
  </si>
  <si>
    <t>Therapy Skills for Healthcare : An introduction to brief psychology techniques</t>
  </si>
  <si>
    <t>Forrest, Caroline</t>
  </si>
  <si>
    <t>ECG Workbook 2/e</t>
  </si>
  <si>
    <t>Sargent, Andrew; Sargent, Andrew</t>
  </si>
  <si>
    <t>Primary Care Guide to Mental Health</t>
  </si>
  <si>
    <t>Hardy, Sheila; Gray, Richard</t>
  </si>
  <si>
    <t>Nursing; Medicine; Health; Social Science</t>
  </si>
  <si>
    <t>Perinatal Mental Health : A clinical guide</t>
  </si>
  <si>
    <t>Martin, Colin R</t>
  </si>
  <si>
    <t>Birth As an American Rite of Passage : Second Edition, With a New Preface</t>
  </si>
  <si>
    <t>Davis-Floyd, Robbie E.; Davis-Floyd, Robbie E.</t>
  </si>
  <si>
    <t>Manic Minds : Mania's Mad History and Its Neuro-Future</t>
  </si>
  <si>
    <t>Hermsen, Lisa; Hermsen, Lisa M.</t>
  </si>
  <si>
    <t>Play Therapy and Asperger's Syndrome : Helping Children and Adolescents Grow, Connect, and Heal through the Art of Play</t>
  </si>
  <si>
    <t>Hull, Kevin B.</t>
  </si>
  <si>
    <t>Healing Intelligence : The Spirit in Psychotherapy - Working with Darkness and Light</t>
  </si>
  <si>
    <t>Mulhern, Alan</t>
  </si>
  <si>
    <t>The Dialogues in and of the Group : Lacanian Perspectives on the Psychoanalytic Group</t>
  </si>
  <si>
    <t>Giraldo, Macario</t>
  </si>
  <si>
    <t>Sleep Paralysis : Night-Mares, Nocebos, and the Mind-Body Connection</t>
  </si>
  <si>
    <t>Adler, Shelley; Adler, Shelley R.</t>
  </si>
  <si>
    <t>Obesity : Cultural and Biocultural Perspectives</t>
  </si>
  <si>
    <t>Brewis, Alexandra; Brewis, Alexandra A.</t>
  </si>
  <si>
    <t>Guidelines for the use of the ILO International Classification of Radiographs of Pneumoconioses (OSH 22) : Recueil de directives pratiques du BIT</t>
  </si>
  <si>
    <t>Ergonomic checkpoints in agriculture : Practical improvements for stress prevention in the workplace</t>
  </si>
  <si>
    <t>International Labour Office; International Ergonomics Association</t>
  </si>
  <si>
    <t>Business of Nurse Management : A Toolkit for Success</t>
  </si>
  <si>
    <t>Bateman, Nancy; Nancy Bateman Rn, Bsn</t>
  </si>
  <si>
    <t>Spirituality in Nursing : The Challenges of Complexity, Third Edition</t>
  </si>
  <si>
    <t>Barnum, Barbara Stevens, PhD</t>
  </si>
  <si>
    <t>Educating Health Professionals in Low-Resource Countries : A Global Approach</t>
  </si>
  <si>
    <t>Murray, Joyce P.; Wenger, Fran; Downes, Elizabeth; Terrezas, Shelly B.</t>
  </si>
  <si>
    <t>The Business of Medical Practice : Transformational Health 2.0 Skills for Doctors, Third Edition</t>
  </si>
  <si>
    <t>Marcinko, David E., MBA, CFP, CMP; Hetico, Hope Rachel, RN, MHA, CMP™; David E Marcinko Mba, Cfp; Marcinko, David E., MBA, CFP, CMP™</t>
  </si>
  <si>
    <t>Dictionary of Nursing Theory and Research : Fourth Edition</t>
  </si>
  <si>
    <t>Powers, Bethel Ann, Dr., RN, PhD; Knapp, Thomas R., Dr., EdD; Dr Bethel Ann Powers Rn, Phd; Edd, Thomas Knapp Dr</t>
  </si>
  <si>
    <t>Nurses' Guide to Teaching Diabetes Self-Management, Second Edition : Second Edition</t>
  </si>
  <si>
    <t>Mertig, Rita Girouard, MS, RNC, CNS, DE; Rita Girouard Mertig MS, De</t>
  </si>
  <si>
    <t>Update on Polymers for Oral Drug Delivery</t>
  </si>
  <si>
    <t>Liu, Fang; McConnell, Emma; Pygall, Samuel</t>
  </si>
  <si>
    <t>Update on Polymers for Ocular Drug Delivery</t>
  </si>
  <si>
    <t>Mundada, Atish S.; Mundada, S Atish</t>
  </si>
  <si>
    <t>Assessment Skills For Paramedics</t>
  </si>
  <si>
    <t>Blaber, Amanda; Harris, Graham</t>
  </si>
  <si>
    <t>Diagnosis-Related Groups In Europe : Moving Towards Transparency, Efficiency And Quality In Hospitals</t>
  </si>
  <si>
    <t>Busse, Reinhard; Geissler, Alexander; Quentin, Wilm</t>
  </si>
  <si>
    <t>Business/Management; Economics; Medicine</t>
  </si>
  <si>
    <t>Introduction To Epidemiology</t>
  </si>
  <si>
    <t>Carneiro, Ilona; Howard, Natasha</t>
  </si>
  <si>
    <t>Paramedics! Test Yourself In Anatomy And Physiology</t>
  </si>
  <si>
    <t>Rogers, Katherine; Scott, William; Warner, Stuart; Willis, Bob</t>
  </si>
  <si>
    <t>Paramedics! Test Yourself In Pathophysiology</t>
  </si>
  <si>
    <t>Handbook Of Transcultural Counselling And Psychotherapy</t>
  </si>
  <si>
    <t>Lago, Colin</t>
  </si>
  <si>
    <t>Diffusion and Value of Healthcare Information Technology</t>
  </si>
  <si>
    <t>Bower, Anthony G.</t>
  </si>
  <si>
    <t>Network Approaches to Diseases of the Brain</t>
  </si>
  <si>
    <t>Bentham Science Publishers</t>
  </si>
  <si>
    <t>Bianchi, Matt T.; Caviness, Verne S.; Cash, Sydney S.</t>
  </si>
  <si>
    <t>Emerging Chagas Disease</t>
  </si>
  <si>
    <t>Teixeira, Antonio; Vinaud, Marina; Castro, Ana Maria</t>
  </si>
  <si>
    <t>Frontiers in Medicinal Chemistry Volume 2</t>
  </si>
  <si>
    <t>Atta-ur-Rahman; Reitz, Allen B.; Choudhary, M. Iqbal</t>
  </si>
  <si>
    <t>Frontiers in Medicinal Chemistry Volume 4</t>
  </si>
  <si>
    <t>Frontiers in Medicinal Chemistry Volume 5</t>
  </si>
  <si>
    <t>Frontiers in Drug Design &amp; Discovery Volume 2</t>
  </si>
  <si>
    <t>Atta-ur-Rahman; Caldwell, Gary W.; Choudhary, M. Iqbal</t>
  </si>
  <si>
    <t>Atlas on the Comparative Anatomy of the Retinae of Vertebrates</t>
  </si>
  <si>
    <t>Yew, David T.; Wai, Maria S. M.; Li, Winnie W. Y.</t>
  </si>
  <si>
    <t>Science; Science: Zoology; Science: Anatomy/Physiology</t>
  </si>
  <si>
    <t>Current Diagnosis of Infant Tuberculosis Infection</t>
  </si>
  <si>
    <t>Antas, Paulo Renato Zuquim; Santos, Dilvani Oliveira; Pinheiro, Roberta Olmo</t>
  </si>
  <si>
    <t>Recent Advances in Biomedical Signal Processing</t>
  </si>
  <si>
    <t>Górriz, Juan Manuel; Lang, Elmar W.; Ramírez, Javier</t>
  </si>
  <si>
    <t>Engineering: Electrical; Engineering; Medicine</t>
  </si>
  <si>
    <t>Angiogenesis &amp; Therapeutic Targets In Cancer</t>
  </si>
  <si>
    <t>Chatterjee, Malay; Rana, Ajay; Rana, Basabi</t>
  </si>
  <si>
    <t>Engineering; Medicine; Engineering: General</t>
  </si>
  <si>
    <t>Cardiac Resynchronization Therapy : An Established Pacing Therapy For Heart Failure And Mechanical Dyssynchrony</t>
  </si>
  <si>
    <t>Stout, Chris E.; Kruger, Matt; Rogers, Jeff</t>
  </si>
  <si>
    <t>Molecular Aspects of Hepatocellular Carcinoma</t>
  </si>
  <si>
    <t>Qiao, Liang; Li, Yumin; Yan, Xiang</t>
  </si>
  <si>
    <t>Emerging Technologies in Womens Health Volume 1 : Robotic Surgery in Gynecology.</t>
  </si>
  <si>
    <t>Tulandi, Tugas; Advincula, Arnold</t>
  </si>
  <si>
    <t>Multiple Myeloma - A New Era of Treatment Strategies</t>
  </si>
  <si>
    <t>Podar, Klaus; Anderson, Kenneth C.</t>
  </si>
  <si>
    <t>Hypercalcemia Pathophysiology &amp; Treatment</t>
  </si>
  <si>
    <t>Lumachi, Franco; Basso, Stefano M.M.</t>
  </si>
  <si>
    <t>Controversies in Neuro-Oncology (Avastin and Malignant Gliomas)</t>
  </si>
  <si>
    <t>Chen, Thomas C; Chamberlain, Marc</t>
  </si>
  <si>
    <t>Frontiers in Anti-infective Drug Discovery Volume 1</t>
  </si>
  <si>
    <t>Atta-ur-Rahman; Choudhary, M. Iqbal</t>
  </si>
  <si>
    <t>Frontiers in Cardiovascular Drug Discovery Volume 1</t>
  </si>
  <si>
    <t>Science: Anatomy/Physiology; Pharmacy; Science; Medicine</t>
  </si>
  <si>
    <t>Anti-Angiogenesis Drug Discovery and Development</t>
  </si>
  <si>
    <t>Frontiers in Drug Design &amp; Discovery Volume 5</t>
  </si>
  <si>
    <t>Prenatal Alcohol Use and Fetal Alcohol Spectrum Disorders : Diagnosis, Assessment and New Directions in Research and Multimodal Treatment</t>
  </si>
  <si>
    <t>Adubato, Susan A.; Cohen, Deborah E.</t>
  </si>
  <si>
    <t>Molecular Basis for the Link between Maternal Health and the Origin of Fetal Congenital Abnormalities : An Overview of Association with Oxidative Stress</t>
  </si>
  <si>
    <t>Matata, Bashir M.; Elahi, Maqsood M.</t>
  </si>
  <si>
    <t>Molecular Aspects of Neurodegeneration and Neuroprotection</t>
  </si>
  <si>
    <t>Farooqui, Akhlaq; Farooqui, Tahira</t>
  </si>
  <si>
    <t>Chemical-Induced Seizures : Mechanisms, Consequences and Treatment</t>
  </si>
  <si>
    <t>Tang, Feng Ru; Loke, Weng Keong</t>
  </si>
  <si>
    <t>Language Disturbances in Adulthood : New Advances from the Neurolinguistics Perspective</t>
  </si>
  <si>
    <t>Radanovic, Marcia; Mansur, Leticia Lessa</t>
  </si>
  <si>
    <t>Sleep &amp; Safety</t>
  </si>
  <si>
    <t>Surani, Salim; Subramanian, Shyamsunder</t>
  </si>
  <si>
    <t>Neutrophils in Infectious Diseases</t>
  </si>
  <si>
    <t>Tacchini-Cottier, Fabienne; van Zandbergen, Ger</t>
  </si>
  <si>
    <t>Solubility, Delivery and ADME Problems of Drugs and Drug-Candidates : Candidates</t>
  </si>
  <si>
    <t>Tihanyi, Karoly; Vastag, Monika</t>
  </si>
  <si>
    <t>Reviews in Pharmaceutical and Biomedical Analysis</t>
  </si>
  <si>
    <t>Tzanavaras, Paraskevas; Zacharis, Constantinos K.</t>
  </si>
  <si>
    <t>Engineering: General; Medicine; Engineering; Pharmacy</t>
  </si>
  <si>
    <t>Theory in the Pathophysiology of Carcinogenesis</t>
  </si>
  <si>
    <t>Agius, Lawrence M</t>
  </si>
  <si>
    <t>Current Perspectives in Clinical Treatment and Management in Workers Compensation Cases</t>
  </si>
  <si>
    <t>Camòs, Ignasi Anguera; Kruger, Matt; Rogers, Jeff</t>
  </si>
  <si>
    <t>Current Technologies to Increase the Transdermal Delivery of Drugs</t>
  </si>
  <si>
    <t>Escobar-Chávez, José Juan</t>
  </si>
  <si>
    <t>Oral Infections and Cardiovascular Disease</t>
  </si>
  <si>
    <t>Håheim, Lise Lund</t>
  </si>
  <si>
    <t>Contemporary Sleep Medicine For Patients</t>
  </si>
  <si>
    <t>Ioachimescu, Octavian C.</t>
  </si>
  <si>
    <t>Contemporary Sleep Medicine For Physicians</t>
  </si>
  <si>
    <t>Physical Activity and Health in the Elderly</t>
  </si>
  <si>
    <t>Lobo, Alexendrina</t>
  </si>
  <si>
    <t>Consent : Practical Principles for Clinicians</t>
  </si>
  <si>
    <t>McILwain, Jeffrey</t>
  </si>
  <si>
    <t>In silico Lead Discovery</t>
  </si>
  <si>
    <t>Miteva, Maria A.</t>
  </si>
  <si>
    <t>Spleen</t>
  </si>
  <si>
    <t>Petroianu, Andy</t>
  </si>
  <si>
    <t>Minimally Invasive Techniques for the Treatment of Patients with Structural Heart Disease</t>
  </si>
  <si>
    <t>Schofield, Peter M.</t>
  </si>
  <si>
    <t>Cellular and Molecular Biology of Autism Spectrum Disorders</t>
  </si>
  <si>
    <t>Strunecka, Anna</t>
  </si>
  <si>
    <t>Glucose Homeostasis and Insulin Resistance</t>
  </si>
  <si>
    <t>Szablewski, Leszek</t>
  </si>
  <si>
    <t>Pathogenic Escherichia coli in Latin America</t>
  </si>
  <si>
    <t>Torres, Alfredo G.</t>
  </si>
  <si>
    <t>Engineering: General; Engineering; Science; Science: Biology/Natural History</t>
  </si>
  <si>
    <t>Chronic Conditions, Fluid States : Chronicity and the Anthropology of Illness</t>
  </si>
  <si>
    <t>Kleinman, Arthur; Hall-Clifford, Rachel; Inhorn, Marcia; Wiedman, Dennis; Good, Byron; Manchira, Carla; Hasanat, Nida; Utami, Muhana; Manderson, Lenore; Smith-Morris, Carolyn</t>
  </si>
  <si>
    <t>Health Issues in Latino Males : A Social and Structural Approach</t>
  </si>
  <si>
    <t>ArTvalo, Sandra; Amaro, Hortensia; Ayala, George; Rumbaut, RubTn; Rodrfguez, Clara; Carter-Pokras, Olivia; Fischer, Alexander; Borrell, Luisa N.; Vega, William; Williams, David</t>
  </si>
  <si>
    <t>Chitosan-Based Systems for Biopharmaceuticals : Delivery, Targeting and Polymer Therapeutics</t>
  </si>
  <si>
    <t>Sarmento, Bruno; das Neves, Jose</t>
  </si>
  <si>
    <t>Neuroimaging in Forensic Psychiatry : From the Clinic to the Courtroom</t>
  </si>
  <si>
    <t>Simpson, Joseph R.; Greely, Henry</t>
  </si>
  <si>
    <t>British Medical Association; British Medical Association,; John Wiley,</t>
  </si>
  <si>
    <t>Analytical Methods for Food and Dairy Powders</t>
  </si>
  <si>
    <t>Schuck, Pierre; Jeantet, Romain; Dolivet, Anne</t>
  </si>
  <si>
    <t>ABC of Urology</t>
  </si>
  <si>
    <t>Dawson, Chris; Nethercliffe, Janine</t>
  </si>
  <si>
    <t>Neuro-Oncology</t>
  </si>
  <si>
    <t>Packer, Roger R.; Schiff, David</t>
  </si>
  <si>
    <t>Orthodontic Treatment of Impacted Teeth</t>
  </si>
  <si>
    <t>Becker, Adrian</t>
  </si>
  <si>
    <t>Adult Orthodontics</t>
  </si>
  <si>
    <t>Melsen, Birte</t>
  </si>
  <si>
    <t>This House of Noble Deeds : The Mount Sinai Hospital, 1852-2002</t>
  </si>
  <si>
    <t>New York University Press</t>
  </si>
  <si>
    <t>Aufses, Arthur H., Jr., Arthur H; Niss, Barbara</t>
  </si>
  <si>
    <t>Plague Ports : The Global Urban Impact of Bubonic Plague, 1894-1901</t>
  </si>
  <si>
    <t>Echenberg, Myron</t>
  </si>
  <si>
    <t>Fat Rights : Dilemmas of Difference and Personhood</t>
  </si>
  <si>
    <t>Kirkland, Anna</t>
  </si>
  <si>
    <t>Healing the Broken Mind : Transforming America's Failed Mental Health System</t>
  </si>
  <si>
    <t>Kelly, Timothy</t>
  </si>
  <si>
    <t>Teaching Tomorrow's Medicine Today : The Mount Sinai School of Medicine, 1963-2003</t>
  </si>
  <si>
    <t>Niss, Barbara J.; Aufses, Jr., Arthur H.</t>
  </si>
  <si>
    <t>African American Folk Healing</t>
  </si>
  <si>
    <t>Mitchem, Stephanie</t>
  </si>
  <si>
    <t>Against Health : How Health Became the New Morality</t>
  </si>
  <si>
    <t>Kirkland, Anna; Metzl, Jonathan</t>
  </si>
  <si>
    <t>Sperm Counts : Overcome by Man's Most Precious Fluid</t>
  </si>
  <si>
    <t>Moore, Lisa Jean</t>
  </si>
  <si>
    <t>Medicating Modern America : Prescription Drugs in History</t>
  </si>
  <si>
    <t>Tone, Andrea; Watkins, Elizabeth Siegel</t>
  </si>
  <si>
    <t>Living Outside Mental Illness : Qualitative Studies of Recovery in Schizophrenia</t>
  </si>
  <si>
    <t>Davidson, Larry</t>
  </si>
  <si>
    <t>On Speed : The Many Lives of Amphetamine</t>
  </si>
  <si>
    <t>Rasmussen, Nicolas</t>
  </si>
  <si>
    <t>Social Science; Health; Medicine; Pharmacy</t>
  </si>
  <si>
    <t>Test Tube Families : Why the Fertility Market Needs Legal Regulation</t>
  </si>
  <si>
    <t>Cahn, Naomi</t>
  </si>
  <si>
    <t>Philosophy; Law</t>
  </si>
  <si>
    <t>Mentoring in Nursing and Healthcare : A Practical Approach</t>
  </si>
  <si>
    <t>Kilgallon, Kate; Thompson, Janet</t>
  </si>
  <si>
    <t>Haematology Nursing</t>
  </si>
  <si>
    <t>Brown, Marvelle; Cutler, Tracey</t>
  </si>
  <si>
    <t>Bifurcation Stenting</t>
  </si>
  <si>
    <t>Waksman, Ron; Ormiston, John A.</t>
  </si>
  <si>
    <t>Black and Blue : The Origins and Consequences of Medical Racism</t>
  </si>
  <si>
    <t>Religion, Families, and Health : Population-Based Research in the United States</t>
  </si>
  <si>
    <t>Alwin, Duane F.; Bartkowski, John; Benjamins, Maureen; Burdette, Amy M.; Eberstein, Isaac W.; Pearce, Lisa; Alwin, Duane; Felson, Jacob; Ellison, Christopher G.; Hummer, Robert A.</t>
  </si>
  <si>
    <t>Religion; Social Science</t>
  </si>
  <si>
    <t>Effective Short-Term Counselling Within the Primary Care Setting : Psychodynamic and Cognitive-Behavioural Therapy Approaches</t>
  </si>
  <si>
    <t>Garrett, Valerie</t>
  </si>
  <si>
    <t>Combating Malnutrition in Ethiopia : An Evidence-Based Approach for Sustained Results</t>
  </si>
  <si>
    <t>Rajkumar, Andrew Sunil; Gaukler, Christopher; Tilahun, Jessica</t>
  </si>
  <si>
    <t>Health Insurance Handbook : How to Make It Work</t>
  </si>
  <si>
    <t>Wang, Hong; Switlick, Kimberly; Ortiz, Christine; Zurita, Beatriz; Connor, Catherine</t>
  </si>
  <si>
    <t>Health Workforce in Ethiopia : Addressing the Remaining Challenges</t>
  </si>
  <si>
    <t>Feysia, Berhanu; Herbst, Christopher; Lemma, Wuleta</t>
  </si>
  <si>
    <t>Making Health Financing Work for Poor People in Tanzania</t>
  </si>
  <si>
    <t>Haazen, Dominic</t>
  </si>
  <si>
    <t>Golden Holocaust : Origins of the Cigarette Catastrophe and the Case for Abolition</t>
  </si>
  <si>
    <t>Proctor, Robert N.</t>
  </si>
  <si>
    <t>Healing the Body Politic : El Salvador's Popular Struggle for Health Rights from Civil War to Neoliberal Peace</t>
  </si>
  <si>
    <t>Smith-Nonini, Sandy; Marshall, Mac</t>
  </si>
  <si>
    <t>Black Dogs and Blue Words : Depression and Gender in the Age of Self-Care</t>
  </si>
  <si>
    <t>Emmons, Kimberly; Emmons, Kimberly K.</t>
  </si>
  <si>
    <t>How Couple Relationships Shape our World : Clinical Practice, Research, and Policy Perspectives</t>
  </si>
  <si>
    <t>Balfour, Andrew; Morgan, Mary; Vincent, Christopher</t>
  </si>
  <si>
    <t>When Abortion Was a Crime : Women, Medicine, and Law in the United States, 1867-1973</t>
  </si>
  <si>
    <t>Reagan, Leslie J.</t>
  </si>
  <si>
    <t>The Fats of Life : Essential Fatty Acids in Health and Disease</t>
  </si>
  <si>
    <t>Lawrence, Glen D.</t>
  </si>
  <si>
    <t>Final Acts : Death, Dying, and the Choices We Make</t>
  </si>
  <si>
    <t>Bingham, June; Barnes, Nancy; Perlstein, Susan; Evans, Sara; Oyster, Carol; Levitan, Jean; Schwartz, Mimi; Pope, Alan Melvill; Maglin, Nan Bauer; Perry, Donna</t>
  </si>
  <si>
    <t>The Artificial Ear : Cochlear Implants and the Culture of Deafness</t>
  </si>
  <si>
    <t>Blume, Stuart S.; Blume, Stuart</t>
  </si>
  <si>
    <t>Diagnosis, Therapy, and Evidence : Conundrums in Modern American Medicine</t>
  </si>
  <si>
    <t>Grob, Gerald N.; Horwitz, Allan V.; Apple, Rima D.; Golden, Janet</t>
  </si>
  <si>
    <t>From Madness to Mental Health : Psychiatric Disorder and Its Treatment in Western Civilization</t>
  </si>
  <si>
    <t>Hornstein, Gail; Hornstein, Gail; Eghigian, Greg</t>
  </si>
  <si>
    <t>AIDS, Intimacy and Care in Rural KwaZulu-Natal : A Kinship of Bones</t>
  </si>
  <si>
    <t>Henderson, Patricia C.</t>
  </si>
  <si>
    <t>The Burdens of Disease : Epidemics and Human Response in Western History</t>
  </si>
  <si>
    <t>Hays, J. N.; Hays, J.</t>
  </si>
  <si>
    <t>Dr. Mary Walker : An American Radical, 1832-1919</t>
  </si>
  <si>
    <t>Harris, Sharon M.; Harris, Sharon</t>
  </si>
  <si>
    <t>Abject Relations : Everyday Worlds of Anorexia, Revised and Expanded Edition</t>
  </si>
  <si>
    <t>Warin, Megan; Warin, Megan</t>
  </si>
  <si>
    <t>Faith in the Future : Healthcare, Aging and the Role of Religion</t>
  </si>
  <si>
    <t>Koenig, Harold; McConnell, Malcolm; Lawson, Douglas</t>
  </si>
  <si>
    <t>TNM Supplement : A Commentary on Uniform Use</t>
  </si>
  <si>
    <t>Wittekind, Christian; Brierley, James D.; Compton, Carolyn; Sobin, Leslie H.</t>
  </si>
  <si>
    <t>Unassisted Childbirth</t>
  </si>
  <si>
    <t>Shanley, Laura Kaplan; Odent, Michel</t>
  </si>
  <si>
    <t>Embodying Culture : Pregnancy in Japan and Israel</t>
  </si>
  <si>
    <t>Ivry, Tsipy; Marshall, Mac</t>
  </si>
  <si>
    <t>Social Science; Science: Anatomy/Physiology; Science</t>
  </si>
  <si>
    <t>Metabolism of Drugs and Other Xenobiotics</t>
  </si>
  <si>
    <t>Anzenbacher, Pavel; Zanger, Ulrich M.</t>
  </si>
  <si>
    <t>Textbook of Clinical Gastroenterology and Hepatology</t>
  </si>
  <si>
    <t>Hawkey, C. J.; Bosch, Jaime; Richter, Joel E.; Garcia-Tsao, Guadalupe; Garcia-Tsao, Guadalupe; Chan, Francis K. L.</t>
  </si>
  <si>
    <t>Surgical Critical Care and Emergency Surgery : Clinical Questions and Answers</t>
  </si>
  <si>
    <t>Moore, Forrest O.; Rhee, Peter M.; Tisherman, Samuel A.; Fulda, Gerard J.</t>
  </si>
  <si>
    <t>Bodies Politic : Disease, Death and Doctors in Britain, 1650-1900</t>
  </si>
  <si>
    <t>Porter, Roy</t>
  </si>
  <si>
    <t>The Morning After : A History of Emergency Contraception in the United States</t>
  </si>
  <si>
    <t>Prescott, Heather Munro</t>
  </si>
  <si>
    <t>American Catholic Hospitals : A Century of Changing Markets and Missions</t>
  </si>
  <si>
    <t>Wall, Barbra; Wall, Barbra Mann</t>
  </si>
  <si>
    <t>Practice under Pressure : Primary Care Physicians and Their Medicine in the Twenty-First Century</t>
  </si>
  <si>
    <t>Hoff, Timothy; Apple, Rima D.; Golden, Janet</t>
  </si>
  <si>
    <t>Pharmacokinetics in Everyday Clinical Practice</t>
  </si>
  <si>
    <t>Federico Pea</t>
  </si>
  <si>
    <t>Science: General; Pharmacy; Medicine</t>
  </si>
  <si>
    <t>Monitoring the Critically Ill Patient</t>
  </si>
  <si>
    <t>Jevon, Philip; Ewens, Beverley</t>
  </si>
  <si>
    <t>Clinical Reasoning in Occupational Therapy : Controversies in Practice</t>
  </si>
  <si>
    <t>Robertson, Linda</t>
  </si>
  <si>
    <t>Evidence-Based Geriatric Medicine</t>
  </si>
  <si>
    <t>Holroyd-Leduc, Jayna; Reddy, Madhuri; Holroyd-Leduc, Jayna</t>
  </si>
  <si>
    <t>Pathy's Principles and Practice of Geriatric Medicine</t>
  </si>
  <si>
    <t>Pathy, John; Morley, John E.; Vellas, Bruno; Sinclair, Alan J.</t>
  </si>
  <si>
    <t>Handbook of Retinal Screening in Diabetes : Diagnosis and Management</t>
  </si>
  <si>
    <t>Taylor, Roy; Batey, Deborah</t>
  </si>
  <si>
    <t>Race, Ethnicity, and Health : A Public Health Reader</t>
  </si>
  <si>
    <t>Isaac, Lydia; LaVeist, Thomas A.; Isaac, Lydia A.; Isaac, Lydia A</t>
  </si>
  <si>
    <t>Masquerading Symptoms : 100 Physical Illnesses That Can Present as Psychological Disorders</t>
  </si>
  <si>
    <t>Crisis Counseling and Traumatic Events Treatment Planner</t>
  </si>
  <si>
    <t>Kolski, Tammi D.; Jongsma, Arthur E.; Myer, Rick A.</t>
  </si>
  <si>
    <t>Forces of Change : New Strategies for the Evolving Health Care Marketplace</t>
  </si>
  <si>
    <t>Shore, David A.</t>
  </si>
  <si>
    <t>Healthcare Business Intelligence : A Guide to Empowering Successful Data Reporting and Analytics</t>
  </si>
  <si>
    <t>Madsen, Laura</t>
  </si>
  <si>
    <t>Cholesterol Regulation of Ion Channels and Receptors</t>
  </si>
  <si>
    <t>Levitan, Irena; Barrantes, Francisco; IUBMB,</t>
  </si>
  <si>
    <t>Biopharmaceutics Modeling and Simulations : Theory, Practice, Methods, and Applications</t>
  </si>
  <si>
    <t>Sugano, Kiyohiko</t>
  </si>
  <si>
    <t>BSL3 and BSL4 Agents : Epidemiology, Microbiology, and Practical Guidelines</t>
  </si>
  <si>
    <t>Elschner, Mandy; Cutler, Sally; Weidmann, Manfred; Butaye, Patrick</t>
  </si>
  <si>
    <t>Pharmaceutical Biotechnology : Drug Discovery and Clinical Applications</t>
  </si>
  <si>
    <t>Kayser, Oliver; Warzecha, Heribert</t>
  </si>
  <si>
    <t>Blueprint for Improving the Promotion and Delivery of Adult Vaccination in the United States</t>
  </si>
  <si>
    <t>Harris, Katherine M.; Uscher-Pines, Lori; Mattke, Soeren</t>
  </si>
  <si>
    <t>Fast Facts: Epilepsy</t>
  </si>
  <si>
    <t>Brodie, Martin J; Schachter, Steven C; Kwan, Patrick</t>
  </si>
  <si>
    <t>Handbook of Ophthalmic Nursing Standards and Procedures</t>
  </si>
  <si>
    <t>Ring, Lynn; Okoro, Miriam</t>
  </si>
  <si>
    <t>My Health, My Faith, My Culture : A guide for healthcare practitioners</t>
  </si>
  <si>
    <t>Timmins, Sue</t>
  </si>
  <si>
    <t>Physiopathogenesis of Hematological Cancer</t>
  </si>
  <si>
    <t>Novak, Estela Maria; Rego, Eduardo Magalhães</t>
  </si>
  <si>
    <t>Role of New Technologies in Medical Microbiological Research and Diagnosis</t>
  </si>
  <si>
    <t>Hays, John P.; van Leeuwen, W.B.</t>
  </si>
  <si>
    <t>Business/Management; Science; Economics; Science: Biology/Natural History</t>
  </si>
  <si>
    <t>Current Advances in the Medical Application of Nanotechnology</t>
  </si>
  <si>
    <t>Slevin, Mark</t>
  </si>
  <si>
    <t>Current Topics on Fetal 3D-4D Ultrasound-optimzed</t>
  </si>
  <si>
    <t>Hata, Toshiyuki; Kurjak, Asim; Kozuma, Shiro</t>
  </si>
  <si>
    <t>Molecular Oncology Principles and Recent Advances</t>
  </si>
  <si>
    <t>Camacho, Javier</t>
  </si>
  <si>
    <t>Body Contouring Following Bariatric Surgery and Massive Weight Loss</t>
  </si>
  <si>
    <t>Atiyeh, Bishara; Castagliola, Mchel</t>
  </si>
  <si>
    <t>Awake Thoracic Surgery</t>
  </si>
  <si>
    <t>Pompeo, Eugenio</t>
  </si>
  <si>
    <t>Preventive Female Sex Factors against the Development of Chronic Liver Disease</t>
  </si>
  <si>
    <t>Shimizu, Ichiro</t>
  </si>
  <si>
    <t>Nephrology and Clinical Chemistry : The Essential Link</t>
  </si>
  <si>
    <t>Delanaye, Pierre</t>
  </si>
  <si>
    <t>Multidrug Resistance A Global Concern</t>
  </si>
  <si>
    <t>Khan, Asad Ullah; Zarrilli, Raffaele</t>
  </si>
  <si>
    <t>Restorative Care Nursing for Older Adults : A Guide For All Care Settings, Second Edition</t>
  </si>
  <si>
    <t>Galik, Elizabeth, PhD, CRNP; Pretzer-Aboff, Ingrid, PhD, RN; Resnick, Barbara, PhD, CRNP, FGSA, FAANP, FAAN; Boltz, Marie, PhD, RN, GNP-BC, FGSA, FAAN</t>
  </si>
  <si>
    <t>Compact Clinical Guide to Geriatric Pain Management : An Evidence-Based Approach for Nurses</t>
  </si>
  <si>
    <t>Quinlan-Colwell, Ann; D'Arcy, Yvonne; Ann Quinlan-Colwell Phd, Faapm; Yvonne D'Arcy MS, Cns</t>
  </si>
  <si>
    <t>Diabetes Chronic Complications</t>
  </si>
  <si>
    <t>Shaw, Kenneth M.; Cummings, Michael H.</t>
  </si>
  <si>
    <t>Tuberculosis</t>
  </si>
  <si>
    <t>Dyer, Carol</t>
  </si>
  <si>
    <t>Case-Based Neurology</t>
  </si>
  <si>
    <t>Singh, Anuradha, MD</t>
  </si>
  <si>
    <t>Emergency Management in Neurocritical Care</t>
  </si>
  <si>
    <t>Manno, Edward</t>
  </si>
  <si>
    <t>Replacing Animal Models : A Practical Guide to Creating and Using Culture-based Biomimetic Alternatives</t>
  </si>
  <si>
    <t>Davies, Jamie</t>
  </si>
  <si>
    <t>Pills, Power, and Policy : The Struggle for Drug Reform in Cold War America and Its Consequences</t>
  </si>
  <si>
    <t>Tobbell, Dominique A.; Tobbell, Dominique</t>
  </si>
  <si>
    <t>Economics; Pharmacy; Business/Management; Medicine</t>
  </si>
  <si>
    <t>Hippocrates, on the Art of Medicine : On the Art of Medicine</t>
  </si>
  <si>
    <t>Mann, Joel E.</t>
  </si>
  <si>
    <t>Catheters, Slurs, and Pickup Lines : Professional Intimacy in Hospital Nursing</t>
  </si>
  <si>
    <t>Ruchti, Lisa C.</t>
  </si>
  <si>
    <t>Governing How We Care : Contesting Community and Defining Difference in U. S. Public Health Programs</t>
  </si>
  <si>
    <t>Shaw, Susan J.</t>
  </si>
  <si>
    <t>Attachment Therapy with Adolescents and Adults : Theory and Practice Post Bowlby</t>
  </si>
  <si>
    <t>Heard, Dorothy; Lake, Brian; McCluskey, Una</t>
  </si>
  <si>
    <t>Clinical Case Formulations : Matching the Integrative Treatment Plan to the Client</t>
  </si>
  <si>
    <t>Ingram, Barbara Lichner; Ingram,</t>
  </si>
  <si>
    <t>Fundamentals of Crisis Counseling</t>
  </si>
  <si>
    <t>Miller, Geri; Miller, Geri</t>
  </si>
  <si>
    <t>Handbook of Clinical Psychopharmacology for Psychologists</t>
  </si>
  <si>
    <t>Musé, Mark; Moore, Bret A.; Moore, Adjunct Associate Professor in Psychiatry Bret A</t>
  </si>
  <si>
    <t>Psychiatry of Intellectual Disability : A Practical Manual</t>
  </si>
  <si>
    <t>Gentile, Julie P.; Gillig, Paulette Marie</t>
  </si>
  <si>
    <t>Clinical Child Psychiatry</t>
  </si>
  <si>
    <t>Klykylo, William M.; Kay , Jerald</t>
  </si>
  <si>
    <t>Freud's "On Narcissism : An Introduction"</t>
  </si>
  <si>
    <t>Fonagy, Peter; Person, Ethel Spector; Sandler, Joseph</t>
  </si>
  <si>
    <t>North Carolina and the Problem of AIDS : Advocacy, Politics, and Race in the South</t>
  </si>
  <si>
    <t>Inrig, Stephen J.</t>
  </si>
  <si>
    <t>Evidence Synthesis for Decision Making in Healthcare</t>
  </si>
  <si>
    <t>Welton, Nicky J.; Sutton, Alexander J.; Cooper, Nicola; Cooper, Nicola J.; Welton, Nicky J.</t>
  </si>
  <si>
    <t>Politics of Occupation-Centred Practice : Reflections on Occupational Engagement Across Cultures</t>
  </si>
  <si>
    <t>Pollard, Nick; Sakellariou, Dikaios</t>
  </si>
  <si>
    <t>The Story Behind the Dish : Fifty Classic American Foods</t>
  </si>
  <si>
    <t>McWilliams, Mark</t>
  </si>
  <si>
    <t>Biomedical Sciences : Essential Laboratory Medicine</t>
  </si>
  <si>
    <t>Butler, Stephen; Iles, Raymond; Docherty, Suzanne</t>
  </si>
  <si>
    <t>Contemporary Developments in Adult and Young Adult Therapy : The Work of the Tavistock and Portman Clinics</t>
  </si>
  <si>
    <t>Psychobiological Approaches for Anxiety Disorders : Treatment Combination Strategies</t>
  </si>
  <si>
    <t>Hofmann, Stefan G.</t>
  </si>
  <si>
    <t>American Cancer Society's Guide to Pain Control : Understanding and Managing Cancer Pain</t>
  </si>
  <si>
    <t>American Cancer Society</t>
  </si>
  <si>
    <t>Handbook of Pain Management</t>
  </si>
  <si>
    <t>Springer Healthcare Ltd.</t>
  </si>
  <si>
    <t>Serpell, Michael</t>
  </si>
  <si>
    <t>The New Healers : The Promise and Problems of Molecular Medicine in the Twenty-First Century</t>
  </si>
  <si>
    <t>A Woman's Disease the History of Cervical Cancer : The history of cervical cancer</t>
  </si>
  <si>
    <t>Lowy, Ilana</t>
  </si>
  <si>
    <t>Pharmaceutical Economics and Policy</t>
  </si>
  <si>
    <t>Schweitzer, Stuart O.</t>
  </si>
  <si>
    <t>Ecological Perspective on Health Promotion : Systems, Settings and Social Processes</t>
  </si>
  <si>
    <t>Samdal, Oddrun; Samdal, Oddrun</t>
  </si>
  <si>
    <t>Social Science; Engineering: General; Engineering; Health</t>
  </si>
  <si>
    <t>Veterinary PCR Diagnostics</t>
  </si>
  <si>
    <t>Wang, Chengming; Kaltenboeck, Bernhard</t>
  </si>
  <si>
    <t>Medicine; Agriculture</t>
  </si>
  <si>
    <t>Epidemics in Context : Greek Commentaries on Hippocrates in the Arabic Tradition</t>
  </si>
  <si>
    <t>Pormann, Peter E.</t>
  </si>
  <si>
    <t>Adolescent Medicine - Pharmacotherapeutics in General, Mental and Sexual Health : Pharmacotherapeutics in General, Mental and Sexual Health</t>
  </si>
  <si>
    <t>Calles, Joseph L.; Hawver, Elizabeth K.; Huff, Marlene B.; Kaplan, Gabriel; Lentzsch-Parcells, Carolyn M.; Greydanus, Donald E.; Patel, Dilip R.; Omar, Hatim A.; Feucht, Cynthia; Merrick, Joav</t>
  </si>
  <si>
    <t>Adolescent Medicine - Pharmacotherapeutics in Medical Disorders : Pharmacotherapeutics in Medical Disorders</t>
  </si>
  <si>
    <t>Atay, Orhan K.; Chadehumbe, Madeline A.; Chonat, Satheesh; Feinberg, Arthur N.; Gera, Renuka; Greydanus, Donald E.; Patel, Dilip R.; Omar, Hatim A.; Feucht, Cynthia; Merrick, Joav</t>
  </si>
  <si>
    <t>Sexually Transmitted Diseases</t>
  </si>
  <si>
    <t>Beigi, Richard H.</t>
  </si>
  <si>
    <t>Inflammatory Diseases of Blood Vessels</t>
  </si>
  <si>
    <t>Hoffman, Gary S.; Weyand, Cornelia M.; Langford, Carol A.; Goronzy, Jorg J.</t>
  </si>
  <si>
    <t>Clinical Neuropsychology : A Practical Guide to Assessment and Management for Clinicians</t>
  </si>
  <si>
    <t>Goldstein, Laura H.; McNeil, Jane E.</t>
  </si>
  <si>
    <t>Multicultural Handbook of Food, Nutrition and Dietetics</t>
  </si>
  <si>
    <t>Thaker, Aruna; Barton, Arlene</t>
  </si>
  <si>
    <t>Plasmonic Biosensors : An Integrated View of Refractometric Detection</t>
  </si>
  <si>
    <t>Dahlin, A.B.</t>
  </si>
  <si>
    <t>Essential Lessons for the Success of Telehomecare</t>
  </si>
  <si>
    <t>Glascock, A.P.; Kutzik, D.M.</t>
  </si>
  <si>
    <t>Translational Pathology of Early Cancer</t>
  </si>
  <si>
    <t>Srivastava, S.; Grizzle, W.E.</t>
  </si>
  <si>
    <t>Gestalt Therapy for Addictive and Self-Medicating Behaviors</t>
  </si>
  <si>
    <t>Brownell, Philip; Brownell, Dr Philip; Dr Philip Brownell M DIV, Psy D; Philip Brownell M DIV, Psy D</t>
  </si>
  <si>
    <t>Environmental Health and Science Desk Reference</t>
  </si>
  <si>
    <t>Spellman, Frank R.; Bieber, Revonna M.</t>
  </si>
  <si>
    <t>Cultivating Health : Los Angeles Women and Public Health Reform</t>
  </si>
  <si>
    <t>Koslow, Jennifer Lisa; Koslow, Jennifer; Golden, Janet</t>
  </si>
  <si>
    <t>Cognitive-Behavioural Therapy for ADHD in Adolescents and Adults : A Psychological Guide to Practice</t>
  </si>
  <si>
    <t>Young, Susan; Bramham, Jessica</t>
  </si>
  <si>
    <t>From Pink to Green : Disease Prevention and the Environmental Breast Cancer Movement</t>
  </si>
  <si>
    <t>Ley, Barbara; Ley, Barbara L.; Golden, Janet</t>
  </si>
  <si>
    <t>Therapist and Client : A Relational Approach to Psychotherapy</t>
  </si>
  <si>
    <t>Nolan, Patrick</t>
  </si>
  <si>
    <t>Steroid Dimers : Chemistry and Applications in Drug Design and Delivery</t>
  </si>
  <si>
    <t>Sarker, Satyajit; Nahar, Lutfun</t>
  </si>
  <si>
    <t>Science: Biology/Natural History; Science: Chemistry; Science</t>
  </si>
  <si>
    <t>Integrating Gerontological Content Into Advanced Practice Nursing Education</t>
  </si>
  <si>
    <t>Auerhahn, Carolyn; Kennedy-Malone, Laurie; Carolyn Auerhahn Edd, Faanp; Dr Laurie Kennedy-Malone Phd, Faanp</t>
  </si>
  <si>
    <t>Pediatric Psychodermatology : A Clinical Manual of Child and Adolescent Psychocutaneous Disorders</t>
  </si>
  <si>
    <t>Barrett, Meagan; Calles, Joseph L., Jr.; Feinberg, Arthur N.; Freudenmann, Roland W.; Baselga, Eulalia; Tareen, Ruqiya Shama; Greydanus, Donald E.; Jafferany, Mohammad; Patel, Dilip R.; Merrick, Joav</t>
  </si>
  <si>
    <t>Practical Obstetrics</t>
  </si>
  <si>
    <t>Dudenhausen, Joachim W.; Obladen, Michael; Grab, Dieter; Travis, Susan E.</t>
  </si>
  <si>
    <t>Extracorporeal Photopheresis : Cellular Photoimmunotherapy</t>
  </si>
  <si>
    <t>Greinix, Hildegard T.; Knobler, Robert</t>
  </si>
  <si>
    <t>Hemolysis : An Unresolved Dispute in Laboratory Medicine</t>
  </si>
  <si>
    <t>Lippi, Giuseppe; Cervellin, Gianfranco; Favaloro, Emmanuel J.; Plebani, Mario</t>
  </si>
  <si>
    <t>Medical Malpractice and Compensation in a Global Perspective</t>
  </si>
  <si>
    <t>Oliphant, Ken; Wright, Richard W.</t>
  </si>
  <si>
    <t>Acquisition Reversal : The Effects of Postlingual Deafness in Yoruba</t>
  </si>
  <si>
    <t>Orie, Olanike Ola; Jordens, Peter</t>
  </si>
  <si>
    <t>Hepatobiliary Transport in Health and Disease</t>
  </si>
  <si>
    <t>Häussinger, Dieter; Keitel, Verena; Kubitz, Ralf</t>
  </si>
  <si>
    <t>Placental Adhesive Disorders</t>
  </si>
  <si>
    <t>Jaraquemada, José Miguel Palacios</t>
  </si>
  <si>
    <t>Autoimmune Diagnostics</t>
  </si>
  <si>
    <t>Renz, Harald</t>
  </si>
  <si>
    <t>Endogenous Interferences in Clinical Laboratory Tests : Icteric, Lipemic and Turbid Samples</t>
  </si>
  <si>
    <t>Kroll, Martin H.; McCudden, Christopher R.</t>
  </si>
  <si>
    <t>Malpractice in Surgery : Safety Culture and Quality Management in the Hospital</t>
  </si>
  <si>
    <t>Imhof, Michael; Blondel, Constantijn</t>
  </si>
  <si>
    <t>Laboratory Diagnostics : IFCC Worldlab - Euromedlab Proceedings</t>
  </si>
  <si>
    <t>Renz, Harald; Tauber, Rudolf</t>
  </si>
  <si>
    <t>Psychological Report Writing Assistant</t>
  </si>
  <si>
    <t>Groth-Marnat, Gary; Davis, Ari</t>
  </si>
  <si>
    <t>Foundations of Health Care Management : Principles and Methods</t>
  </si>
  <si>
    <t>Healey, Bernard J.; Marchese, Marc C.; Kuehn, Kermit W.</t>
  </si>
  <si>
    <t>Rural Populations and Health : Determinants, Disparities, and Solutions</t>
  </si>
  <si>
    <t>Crosby, Richard A.; Vanderpool, Robin C.; Wendel, Monica L.; Casey, Baretta R.</t>
  </si>
  <si>
    <t>The Inner Life of the Counselor</t>
  </si>
  <si>
    <t>Case Studies in Palliative and End-Of-Life Care</t>
  </si>
  <si>
    <t>Campbell, Margaret L.</t>
  </si>
  <si>
    <t>Chemical Biology : Approaches to Drug Discovery and Development to Targeting Disease</t>
  </si>
  <si>
    <t>Civjan, Natanya</t>
  </si>
  <si>
    <t>Resolving Erroneous Reports in Toxicology and Therapeutic Drug Monitoring : A Comprehensive Guide</t>
  </si>
  <si>
    <t>Comparative Pathophysiology and Toxicology of Cyclooxygenases</t>
  </si>
  <si>
    <t>Radi, Zaher A.</t>
  </si>
  <si>
    <t>Cardiovascular Health</t>
  </si>
  <si>
    <t>Carers : Ageing and Disability</t>
  </si>
  <si>
    <t>Social Science; Nursing</t>
  </si>
  <si>
    <t>Fast Food</t>
  </si>
  <si>
    <t>The Praeger Handbook of Environmental Health/Edited by Robert H. Friis</t>
  </si>
  <si>
    <t>Friis, Robert H.</t>
  </si>
  <si>
    <t>Medical Tourism : A Reference Handbook</t>
  </si>
  <si>
    <t>Stolley, Kathy S.; Watson, Stephanie</t>
  </si>
  <si>
    <t>Organic Bionics</t>
  </si>
  <si>
    <t>Wallace, Gordon G.; Moulton, Simon; Kapsa, Robert M.I.; Kapsa, Robert M. I.; Higgins, Michael</t>
  </si>
  <si>
    <t>Engineering: General; Science; Engineering</t>
  </si>
  <si>
    <t>Handbook of Pediatric Hematology and Oncology : Children's Hospital and Research Center Oakland</t>
  </si>
  <si>
    <t>Hastings, Caroline A.; Torkildson, Joseph C.; Agrawal, Anurag K.</t>
  </si>
  <si>
    <t>Clinical Electrocardiography : A Textbook</t>
  </si>
  <si>
    <t>de Luna, Antoni Bayés; Bayes de Luna, Antonio</t>
  </si>
  <si>
    <t>On Being and Having a Case Manager : A Relational Approach to Recovery in Mental Health</t>
  </si>
  <si>
    <t>Columbia University Press</t>
  </si>
  <si>
    <t>Longhofer, Jeffrey; Kubek, Paul; Floersch, Jerry</t>
  </si>
  <si>
    <t>A Revolution in Eating : How the Quest for Food Shaped America</t>
  </si>
  <si>
    <t>McWilliams, James E.</t>
  </si>
  <si>
    <t>ABC of Pain</t>
  </si>
  <si>
    <t>Colvin, Lesley A.; Fallon, Marie</t>
  </si>
  <si>
    <t>Fast Facts: Osteoarthritis</t>
  </si>
  <si>
    <t>Conaghan, Philip; Nelson, Amanda E</t>
  </si>
  <si>
    <t>Teaching Cultural Competence in Nursing and Health Care, Second Edition</t>
  </si>
  <si>
    <t>The Health of Nations : Towards a New Political Economy</t>
  </si>
  <si>
    <t>Mooney, Gavin</t>
  </si>
  <si>
    <t>Nursing Student Retention : Understanding the Process and Making a Difference, Second Edition</t>
  </si>
  <si>
    <t>Jeffreys, Marianne R., EdD, RN; Jeffreys, Marianne R., EdD, RN</t>
  </si>
  <si>
    <t>Handbook of Sport Neuropsychology</t>
  </si>
  <si>
    <t>Webbe, Frank</t>
  </si>
  <si>
    <t>Natural Orifice Translumenal Endoscopic Surgery : Textbook and Video Atlas</t>
  </si>
  <si>
    <t>Kalloo, Anthony N.; Marescaux, Jacques; Zorron, Ricardo</t>
  </si>
  <si>
    <t>Nuts and Bolts Approach to Teaching Nursing : Fourth Edition</t>
  </si>
  <si>
    <t>Novotny, Jeanne M., PhD, RN, FAAN; Quinn Griffin, Mary T., PhD, RN; Jeanne M Novotny Phd, Rn; Mary T Quinn Griffin Phd, Rn</t>
  </si>
  <si>
    <t>Trusting on the Edge : Managing Uncertainty and Vulnerability in the Midst of Serious Mental Health Problems</t>
  </si>
  <si>
    <t>Brown, Patrick; Calnan, Michael</t>
  </si>
  <si>
    <t>Shaping health policy : Case study methods and analysis</t>
  </si>
  <si>
    <t>Exworthy, Mark; Peckham, Stephen; Powell, Matin</t>
  </si>
  <si>
    <t>God's Laboratory : Assisted Reproduction in the Andes</t>
  </si>
  <si>
    <t>Roberts, Elizabeth F. S.</t>
  </si>
  <si>
    <t>Psychotherapy and Spiritual Direction : Two Languages, One Voice?</t>
  </si>
  <si>
    <t>Harborne, Lynette</t>
  </si>
  <si>
    <t>Bion and Being : Passion and the Creative Mind</t>
  </si>
  <si>
    <t>Reiner, Annie</t>
  </si>
  <si>
    <t>On Duty : Power, Politics, and the History of Nursing in New Jersey</t>
  </si>
  <si>
    <t>Ward, Frances</t>
  </si>
  <si>
    <t>The Cure : How Capitalism Can Save American Health Care</t>
  </si>
  <si>
    <t>Encounter Books</t>
  </si>
  <si>
    <t>Gratzer, David</t>
  </si>
  <si>
    <t>Culture of the Fork : A Brief History of Everyday Food and Haute Cuisine in Europe</t>
  </si>
  <si>
    <t>Rebora, Giovanni; Sonnenfeld, Albert</t>
  </si>
  <si>
    <t>Coparticipant Psychoanalysis : Toward a New Theory of Clinical Inquiry</t>
  </si>
  <si>
    <t>Fiscalini, John</t>
  </si>
  <si>
    <t>Living With Dying : A Handbook for End-of-Life Healthcare Practitioners</t>
  </si>
  <si>
    <t>Berzoff, Joan; Silverman, Phyllis</t>
  </si>
  <si>
    <t>Slow Food : The Case for Taste</t>
  </si>
  <si>
    <t>Petrini, Carlo; Waters, Alice; McCuaig, William</t>
  </si>
  <si>
    <t>Transforming the Legacy : Couple Therapy with Survivors of Childhood Trauma</t>
  </si>
  <si>
    <t>Basham, Kathryn Karusaitis; Miehls, Dennis</t>
  </si>
  <si>
    <t>Hyping Health Risks : Environmental Hazards in Daily Life and the Science of Epidemiology</t>
  </si>
  <si>
    <t>Kabat, Geoffrey C.</t>
  </si>
  <si>
    <t>Timely Discharge from Hospital</t>
  </si>
  <si>
    <t>Promoting Health and Wellness in Underserved Communities : Multidisciplinary Perspectives Through Service Learning</t>
  </si>
  <si>
    <t>Stylus Publishing</t>
  </si>
  <si>
    <t>Pelham, Anabel; Sills, Elizabeth; Eisman, Gerald S.; Corrigan, Robert A.</t>
  </si>
  <si>
    <t>A Handbook for the Assessment of Children's Behaviours</t>
  </si>
  <si>
    <t>Hill, Peter; Williams, Jonathan</t>
  </si>
  <si>
    <t>Handbook of Renal and Pancreatic Transplantation</t>
  </si>
  <si>
    <t>MacPhee, Iain; Fronek, Jirí</t>
  </si>
  <si>
    <t>Gallin, John I.; Ognibene, Frederick P.</t>
  </si>
  <si>
    <t>Gestalt Therapy : Roots and Branches - Collected Papers</t>
  </si>
  <si>
    <t>Philippson, Peter</t>
  </si>
  <si>
    <t>Awareness and Wisdom in Addiction Therapy : The In-Depth Systemics Treatment of Mental-somatic Models</t>
  </si>
  <si>
    <t>Pariyatti Publishing</t>
  </si>
  <si>
    <t>Gürtler, Leo; Scholz, Gerhard; Berridge, Kent C</t>
  </si>
  <si>
    <t>Costs, Organization and Management of Hospitals</t>
  </si>
  <si>
    <t>Jagiellonian University Press</t>
  </si>
  <si>
    <t>Stepniewski, Jan; Bugdol, Marek</t>
  </si>
  <si>
    <t>Dietary Prevention of Colorectal Cancer</t>
  </si>
  <si>
    <t>Jedrychowski, Wieslaw; Maugeri, Umberto; Popiela, Tadeusz</t>
  </si>
  <si>
    <t>Difficult Diagnosis in Breast Pathology</t>
  </si>
  <si>
    <t>Palazzo, Juan</t>
  </si>
  <si>
    <t>Dynamic Psychotherapy with Adult Survivors : Living Past Neglect</t>
  </si>
  <si>
    <t>Bennett, Lori</t>
  </si>
  <si>
    <t>Cardiovascular Diseases and Physical Activity</t>
  </si>
  <si>
    <t>Gian Pasquale Ganzit; Luca Stefanini</t>
  </si>
  <si>
    <t>The Student's Guide to Becoming a Nurse</t>
  </si>
  <si>
    <t>Green Techniques for Organic Synthesis and Medicinal Chemistry</t>
  </si>
  <si>
    <t>Zhang, Wei; Cue, Berkeley W.</t>
  </si>
  <si>
    <t>CBT for Anxiety Disorders : A Practitioner Book</t>
  </si>
  <si>
    <t>Simos, Gregoris; Hofmann, Stefan G.</t>
  </si>
  <si>
    <t>Pharmacokinetics and Metabolism in Drug Design</t>
  </si>
  <si>
    <t>Smith, Douglas A.; Allerton, Charlotte; Waterbeemd, Han; Walker, Don K.; Walker, Han; Kalgutkar, Amit S.; Mannhold, Raimund; Kubinyi, Hugo; Folkers, Gerd</t>
  </si>
  <si>
    <t>Bio-Glasses : An Introduction</t>
  </si>
  <si>
    <t>Jones, Julian; Clare, Alexis</t>
  </si>
  <si>
    <t>Introducing Global Health : Practice, Policy, and Solutions</t>
  </si>
  <si>
    <t>Muennig, Peter; Su, Celina</t>
  </si>
  <si>
    <t>Handbook of Psychology, Health Psychology</t>
  </si>
  <si>
    <t>Weiner, Irving B.; Nezu, Arthur M.; Nezu, Christine M.; Weiner, Irving; Geller, Pamela A.</t>
  </si>
  <si>
    <t>Methods for Community-Based Participatory Research for Health</t>
  </si>
  <si>
    <t>Israel, Barbara A.; Eng, Eugenia; Schulz, Amy J.; Parker, Edith A.</t>
  </si>
  <si>
    <t>Cultural Competence in Health Education and Health Promotion</t>
  </si>
  <si>
    <t>Pérez, Miguel A.; Luquis, Raffy R.; PÃ©rez, Miguel A.; Prez, Miguel A.</t>
  </si>
  <si>
    <t>Clinical Trials Handbook : Design and Conduct</t>
  </si>
  <si>
    <t>Meinert, Curtis L.</t>
  </si>
  <si>
    <t>Uremic Toxins</t>
  </si>
  <si>
    <t>Niwa, Toshimitsu; Niwa, Toshimitsu</t>
  </si>
  <si>
    <t>The Sociology of Medical Screening : Critical Perspectives, New Directions</t>
  </si>
  <si>
    <t>Armstrong, Natalie; Eborall, Helen</t>
  </si>
  <si>
    <t>Clinical Cases in Orthodontics</t>
  </si>
  <si>
    <t>Cobourne, Martyn T.; Fleming, Padhraig S.; DiBiase, Andrew T.; Ahmad, Sofia</t>
  </si>
  <si>
    <t>Toxicology and Epigenetics</t>
  </si>
  <si>
    <t>Sahu, Saura C.; Sahu, Dr Saura C</t>
  </si>
  <si>
    <t>Learner`s Dictionary for Student and Professionals : English for European Public Health</t>
  </si>
  <si>
    <t>czabanowska,  katarzyna</t>
  </si>
  <si>
    <t>Statistics by Prescription</t>
  </si>
  <si>
    <t>roterman-konieczna, irena</t>
  </si>
  <si>
    <t>Cardiac Drug Safety : A Bench to Bedside Approach</t>
  </si>
  <si>
    <t>Killeen, Matthew J.; Sabir, Ian N.</t>
  </si>
  <si>
    <t>Cancer Management with Chinese Medicine</t>
  </si>
  <si>
    <t>Hong, Hai; Yu, Rencun; Chandrasekhar, S.</t>
  </si>
  <si>
    <t>Boron and Gadolinium Neutron Capture Therapy for Cancer Treatment</t>
  </si>
  <si>
    <t>Hosmane, Narayan S.; Maguire, John A.; Zhu, Yinghuai</t>
  </si>
  <si>
    <t>Picu Book : A Primer for Medical Students, Residents and Acute Care Practitioners</t>
  </si>
  <si>
    <t>Perkin, Ronald; Fiofdalisi, Irma; Novotny, William</t>
  </si>
  <si>
    <t>Public Health Law and Ethics : A Reader</t>
  </si>
  <si>
    <t>What Makes Learning Fun? : Principles for the Design of Intrinsically Motivating Museum Exhibits</t>
  </si>
  <si>
    <t>Perry, Deborah L.</t>
  </si>
  <si>
    <t>The Obesity Reality : A Comprehensive Approach to a Growing Problem</t>
  </si>
  <si>
    <t>Ali, Naheed,; Ali, M D</t>
  </si>
  <si>
    <t>Hospitals in Iran and India, 1500-1950s : Hospitals in Iran and India, 1500-1950S</t>
  </si>
  <si>
    <t>Speziale, Fabrizio</t>
  </si>
  <si>
    <t>Biopharmaceutical Production Technology</t>
  </si>
  <si>
    <t>Subramanian, Ganapathy</t>
  </si>
  <si>
    <t>Medicine; Engineering; Pharmacy; Engineering: Chemical</t>
  </si>
  <si>
    <t>Practical Guide to Decontamination in Healthcare</t>
  </si>
  <si>
    <t>McDonnell, Gerald; Sheard, Denise</t>
  </si>
  <si>
    <t>Science; Medicine; Health; Science: Biology/Natural History</t>
  </si>
  <si>
    <t>Baran and Dawber's Diseases of the Nails and Their Management</t>
  </si>
  <si>
    <t>Baran, Robert; de Berker, David A. R.; Holzberg, Mark; Thomas, Luc</t>
  </si>
  <si>
    <t>Clinical Psycho-Oncology : An International Perspective</t>
  </si>
  <si>
    <t>Grassi, Luigi; Riba, Michelle</t>
  </si>
  <si>
    <t>Creating Evidence for Better Health Financing Decisions : A Strategic Guide for the Institutionalization of National Health Accounts</t>
  </si>
  <si>
    <t>Maeda, Akiko; Norris Harrit, Margareta; Mabuchi, Shunsuke; Siadat, Banafsheh; Nagpal, Somil</t>
  </si>
  <si>
    <t>Private Voluntary Health Insurance : Consumer Protection and Prudential Regulation</t>
  </si>
  <si>
    <t>Brunner, Greg; Gottret, Pablo; Hansl, Birgit; Kalavakonda, Vijayasekar; Nagpal, Somil; Tapay, Nicole; Brunner, Greg; World Bank,</t>
  </si>
  <si>
    <t>Multilingual Aspects of Speech Sound Disorders in Children</t>
  </si>
  <si>
    <t>MCLEOD, Sharynne; GOLDSTEIN, Brian</t>
  </si>
  <si>
    <t>Health and Care in Ageing Societies : A New International Approach</t>
  </si>
  <si>
    <t>Lloyd, Liz</t>
  </si>
  <si>
    <t>Making It Crazy : An Ethnography of Psychiatric Clients in an American Community</t>
  </si>
  <si>
    <t>Estroff, Sue E.; Lamb, Richard H.</t>
  </si>
  <si>
    <t>The Heart of Power : Health and Politics in the Oval Office</t>
  </si>
  <si>
    <t>Blumenthal, David; Morone, James</t>
  </si>
  <si>
    <t>Dangerous Pregnancies : Mothers, Disabilities, and Abortion in Modern America</t>
  </si>
  <si>
    <t>Priceless : Curing the Healthcare Crisis</t>
  </si>
  <si>
    <t>Independent Institute</t>
  </si>
  <si>
    <t>Goodman, John C.</t>
  </si>
  <si>
    <t>How to Succeed at E-Learning</t>
  </si>
  <si>
    <t>Donnelly, Peter; Benson, Joel; Kirk, Paul</t>
  </si>
  <si>
    <t>Evidence of Absence : A Guide to Cognitive Assessment in Australia</t>
  </si>
  <si>
    <t>Crowe, Simon F.; Bowden, Stephen c.</t>
  </si>
  <si>
    <t>Happy Ever After? : A Practical Guide to Relationship Counselling for Clinical Psychologists</t>
  </si>
  <si>
    <t>Stevens, Bruce; Arnstein, Malise</t>
  </si>
  <si>
    <t>Integrative Assessment in Clinical Psychology</t>
  </si>
  <si>
    <t>Lewis, Andrew J; Gould, Emma; Habib, Cherine</t>
  </si>
  <si>
    <t>The Practice of Clinical Supervision</t>
  </si>
  <si>
    <t>Pelling, Nadine; Barletta, John; Armstrong, Philip</t>
  </si>
  <si>
    <t>Traumatic Aphasia : Its Syndromes, Psychology and Treatment</t>
  </si>
  <si>
    <t>Luria, Alexander R.; Critchley, MacDonald</t>
  </si>
  <si>
    <t>Tissue and Cell Processing : An Essential Guide</t>
  </si>
  <si>
    <t>Fehily, Deirdre; Brubaker, Scott A.; Kearney, John N.; Wolfinbarger, Lloyd, Jr.</t>
  </si>
  <si>
    <t>Antibacterial Agents : Chemistry, Mode of Action, Mechanisms of Resistance and Clinical Applications</t>
  </si>
  <si>
    <t>Anderson, Rosaleen; Groundwater, Paul W.; Todd, Adam; Worsley, Alan</t>
  </si>
  <si>
    <t>The Historical and Philosophical Context of Rational Psychotherapy : The Legacy of Epictetus</t>
  </si>
  <si>
    <t>Dryden, Windy; Still, Arthur</t>
  </si>
  <si>
    <t>Fast Facts : Diabetes Mellitus</t>
  </si>
  <si>
    <t>Scobie, Ian N; Samaras, Katherine</t>
  </si>
  <si>
    <t>Metabolic Syndrome. From Risk Factors to Management : From Risk Factors to Management</t>
  </si>
  <si>
    <t>michael j. blaha; rajesh tota-maharaj</t>
  </si>
  <si>
    <t>Injury Prevention for Children and Adolescents : Research, Practice, and Advocacy</t>
  </si>
  <si>
    <t>DeSafey Liller, Karen</t>
  </si>
  <si>
    <t>School-Based Health Care : Advancing Educational Success and Public Health</t>
  </si>
  <si>
    <t>Wright, Terri D.; Richardson, Jeanita W.</t>
  </si>
  <si>
    <t>Social Science; Education; Health</t>
  </si>
  <si>
    <t>Post-Traumatic Stress Disorder and Chronic Health Conditions</t>
  </si>
  <si>
    <t>Topias and Utopias in Health : Policy Studies</t>
  </si>
  <si>
    <t>Ingman, Stanley R.; Thomas, Anthony E.</t>
  </si>
  <si>
    <t>Prevention and Treatment of Diabetic Late Complications</t>
  </si>
  <si>
    <t>Mogensen, Carl E.; Standl, Eberhard</t>
  </si>
  <si>
    <t>Drug Repositioning : Bringing New Life to Shelved Assets and Existing Drugs</t>
  </si>
  <si>
    <t>Barratt, Michael J.; Frail, Donald E.</t>
  </si>
  <si>
    <t>Obsessive Compulsive Disorder : Current Science and Clinical Practice</t>
  </si>
  <si>
    <t>Zohar, Joseph</t>
  </si>
  <si>
    <t>Vaccinology : Principles and Practice</t>
  </si>
  <si>
    <t>Morrow, W. John W.; Sheikh, Nadeem A.; Schmidt, Clint S.; Davies, D. Huw</t>
  </si>
  <si>
    <t>The Science and Practice of Stuttering Treatment : A Symposium</t>
  </si>
  <si>
    <t>Jelcic Jaksic, Suzana; Onslow, Mark</t>
  </si>
  <si>
    <t>The BRC Global Standard for Food Safety : A Guide to a Successful Audit</t>
  </si>
  <si>
    <t>Kill, Ron</t>
  </si>
  <si>
    <t>Business/Management; Economics; Health</t>
  </si>
  <si>
    <t>The IOC Manual of Sports Injuries : An Illustrated Guide to the Management of Injuries in Physical Activity</t>
  </si>
  <si>
    <t>Engebretsen, Lars; Laprade, Robert; Bahr, Roald; Bolic, Tommy</t>
  </si>
  <si>
    <t>Health Information Technology in the International Context</t>
  </si>
  <si>
    <t>Savage, Grant; Friedman, Leonard H.; Goes, Jim; Menachemi, Nir; Singh, Sanjay</t>
  </si>
  <si>
    <t>Fast Facts for Curriculum Development in Nursing : How to Develop &amp; Evaluate Educational Programs in a Nutshell</t>
  </si>
  <si>
    <t>McCoy, Jan L.; Anema, Marion; Anema, Marion; Jan L McCoy Phd, Rn; Marion Anema Phd, Rn</t>
  </si>
  <si>
    <t>Legal Self-Defense for Mental Health Practitioners : Quality Care and Risk Management Strategies</t>
  </si>
  <si>
    <t>Woody, Robert</t>
  </si>
  <si>
    <t>An Insight into an Insane Asylum</t>
  </si>
  <si>
    <t>Camp, Joseph; Hughes, John S.</t>
  </si>
  <si>
    <t>Ethical Problems in Emergency Medicine : A Discussion-Based Review</t>
  </si>
  <si>
    <t>Rosen, Peter; Adams, James; Grossman, Shamai; Jesus, John; Derse, Arthur R.; Grossman, Shamai A.; Wolfe, Richard</t>
  </si>
  <si>
    <t>Transplantation at a Glance</t>
  </si>
  <si>
    <t>Clatworthy, Menna; Watson, Christopher; Allison, Michael; Dark, John</t>
  </si>
  <si>
    <t>A Practical Guide for the Humanistic Psychotherapist</t>
  </si>
  <si>
    <t>Ginger, Anne; Ginger, Serge; Jacot, Jean-Marc</t>
  </si>
  <si>
    <t>Parasitic Helminths : Targets, Screens, Drugs and Vaccines</t>
  </si>
  <si>
    <t>Selzer, Paul M.; Caffrey, Conor R.</t>
  </si>
  <si>
    <t>Bioisosteres in Medicinal Chemistry</t>
  </si>
  <si>
    <t>Mannhold, Raimund; Kubinyi, Hugo; Folkers, Gerd; Brown, Nathan</t>
  </si>
  <si>
    <t>Cell-Based Biosensors : Principles and Applications</t>
  </si>
  <si>
    <t>Liu, Qingjun; Schutzer, Daniel; Wang, Ping</t>
  </si>
  <si>
    <t>Data Mining Applications Using Ontologies in Biomedicine</t>
  </si>
  <si>
    <t>Popescu, Mihail; Xu, Dong</t>
  </si>
  <si>
    <t>Image-Guided Therapy Systems</t>
  </si>
  <si>
    <t>Vaezy, Shahram; Zderic, Vesna</t>
  </si>
  <si>
    <t>Methods in Bioengineering : 3D Tissue Engineering</t>
  </si>
  <si>
    <t>Berthiaume, Francois; Morgan, Jeffrey</t>
  </si>
  <si>
    <t>Methods in Bioengineering : Alternative Technologies to Animal Testing</t>
  </si>
  <si>
    <t>Maguire, Tim; Novik, Eric</t>
  </si>
  <si>
    <t>Methods in Bioengineering : Microdevices in Biology and Medicine</t>
  </si>
  <si>
    <t>Nahmias, Yaakov; Bhatia, Sangeeta</t>
  </si>
  <si>
    <t>Methods in Bioengineering : Nanoscale Bioengineering and Nanomedicine</t>
  </si>
  <si>
    <t>Rege, Kaushal; Medintz, Igor L.</t>
  </si>
  <si>
    <t>Methods in Bioengineering : Stem Cell Bioengineering</t>
  </si>
  <si>
    <t>Parekkadan, Biju; Yarmush, Martin</t>
  </si>
  <si>
    <t>Nanomedicine Design of Particles, Sensors, Motors, Implants, Robots, and Devices</t>
  </si>
  <si>
    <t>Schulz, Mark J.; Shanov, Vesselin N.</t>
  </si>
  <si>
    <t>Healthy Herbs : Fact Versus Fiction</t>
  </si>
  <si>
    <t>Goldstein, Myrna Chandler; Goldstein, Mark A.</t>
  </si>
  <si>
    <t>ABC of HIV and AIDS</t>
  </si>
  <si>
    <t>Adler, Michael W.; Edwards, Simon G.; Miller, Robert F.; Sethi, Gulshan; Williams, Ian</t>
  </si>
  <si>
    <t>International Handbook of Workplace Trauma Support</t>
  </si>
  <si>
    <t>Hughes, Rick; Kinder, Andrew; Cooper, Cary L.</t>
  </si>
  <si>
    <t>Riffenburgh, Robert H.</t>
  </si>
  <si>
    <t>Basics of Blood Management</t>
  </si>
  <si>
    <t>Seeber, Petra; Shander, Aryeh</t>
  </si>
  <si>
    <t>Depression in Neurologic Disorders : Diagnosis and Management</t>
  </si>
  <si>
    <t>Kanner, Andres</t>
  </si>
  <si>
    <t>Handbook of Autism and Pervasive Developmental Disorders, Diagnosis, Development, and Brain Mechanisms : Diagnosis, Development, and Brain Mechanisms</t>
  </si>
  <si>
    <t>Volkmar, Fred R.; Paul, Rhea; Rogers, Sally J.; Pelphrey, Kevin A.; Rogers, Sally J.; Pelphrey, Kevin A.</t>
  </si>
  <si>
    <t>Foodservice Manual for Health Care Institutions</t>
  </si>
  <si>
    <t>Puckett, Ruby Parker</t>
  </si>
  <si>
    <t>Tourism/Hospitality; Health; Social Science</t>
  </si>
  <si>
    <t>Medical Imaging : Essentials for Physicians</t>
  </si>
  <si>
    <t>Wolbarst, Anthony B.; Capasso, Patrizio; Wyant, Andrew R.</t>
  </si>
  <si>
    <t>Endocrine Disrupters : Hazard Testing and Assessment Methods</t>
  </si>
  <si>
    <t>Matthiessen, Peter</t>
  </si>
  <si>
    <t>Health; Social Science; Medicine; Pharmacy</t>
  </si>
  <si>
    <t>Retrometabolic Drug Design and Targeting</t>
  </si>
  <si>
    <t>Bodor, Nicholas; Buchwald, Peter</t>
  </si>
  <si>
    <t>Atlas of Developmental Field Anomalies of the Human Skeleton : A Paleopathology Perspective</t>
  </si>
  <si>
    <t>Barnes, Ethne</t>
  </si>
  <si>
    <t>Medical Devices : Surgical and Image-Guided Technologies</t>
  </si>
  <si>
    <t>Culjat, Martin; Singh, Rahul; Lee, Hua</t>
  </si>
  <si>
    <t>Handbook of Autism and Pervasive Developmental Disorders, Assessment, Interventions, Policy, the Future : Assessment, Interventions, and Policy</t>
  </si>
  <si>
    <t>Volkmar, Fred R.; Paul, Rhea; Pelphrey, Kevin A.; Rogers, Sally J.</t>
  </si>
  <si>
    <t>Keeping Couples in Treatment : Working from Surface to Depth</t>
  </si>
  <si>
    <t>Bagnini, Carl</t>
  </si>
  <si>
    <t>Experiential Unity Theory and Model : Reclaiming the Soul</t>
  </si>
  <si>
    <t>Quinn, Alyson</t>
  </si>
  <si>
    <t>Large Scale Projects in eHealth</t>
  </si>
  <si>
    <t>Blobel, B.; Engelbrecht, R.; Shifrin, M.A.</t>
  </si>
  <si>
    <t>HealthGrid Applications and Technologies Meet Science Gateways for Life Sciences</t>
  </si>
  <si>
    <t>Gesing, S.; Glatard, T.; Krüger, J.</t>
  </si>
  <si>
    <t>Vibrational Spectroscopy in Diagnosis and Screening</t>
  </si>
  <si>
    <t>Severcan, F.; Haris, P.I.</t>
  </si>
  <si>
    <t>Science: Physics; Medicine; Science</t>
  </si>
  <si>
    <t>pHealth 2012 : Proceedings of the 9th International Conference on Wearable Micro and Nano Technologies for Personalized Health</t>
  </si>
  <si>
    <t>Blobel, B.; Pharow, P.; Sousa, F.</t>
  </si>
  <si>
    <t>Manual of Museum Planning : Sustainable Space, Facilities, and Operations</t>
  </si>
  <si>
    <t>Lord, Barry; Lord, Gail Dexter; Martin, Lindsay</t>
  </si>
  <si>
    <t>The Silent Child : Communication without Words</t>
  </si>
  <si>
    <t>Magagna, Jeanne</t>
  </si>
  <si>
    <t>Haimovici's Vascular Surgery</t>
  </si>
  <si>
    <t>Ascher, Enrico</t>
  </si>
  <si>
    <t>Food and Social Media : You Are What You Tweet</t>
  </si>
  <si>
    <t>Rousseau, Signe</t>
  </si>
  <si>
    <t>Rural Mental Health : Issues, Policies, and Best Practices</t>
  </si>
  <si>
    <t>Smalley, K. Bryant; Warren, Jacob; Rainer, Jackson; D, Jacob Warren Ph</t>
  </si>
  <si>
    <t>Decentralization and Governance in the Ghana Health Sector</t>
  </si>
  <si>
    <t>Couttolenc, Bernard F</t>
  </si>
  <si>
    <t>Rotting Face : Smallpox and the American Indian</t>
  </si>
  <si>
    <t>Caxton Press</t>
  </si>
  <si>
    <t>Robertson, Roland G.</t>
  </si>
  <si>
    <t>Health informatics : Improving patient care</t>
  </si>
  <si>
    <t>British Informatics Society Limited</t>
  </si>
  <si>
    <t>BCS The Chartered Institute for IT</t>
  </si>
  <si>
    <t>Blood, Sweat, and Tears : The Changing Concepts of Physiology from Antiquity into Early Modern Europe</t>
  </si>
  <si>
    <t>Horstmanshoff, Manfred; King, Helen; Zittel, Claus</t>
  </si>
  <si>
    <t>What Will You Do with My Story?</t>
  </si>
  <si>
    <t>Meakins, Elizabeth</t>
  </si>
  <si>
    <t>Biosecurity Interventions : Global Health and Security in Question</t>
  </si>
  <si>
    <t>Andrew; J, Stephen</t>
  </si>
  <si>
    <t>The African American Experience : Psychoanalytic Perspectives</t>
  </si>
  <si>
    <t>Akhtar, Salman; Wright, Jan; Blue, Shawn; Bonovitz, Jennifer,; Campbell, David; Drake, Christin; Hamer, Forrest; Holmes, Dorothy; Leary, Kimberlyn, Ph.D; Akhtar, Salman</t>
  </si>
  <si>
    <t>Kidney for Sale by Owner : Human Organs, Transplantation, and the Market</t>
  </si>
  <si>
    <t>Cherry, Mark J.</t>
  </si>
  <si>
    <t>Family Interventions In Mental Health</t>
  </si>
  <si>
    <t>Withnell, Neil; Murphy, Neil</t>
  </si>
  <si>
    <t>Midwifery Practice : Critical Illness, Complications And Emergencies Case Book</t>
  </si>
  <si>
    <t>Raynor, Maureen; Marshall, Jayne; Jackson, Karen</t>
  </si>
  <si>
    <t>Dietary Treatment of Epilepsy : Practical Implementation of Ketogenic Therapy</t>
  </si>
  <si>
    <t>Neal, Elizabeth; Neal, Elizabeth</t>
  </si>
  <si>
    <t>Baby Boomers and Hearing Loss : A Guide to Prevention and Care</t>
  </si>
  <si>
    <t>History and Health Policy in the United States : Putting the Past Back In</t>
  </si>
  <si>
    <t>Stevens, Rosemary; Rosenberg, Charles E.; Burns, Lawton R.; Stevens, Rosemary A.</t>
  </si>
  <si>
    <t>Listening with Purpose : Entry Points into Shame and Narcissistic Vulnerability</t>
  </si>
  <si>
    <t>Danielian, Jack; Gianotti, Patricia</t>
  </si>
  <si>
    <t>Let Thy Food Be Thy Medicine : Plants and Modern Medicine</t>
  </si>
  <si>
    <t>Hefferon, Kathleen</t>
  </si>
  <si>
    <t>Interprofessional Rehabilitation : A Person-Centred Approach</t>
  </si>
  <si>
    <t>Dean, Sarah G.; Siegert, Richard J.; Taylor, William J.</t>
  </si>
  <si>
    <t>O'Donnell, Kay; Kearsley, Malcolm</t>
  </si>
  <si>
    <t>Theory and Practice of Experiential Dynamic Psychotherapy</t>
  </si>
  <si>
    <t>Osimo, Ferruccio; Stein, Mark J.</t>
  </si>
  <si>
    <t>Hemovigilance : An Effective Tool for Improving Transfusion Safety</t>
  </si>
  <si>
    <t>De Vries, Ren? R. P.; Faber, Jean-Claude; De Vries, Ren? R. P.</t>
  </si>
  <si>
    <t>Oxford Handbook of Children's and Young People's Nursing</t>
  </si>
  <si>
    <t>Glasper, Edward Alan; McEwing, Gillian; Richardson, Jim</t>
  </si>
  <si>
    <t>Oxford Handbook of Gastrointestinal Nursing</t>
  </si>
  <si>
    <t>Norton, Christine; Nunwa, Annmarie; Taylor, Claire</t>
  </si>
  <si>
    <t>Oxford Handbook of Respiratory Nursing</t>
  </si>
  <si>
    <t>Robinson, Terry; Scullion, Jane</t>
  </si>
  <si>
    <t>Oxford Handbook of Clinical Skills in Adult Nursing : Oxford Handbook of Clinical Skills in Adult Nursing</t>
  </si>
  <si>
    <t>Randle, Jacqueline; Coffey, Frank; Bradbury, Martyn</t>
  </si>
  <si>
    <t>Oxford Handbook of Neurology</t>
  </si>
  <si>
    <t>Manji, Hadi; Wills, Adrian; Kitchen, Neil</t>
  </si>
  <si>
    <t>Oxford Handbook of Urology</t>
  </si>
  <si>
    <t>Reynard, John; Brewster, Simon; Biers, Suzanne</t>
  </si>
  <si>
    <t>Oxford Handbook of Rehabilitation Medicine</t>
  </si>
  <si>
    <t>Barnes, Michael; Ward, Anthony</t>
  </si>
  <si>
    <t>Oxford Handbook of Respiratory Medicine</t>
  </si>
  <si>
    <t>Chapman, Stephen; Robinson, Grace; Stradling, John; West, Consultant in Respiratory Medicine Sophie</t>
  </si>
  <si>
    <t>Oxford Handbook of Endocrinology and Diabetes</t>
  </si>
  <si>
    <t>Turner, Helen; Wass, John</t>
  </si>
  <si>
    <t>Oxford Handbook of Pre-Hospital Care : Oxford Handbook of Pre-Hospital Care</t>
  </si>
  <si>
    <t>Greaves, Ian; Porter, Keith</t>
  </si>
  <si>
    <t>Oxford Handbook of Palliative Care : Oxford Handbook of Palliative Care</t>
  </si>
  <si>
    <t>Watson, Max; Lucas, Caroline; Hoy, Andrew; Wells, Jo</t>
  </si>
  <si>
    <t>Oxford Handbook of Public Health Practice</t>
  </si>
  <si>
    <t>Pencheon, David; Guest, Charles; Melzer, David</t>
  </si>
  <si>
    <t>Oxford Handbook of Clinical Haematology</t>
  </si>
  <si>
    <t>Provan, Drew; Singer, Charles R J; Baglin, Trevor</t>
  </si>
  <si>
    <t>Oxford Handbook of Dialysis</t>
  </si>
  <si>
    <t>Levy, Jeremy; Brown, Edwina; Daley, Christine</t>
  </si>
  <si>
    <t>Oxford Handbook of Reproductive Medicine and Family Planning</t>
  </si>
  <si>
    <t>McVeigh, Enda; Homburg, Roy; Guillebaud, John</t>
  </si>
  <si>
    <t>Oxford Handbook of Obstetrics and Gynaecology</t>
  </si>
  <si>
    <t>Collins, Sally; Arulkumaran, Sabaratnam; Hayes, Kevin</t>
  </si>
  <si>
    <t>An Introduction to Clinical Research</t>
  </si>
  <si>
    <t>Page, Piers; Carr, James; Eardley, William; Chadwick, David; Porter, Keith</t>
  </si>
  <si>
    <t>Drugs in Palliative Care</t>
  </si>
  <si>
    <t>Dickman, Andrew</t>
  </si>
  <si>
    <t>Emergencies in Paediatrics and Neonatology</t>
  </si>
  <si>
    <t>Crisp, Stuart; Rainbow, Jo</t>
  </si>
  <si>
    <t>Emergencies in Psychiatry</t>
  </si>
  <si>
    <t>Puri, Basant; Treasaden, Ian</t>
  </si>
  <si>
    <t>Emergencies In : Emergencies in Primary Care</t>
  </si>
  <si>
    <t>Simon, Chantal; O'Reilly, Karen; Proctor, Robin; Buckmaster, John</t>
  </si>
  <si>
    <t>Emergencies in Clinical Medicine</t>
  </si>
  <si>
    <t>Page, Piers; Skinner, Greg</t>
  </si>
  <si>
    <t>Emergencies in Clinical Radiology</t>
  </si>
  <si>
    <t>Graham, Richard; Gallagher, Ferdia</t>
  </si>
  <si>
    <t>Emergencies in Anaesthesia : Emergencies in Anaesthesia</t>
  </si>
  <si>
    <t>Allman, Keith; McIndoe, Andrew; Wilson, Iain</t>
  </si>
  <si>
    <t>Applied Methods of Cost-Benefit Analysis in Health Care</t>
  </si>
  <si>
    <t>Mcintosh, Emma; Clarke, Philip; Frew, Emma; Louviere, Jordan</t>
  </si>
  <si>
    <t>Body-Subjects and Disordered Minds : Treating the 'Whole' Person in Psychiatry</t>
  </si>
  <si>
    <t>Matthews, Eric</t>
  </si>
  <si>
    <t>Difficult Airway Management : Difficult Airway Management</t>
  </si>
  <si>
    <t>Popat, Mansukh</t>
  </si>
  <si>
    <t>Cardioprotection : Cardioprotection</t>
  </si>
  <si>
    <t>Hausenloy, Derek; Yellon, Derek</t>
  </si>
  <si>
    <t>Hypertension</t>
  </si>
  <si>
    <t>Nadar, Sunil; Lip, Gregory</t>
  </si>
  <si>
    <t>Lipid Disorders : Lipid Disorders</t>
  </si>
  <si>
    <t>Nicholls, Paul; Young, Ian</t>
  </si>
  <si>
    <t>Acute Coronary Syndromes : Acute Coronary Syndromes</t>
  </si>
  <si>
    <t>Chronic Heart Failure</t>
  </si>
  <si>
    <t>Kearney, Mark</t>
  </si>
  <si>
    <t>Diabetes Care : A Practical Manual</t>
  </si>
  <si>
    <t>Hillson, Rowan</t>
  </si>
  <si>
    <t>Preventive Cardiology : A practical manual</t>
  </si>
  <si>
    <t>Jennings, Catriona; Mead, Alison; Jones, Jennifer; Holden, Annie ; Connolly, Susan ; Kotseva, Kornelia</t>
  </si>
  <si>
    <t>Headache : A Practical Manual</t>
  </si>
  <si>
    <t>Kernick, David; Goadsby, Peter</t>
  </si>
  <si>
    <t>Dementia Care : A Practical Manual</t>
  </si>
  <si>
    <t>Waite, Jonathan; Harwood, Rowan; Morton, Ian; Connelly, David</t>
  </si>
  <si>
    <t>Oxford Case Histories in Gastroenterology and Hepatology</t>
  </si>
  <si>
    <t>Walsh, Alissa J.; Buchel, Otto C.; Collier, Jane; Travis, Simon P.L.</t>
  </si>
  <si>
    <t>Diabetic Neuropathy</t>
  </si>
  <si>
    <t>Tesfaye, Solomon; Boulton, Andrew</t>
  </si>
  <si>
    <t>Type 1 Diabetes</t>
  </si>
  <si>
    <t>Lévy, David</t>
  </si>
  <si>
    <t>Testosterone Deficiency in Men</t>
  </si>
  <si>
    <t>Jones, Hugh</t>
  </si>
  <si>
    <t>Epilepsy : Epilepsy</t>
  </si>
  <si>
    <t>Shorvon, Simon</t>
  </si>
  <si>
    <t>Restless Legs Syndrome</t>
  </si>
  <si>
    <t>Chaudhuri, K Ray; Ferini-Strambi, Luigi; Rye, David</t>
  </si>
  <si>
    <t>Endocrine Therapies in Breast Cancer</t>
  </si>
  <si>
    <t>Buzdar, Aman U.</t>
  </si>
  <si>
    <t>Vaccines for the Prevention of Cervical Cancer</t>
  </si>
  <si>
    <t>Stern, Peter L.; Kitchener, Henry C.</t>
  </si>
  <si>
    <t>Opioids in Cancer Pain : Opioids in Cancer Pain</t>
  </si>
  <si>
    <t>Forbes, Karen</t>
  </si>
  <si>
    <t>Cancer-Related Bone Pain : Cancer-Related Bone Pain</t>
  </si>
  <si>
    <t>Davies, Andrew</t>
  </si>
  <si>
    <t>Pain in Older People : Pain in Older People</t>
  </si>
  <si>
    <t>Crome, Peter; Main, Chris J.; Lally, Frank</t>
  </si>
  <si>
    <t>Sleep Disorders</t>
  </si>
  <si>
    <t>Wilson, Sue; Nutt, David</t>
  </si>
  <si>
    <t>Suicide Prevention</t>
  </si>
  <si>
    <t>Goldney, Robert D.</t>
  </si>
  <si>
    <t>Chronic Obstructive Pulmonary Disease (COPD)</t>
  </si>
  <si>
    <t>Kon, Onn Min; Hansel, Trevor T.; Barnes, Peter J.</t>
  </si>
  <si>
    <t>Fibromyalgia Syndrome</t>
  </si>
  <si>
    <t>Choy, Ernest</t>
  </si>
  <si>
    <t>Best of Five MCQs for MRCPsych Paper 1</t>
  </si>
  <si>
    <t>Palaniyappan, Lena; Krishnadas, Rajeev</t>
  </si>
  <si>
    <t>Best of Five Mcqs for Mrcpsych</t>
  </si>
  <si>
    <t>Treating Violence : A Guide to Risk Management in Mental Health</t>
  </si>
  <si>
    <t>Maden, Tony</t>
  </si>
  <si>
    <t>Shared decision-making in health care : Achieving evidence-based patient choice</t>
  </si>
  <si>
    <t>Edwards, Adrian; Elwyn, Glyn</t>
  </si>
  <si>
    <t>Care of the Acutely Ill Adult : An essential guide for Nurses</t>
  </si>
  <si>
    <t>Creed, Fiona; Spiers, Christine</t>
  </si>
  <si>
    <t>Visceral Pain : Clinical, Pathophysiological and Therapeutic Aspects</t>
  </si>
  <si>
    <t>Giamberardino, Maria Adele</t>
  </si>
  <si>
    <t>The HIV Pandemic : Local and Global Implications</t>
  </si>
  <si>
    <t>Beck, Eduard J.; Mays, Nicholas; Whiteside, Alan W; Piot, Peter; Zuniga, José M</t>
  </si>
  <si>
    <t>Orofacial Pain</t>
  </si>
  <si>
    <t>Zakrzewska, Joanna M.</t>
  </si>
  <si>
    <t>Maudsley Handbook of Practical Psychiatry</t>
  </si>
  <si>
    <t>Goldberg, David; Murray, Robin</t>
  </si>
  <si>
    <t>Practical Patient Safety</t>
  </si>
  <si>
    <t>Reynard, John; Reynolds, John; Stevenson, Peter</t>
  </si>
  <si>
    <t>Practical Ethics for General Practice</t>
  </si>
  <si>
    <t>Rogers, Wendy A.; Braunack-Mayer, Annette</t>
  </si>
  <si>
    <t>Obesity and Cardiovascular Disease</t>
  </si>
  <si>
    <t>Iacobellis, Gianluca</t>
  </si>
  <si>
    <t>Opioids in Cancer Pain</t>
  </si>
  <si>
    <t>Davis, Mellar P.; Glare, Paul A.; Hardy, Janet; Quigley, Columba</t>
  </si>
  <si>
    <t>Deep Brain Stimulation</t>
  </si>
  <si>
    <t>Bain, Peter; Aziz, Tipu; Liu, Xuguang; Nandi, Dipankar</t>
  </si>
  <si>
    <t>Potassium Channels as a Target for Clinical Therapeutics</t>
  </si>
  <si>
    <t>Kocic, Ivan</t>
  </si>
  <si>
    <t>Science: Botany; Science; Science: Biology/Natural History</t>
  </si>
  <si>
    <t>Free Radical Biomedicine : Principles, Clinical Correlations, and Methodologies</t>
  </si>
  <si>
    <t>Li, Yunbo</t>
  </si>
  <si>
    <t>Science; Science: Chemistry; Medicine</t>
  </si>
  <si>
    <t>Preclinical Atherosclerosis, Global Cardiovascular Risk and Cardiovascular Events</t>
  </si>
  <si>
    <t>Novo, Salvatore</t>
  </si>
  <si>
    <t>Diagnostic Technologies in Ophthalmology</t>
  </si>
  <si>
    <t>Azuara-Blanco, Augusto</t>
  </si>
  <si>
    <t>Antibodies Applications and New Development</t>
  </si>
  <si>
    <t>Meulenberg, Eline P.</t>
  </si>
  <si>
    <t>Nonpharmacological Therapies in the Management of Osteoarthritis</t>
  </si>
  <si>
    <t>Henrotin, Yves</t>
  </si>
  <si>
    <t>Environmental Issues for the Twenty-First Century and their Impact on Human Health</t>
  </si>
  <si>
    <t>Philp, Richard B.</t>
  </si>
  <si>
    <t>Manual of Child Neurology - Problem Based Approach to Common Disorders : Problem Based Approach to Common Disorders</t>
  </si>
  <si>
    <t>Jan, Mohammed M. S.</t>
  </si>
  <si>
    <t>Toll-like Receptors in Diseases of the Lung</t>
  </si>
  <si>
    <t>Greene, Catherine M.</t>
  </si>
  <si>
    <t>Pregnancy Disorders and Perinatal Outcomes</t>
  </si>
  <si>
    <t>Vaillancourt, Cathy; Lafond, Julie</t>
  </si>
  <si>
    <t>The Death of a Disease : A History of the Eradication of Poliomyelitis</t>
  </si>
  <si>
    <t>Seytre, Bernard; Shaffer, Mary; Shaffer, Mary</t>
  </si>
  <si>
    <t>A Woman's Concise Guide to Common Medical Tests</t>
  </si>
  <si>
    <t>Moore, Michele C.; De Costa, Caroline M.</t>
  </si>
  <si>
    <t>Aspects of Multilingual Aphasia</t>
  </si>
  <si>
    <t>Gitterman, Martin R.; Goral, Mira; Obler, Loraine K.</t>
  </si>
  <si>
    <t>Policy Challenges in Modern Health Care</t>
  </si>
  <si>
    <t>Stevens, Rosemary; Daniels, Norman; Frank, Richard; Glied, Sherry; Hemenway, David; Iezzoni, Lisa; Mechanic, David; Rogut, Lynn B; Knickman, James R.; Colby, David</t>
  </si>
  <si>
    <t>Mindfulness for the Next Generation : Helping Emerging Adults Manage Stress and Lead Healthier Lives</t>
  </si>
  <si>
    <t>Rogers, Holly; Maytan, Margaret</t>
  </si>
  <si>
    <t>Weight Management : A Practitioner's Guide</t>
  </si>
  <si>
    <t>Pearson, Dympna; Grace, Clare</t>
  </si>
  <si>
    <t>Statistical Methods in Healthcare</t>
  </si>
  <si>
    <t>Faltin, Frederick; Kenett, Ron; Ruggeri, Fabrizio</t>
  </si>
  <si>
    <t>Prosthodontics at a Glance</t>
  </si>
  <si>
    <t>Ahmad, Irfan</t>
  </si>
  <si>
    <t>Beasts of the Earth : Animals, Humans, and Disease</t>
  </si>
  <si>
    <t>Torrey, E. Fuller; Yolken, Robert H.</t>
  </si>
  <si>
    <t>Birthing Fathers : The Transformation of Men in American Rites of Birth</t>
  </si>
  <si>
    <t>Reed, Richard K.</t>
  </si>
  <si>
    <t>Understanding and Treating Dissociative Identity Disorder (or Multiple Personality Disorder)</t>
  </si>
  <si>
    <t>L. Ringrose, Jo</t>
  </si>
  <si>
    <t>Practical Aspects of ECG Recording</t>
  </si>
  <si>
    <t>Crawford, Jacqui; Doherty, Linda</t>
  </si>
  <si>
    <t>Your Pocket Is What Cures You : The Politics of Health in Senegal</t>
  </si>
  <si>
    <t>Foley, Ellen E.; Marshall, Mac</t>
  </si>
  <si>
    <t>Advocacy Strategies for Health and Mental Health Professionals : From Patients to Policies</t>
  </si>
  <si>
    <t>Lustig, Stuart; Stuart Lustig MD, Mph</t>
  </si>
  <si>
    <t>Healing Presence : The Essence of Nursing, Second Edition</t>
  </si>
  <si>
    <t>Koerner, JoEllen Goertz, RN, PhD, FAAN</t>
  </si>
  <si>
    <t>Medicines as a Service : A New Commercial Model for Big Pharma in the Postblockbuster World</t>
  </si>
  <si>
    <t>Mattke, Soeren; Klautzer, Lisa; Mengistu, Tewodaj</t>
  </si>
  <si>
    <t>Responsible Citizens : Individuals, Health and Policy under Neoliberalism</t>
  </si>
  <si>
    <t>Brown, B. J.; Baker, Sally</t>
  </si>
  <si>
    <t>Food Materials Science and Engineering</t>
  </si>
  <si>
    <t>Bhandari, Bhesh</t>
  </si>
  <si>
    <t>Health; Agriculture</t>
  </si>
  <si>
    <t>Public Health : The Development of a Discipline, Twentieth-Century Challenges</t>
  </si>
  <si>
    <t>Schneider, Dona; Lilienfeld, David; Lilienfeld, David E.</t>
  </si>
  <si>
    <t>Canvas of Change : Analysis Through the Prism of Creativity</t>
  </si>
  <si>
    <t>Kogan, Ilany</t>
  </si>
  <si>
    <t>Community Organizing and Community Building for Health and Welfare</t>
  </si>
  <si>
    <t>Minkler, Meredith</t>
  </si>
  <si>
    <t>Beyond Health, Beyond Choice : Breastfeeding Constraints and Realities</t>
  </si>
  <si>
    <t>Labbok, Miriam H.; Smith, Paige Hall; Hausman, Bernice L.; Labbok, Miriam H.; Hausman, Bernice; Labbok, Miriam</t>
  </si>
  <si>
    <t>Begining Research in Arts Therapy : A Practical Guide</t>
  </si>
  <si>
    <t>Ansdell, Gary; Pavlicevic, Mercedes</t>
  </si>
  <si>
    <t>Jonas' Introduction to the U.S. Health Care System, 7th Edition</t>
  </si>
  <si>
    <t>Goldsteen, Raymond L., DrPH; Goldsteen, Karen, PhD, MPH; Goldsteen, Karen; Drph, Raymond L Goldsteen; Karen Goldsteen Phd, Mph</t>
  </si>
  <si>
    <t>Alzheimer's and Other Dementias</t>
  </si>
  <si>
    <t>Hughes, Julian C.</t>
  </si>
  <si>
    <t>Dementia</t>
  </si>
  <si>
    <t>Sarcopenia</t>
  </si>
  <si>
    <t>Cruz-Jentoft, Alfonso J.; Morley, John E.; Cruz-Jentoft, Alfonso J.</t>
  </si>
  <si>
    <t>Manual of Psychosocial Rehabilitation</t>
  </si>
  <si>
    <t>King, Robert; Lloyd, Chris; Meehan, Tom; Deane, Frank; Kavanagh, David</t>
  </si>
  <si>
    <t>Writing for Publication in Nursing and Healthcare : Getting It Right</t>
  </si>
  <si>
    <t>Watson, Roger; Holland, Karen; Watson, Roger</t>
  </si>
  <si>
    <t>Literature; Nursing</t>
  </si>
  <si>
    <t>Subjects of Analysis</t>
  </si>
  <si>
    <t>Ogden, Thomas</t>
  </si>
  <si>
    <t>The Caregiver's Tale : Loss and Renewal in Memoirs of Family Life</t>
  </si>
  <si>
    <t>Burack-Weiss, Ann</t>
  </si>
  <si>
    <t>ABC of Breast Diseases</t>
  </si>
  <si>
    <t>Dixon, J. Michael; Dixon, J Michael</t>
  </si>
  <si>
    <t>Oxford Handbook of Critical Care : Oxford Handbook of Critical Care</t>
  </si>
  <si>
    <t>Singer, Mervyn; Webb, Andrew</t>
  </si>
  <si>
    <t>Clinical Care Classification (CCC) System Version 2.5, 2nd Edition : User's Guide</t>
  </si>
  <si>
    <t>Saba, Virginia, EdD, RN, FAAN; Virginia Saba Edd, Dscn Rn</t>
  </si>
  <si>
    <t>The Handbook of Office Urological Procedures</t>
  </si>
  <si>
    <t>Hashim, Hashim; Abrams, Paul; Dmochowski, Roger R.</t>
  </si>
  <si>
    <t>Assistive Technology for Visually Impaired and Blind People</t>
  </si>
  <si>
    <t>Keating, David; Hersh, Marion A.; Johnson, Michael A.</t>
  </si>
  <si>
    <t>Handbook of Ambulatory Anesthesia</t>
  </si>
  <si>
    <t>Twersky, Rebecca S.; Philip, Beverly K.</t>
  </si>
  <si>
    <t>First Person Accounts of Mental Illness and Recovery</t>
  </si>
  <si>
    <t>LeCroy, Craig W.; Holschuh, Jane; Holschuh, Jane</t>
  </si>
  <si>
    <t>Child and Adolescent Psychiatry</t>
  </si>
  <si>
    <t>Goodman, Robert; Scott, Stephen</t>
  </si>
  <si>
    <t>Integrated Biomaterials for Biomedical Technology</t>
  </si>
  <si>
    <t>Ramalingam, Murugan; Tiwari, Ashutosh; Ramakrishna, Seeram; Kobayashi, Hisatoshi</t>
  </si>
  <si>
    <t>Oxford Handbook of Geriatric Medicine</t>
  </si>
  <si>
    <t>Bowker, Lesley; Price, James; Smith, Sarah</t>
  </si>
  <si>
    <t>Oxford Handbooks in Nursing : Oxford Handbook of Clinical Skills for Children's and Young People's Nursing</t>
  </si>
  <si>
    <t>Dawson, Paula; Cook, Louise; Holliday, Laura-Jane; Reddy, Helen; Saxelby, Helen</t>
  </si>
  <si>
    <t>Nutrition for Sport and Exercise : A Practical Guide</t>
  </si>
  <si>
    <t>Daries, Hayley</t>
  </si>
  <si>
    <t>Health; Science: Biology/Natural History; Science</t>
  </si>
  <si>
    <t>Psychoanalytic Technique and the Creation of Analytic Patients</t>
  </si>
  <si>
    <t>Rothstein, Arnold</t>
  </si>
  <si>
    <t>Atkinson, Arthur J., Jr.; Huang, Shiew-Mei; Lertora, Juan J. L.; Markey, Sanford P.; Atkinson, Jr Arthur J</t>
  </si>
  <si>
    <t>Applied Topics in Health Psychology</t>
  </si>
  <si>
    <t>Caltabiano, Marie Louise; Ricciardelli, Lina</t>
  </si>
  <si>
    <t>Bioactive Heterocyclic Compound Classes : Pharmaceuticals</t>
  </si>
  <si>
    <t>Lamberth, Clemens; Dinges, Jürgen; Dinges, J?rgen</t>
  </si>
  <si>
    <t>Greek Medicine from Hippocrates to Galen : Selected Papers</t>
  </si>
  <si>
    <t>Jouanna, Jacques</t>
  </si>
  <si>
    <t>Contesting Colonial Authority : Medicine and Indigenous Responses in Nineteenth- and Twentieth-Century India</t>
  </si>
  <si>
    <t>Bala, Poonam; Banerjee, Madhulika; Bastos, Cristiana; Chaudhary, Shrimoy Roy; Khan, Shamshad; Lang, Sean; Naono, Atsuko; Quaiser, Neshat; Samanta, Arabinda; Bala, Poonam</t>
  </si>
  <si>
    <t>Starting Right: A Basic Guide to Museum Planning</t>
  </si>
  <si>
    <t>George, Gerald; Maryan-George, Carol</t>
  </si>
  <si>
    <t>Kallikrein-Related Peptidases : Novel Cancer Related Biomarkers</t>
  </si>
  <si>
    <t>Magdolen, Viktor; Fritz, Hans; Schmitt, Manfred; Sommerhoff, Christian P.</t>
  </si>
  <si>
    <t>Handbook of Sports Medicine and Science, Sports Therapy : Sports Therapy Services : Organization and Operations</t>
  </si>
  <si>
    <t>Zachazewski, James E.; Magee, David J.</t>
  </si>
  <si>
    <t>Transpersonal Psychotherapy</t>
  </si>
  <si>
    <t>Wellings, Nigel; Wilde McCormick, Elizabeth</t>
  </si>
  <si>
    <t>Patients, Power and Politics : From Patients to Citizens</t>
  </si>
  <si>
    <t>Hogg, Christine</t>
  </si>
  <si>
    <t>The Social Construction of Anorexia Nervosa</t>
  </si>
  <si>
    <t>Hepworth, Julie</t>
  </si>
  <si>
    <t>Psychotherapy &amp; Spirituality : Crossing the Line between Therapy and Religion</t>
  </si>
  <si>
    <t>West, William</t>
  </si>
  <si>
    <t>Person-Centred Therapy in Focus</t>
  </si>
  <si>
    <t>Forensic DNA Biology : A Laboratory Manual</t>
  </si>
  <si>
    <t>M. Elkins, Kelly</t>
  </si>
  <si>
    <t>Care at a Distance : On the Closeness of Technology</t>
  </si>
  <si>
    <t>Pols, Jeannette</t>
  </si>
  <si>
    <t>Social Science; Health; Political Science</t>
  </si>
  <si>
    <t>Mathematical Tools for Understanding Infectious Disease Dynamics</t>
  </si>
  <si>
    <t>Diekmann, Odo; Heesterbeek, Hans; Britton, Tom</t>
  </si>
  <si>
    <t>Diabetes Education : Art, Science and Evidence</t>
  </si>
  <si>
    <t>Management and Leadership in Nursing and Health Care : An Experiential Approach, Third Edition</t>
  </si>
  <si>
    <t>Rigolosi, Elaine La Monica, EdD, JD, FAAN; Elaine La Monica Rigolosi Edd, Jd</t>
  </si>
  <si>
    <t>Community Engagement, Organization, and Development for Public Health Practice</t>
  </si>
  <si>
    <t>Murphy, Frederick; Frederick Murphy Msphyg, Mpia</t>
  </si>
  <si>
    <t>Health Financing in Ghana</t>
  </si>
  <si>
    <t>Schieber, George; Cashin, Cheryl; Saleh, Karima; Lavado, Rouselle</t>
  </si>
  <si>
    <t>Planet Taco : A Global History of Mexican Food</t>
  </si>
  <si>
    <t>Qualitative Health Research : Creating a New Discipline</t>
  </si>
  <si>
    <t>Morse, Janice M.</t>
  </si>
  <si>
    <t>Issues in Health and Health Care Related to Race/Ethnicity, Immigration, SES and Gender</t>
  </si>
  <si>
    <t>The Economics of Medical Technology</t>
  </si>
  <si>
    <t>Bolin, Kristian; Kaestner, Robert; Grossman, Michael; Lindgren, Björn; Kaestner, Robert; Bolin, Kristian</t>
  </si>
  <si>
    <t>Trichotillomania : An Act-Enhanced Behavior Therapy Approach Workbook</t>
  </si>
  <si>
    <t>Woods, Douglas W.; Twohig, Michael P.</t>
  </si>
  <si>
    <t>New-Opathies : An Emerging Molecular Reclassification of Human Diseases</t>
  </si>
  <si>
    <t>Friedberg, Errol C.; Castrillon, Diego H.; Wharton, Keith</t>
  </si>
  <si>
    <t>Manual of Pediatric Neurology</t>
  </si>
  <si>
    <t>Weisleder, Pedro; Roach, E. Steve</t>
  </si>
  <si>
    <t>Surgical Care of Major Newborn Malformations</t>
  </si>
  <si>
    <t>Dolgin, Stephen E; Hamner, Chad E</t>
  </si>
  <si>
    <t>Transfusion Medicine and Patient Safety</t>
  </si>
  <si>
    <t>de Silvestro, Giustina; Veronesi, Arianna; Vicarioto, Maria</t>
  </si>
  <si>
    <t>ABC of Ear, Nose and Throat</t>
  </si>
  <si>
    <t>Ludman, Harold S.; Bradley, Patrick; Bradley, Patrick J.</t>
  </si>
  <si>
    <t>Paediatric Intensive Care Nursing</t>
  </si>
  <si>
    <t>Dixon, Michaela; Crawford, Doreen</t>
  </si>
  <si>
    <t>Nursing Care of the Hospitalized Older Patient</t>
  </si>
  <si>
    <t>Buttaro, Terry Mahan; Barba, Kate A.</t>
  </si>
  <si>
    <t>Thinking about Dementia : Culture, Loss, and the Anthropology of Senility</t>
  </si>
  <si>
    <t>Leibing, Annette; Cohen, Lawrence; Cohen, Prof Lawrence</t>
  </si>
  <si>
    <t>The Health Care Safety Net in a Post-Reform World</t>
  </si>
  <si>
    <t>Hall, Mark A.; Rosenbaum, Sara</t>
  </si>
  <si>
    <t>The Dynamics of Connection : How Evolution and Biology Create Caregiving and Attachment</t>
  </si>
  <si>
    <t>Bell, David C.</t>
  </si>
  <si>
    <t>The Blessing of Life : An Introduction to Catholic Bioethics</t>
  </si>
  <si>
    <t>Kane, Brian</t>
  </si>
  <si>
    <t>101 More Favorite Play Therapy Techniques</t>
  </si>
  <si>
    <t>Kaduson, Heidi; Schaefer, Charles</t>
  </si>
  <si>
    <t>Dermatologic Surgery : Step by Step</t>
  </si>
  <si>
    <t>Nouri, Keyvan</t>
  </si>
  <si>
    <t>Cardiovascular Clinical Trials : Putting the Evidence into Practice</t>
  </si>
  <si>
    <t>Flather, Marcus; Bhatt, Deepak; Geisler, Tobias</t>
  </si>
  <si>
    <t>Herbal Medicine in Yemen : Traditional Knowledge and Practice, and Their Value for Today's World</t>
  </si>
  <si>
    <t>Regourd, Anne; Hehmeyer, Ingrid; Schönig, Hanne</t>
  </si>
  <si>
    <t>Health Promotion Practice : Power and Empowerment</t>
  </si>
  <si>
    <t>The Heart of Listening</t>
  </si>
  <si>
    <t>Pearmain, Rosalind</t>
  </si>
  <si>
    <t>Embodied Theories</t>
  </si>
  <si>
    <t>Spinelli, Ernesto; Marshall, Sue</t>
  </si>
  <si>
    <t>Wise Therapy</t>
  </si>
  <si>
    <t>LeBon, Tim</t>
  </si>
  <si>
    <t>Orthodox and Alternative Medicine : Politics, Professionalization and Health Care</t>
  </si>
  <si>
    <t>Saks, Mike</t>
  </si>
  <si>
    <t>Counselling and Psychotherapy in Private Practice</t>
  </si>
  <si>
    <t>Thistle, Roger</t>
  </si>
  <si>
    <t>Medicine and the Body</t>
  </si>
  <si>
    <t>Williams, Simon Johnson</t>
  </si>
  <si>
    <t>Researching Health Needs : A Community-Based Approach</t>
  </si>
  <si>
    <t>Payne, Judy</t>
  </si>
  <si>
    <t>Medical Power and Social Knowledge</t>
  </si>
  <si>
    <t>Turner, Bryan S; Samson, Colin</t>
  </si>
  <si>
    <t>The Health Care Policy Process</t>
  </si>
  <si>
    <t>Barker, Carol E</t>
  </si>
  <si>
    <t>The New Public Health : Discourses, Knowledges, Strategies</t>
  </si>
  <si>
    <t>Petersen, Alan; Lupton, Deborah</t>
  </si>
  <si>
    <t>Time-Limited Therapy in a General Practice Setting : How to Help within Six Sessions</t>
  </si>
  <si>
    <t>Hudson-Allez, Glyn</t>
  </si>
  <si>
    <t>Narrative and Psychotherapy</t>
  </si>
  <si>
    <t>McLeod, John</t>
  </si>
  <si>
    <t>Transsexualism : Illusion and Reality</t>
  </si>
  <si>
    <t>Chiland, Colette</t>
  </si>
  <si>
    <t>Milton H Erickson</t>
  </si>
  <si>
    <t>Zeig, Jeffrey K; Munion, W Michael</t>
  </si>
  <si>
    <t>The Practice of Counselling in Primary Care</t>
  </si>
  <si>
    <t>Bor, Robert; McCann, Damian</t>
  </si>
  <si>
    <t>Pathology and the Postmodern : Mental Illness as Discourse and Experience</t>
  </si>
  <si>
    <t>Fee, Dwight</t>
  </si>
  <si>
    <t>Carl Rogers' Helping System : Journey &amp; Substance</t>
  </si>
  <si>
    <t>Barrett-Lennard, Godfrey T</t>
  </si>
  <si>
    <t>Food, the Body and the Self</t>
  </si>
  <si>
    <t>Lupton, Deborah</t>
  </si>
  <si>
    <t>Aspects of Asperger's : Success in the Teens and Twenties</t>
  </si>
  <si>
    <t>Brown, Maude; Miller, Alex</t>
  </si>
  <si>
    <t>Deconstructing Psychotherapy</t>
  </si>
  <si>
    <t>Patrick, Ian</t>
  </si>
  <si>
    <t>Counselling Couples and Families : A Person-Centred Approach</t>
  </si>
  <si>
    <t>O'Leary, Charles J</t>
  </si>
  <si>
    <t>Occupational Therapy Handbook : Practice Education</t>
  </si>
  <si>
    <t>Treseder, Rachel; Treseder, Rachel</t>
  </si>
  <si>
    <t>Clinical Infectious Disease</t>
  </si>
  <si>
    <t>Schlossberg, David</t>
  </si>
  <si>
    <t>The Chemistry of Food Additives and Preservatives</t>
  </si>
  <si>
    <t>Msagati, Titus A. M.</t>
  </si>
  <si>
    <t>Better Patient Feedback, Better Healthcare</t>
  </si>
  <si>
    <t>Mahmud, Taher</t>
  </si>
  <si>
    <t>Improving Patient Safety Through Teamwork and Team Training</t>
  </si>
  <si>
    <t>Salas, Eduardo; Frush, Karen</t>
  </si>
  <si>
    <t>Religion, Religious Ethics and Nursing</t>
  </si>
  <si>
    <t>Fowler, Marsha D; Reimer-Kirkham, Sheryl; Sawatzky, Richard; Sheryl Reimer Kirkham Phd, Rn</t>
  </si>
  <si>
    <t>Mentoring in Nursing : A Dynamic and Collaborative Process, Second Edition</t>
  </si>
  <si>
    <t>Grossman, Sheila C., PhD, APRN-BC, FAAN; Sheila C Grossman Phd, Faan</t>
  </si>
  <si>
    <t>Disaster Nursing and Emergency Preparedness : for Chemical, Biological, and Radiological Terrorism and Other Hazards, for Chemical, Biological, and Radiological Terrorism and Other Hazards, Third Edition</t>
  </si>
  <si>
    <t>Government-Sponsored Health Insurance in India : Are You Covered?</t>
  </si>
  <si>
    <t>Forgia, Gerard La; Nagpal, Somil; Nagpal, Somil</t>
  </si>
  <si>
    <t>Waiting To Be Found : Papers on Children in Care</t>
  </si>
  <si>
    <t>(Un)covering Men : Rewriting Masculinity and Health in South Africa</t>
  </si>
  <si>
    <t>Jacana Media</t>
  </si>
  <si>
    <t>Meyer, Melissa; Struthers, Helen</t>
  </si>
  <si>
    <t>Ethics and Security Aspects of Infectious Disease Control : Interdisciplinary Perspectives</t>
  </si>
  <si>
    <t>Selgelid, Michael J.; Enemark, Christian; Poku, Professor Nana K</t>
  </si>
  <si>
    <t>Developing Successful Health Care Education Simulation Centers : The Consortium Model</t>
  </si>
  <si>
    <t>Jeffries, Pamela R.; Battin, Jim; Pamela R Jeffries Dns, Rn</t>
  </si>
  <si>
    <t>Advanced Practice Nursing Ethics in Chronic Disease Self-Management : A Guide for Advanced Nursing Practice</t>
  </si>
  <si>
    <t>Redman, Barbara Klug; Barbara Klug Redman Phd, Faan</t>
  </si>
  <si>
    <t>Electrospinning for Advanced Biomedical Applications and Therapies</t>
  </si>
  <si>
    <t>Neves, Nuno M.</t>
  </si>
  <si>
    <t>Food Safety : The Science of Keeping Food Safe</t>
  </si>
  <si>
    <t>Shaw, Ian C.</t>
  </si>
  <si>
    <t>Urgent Care Emergencies : Avoiding the Pitfalls and Improving the Outcomes</t>
  </si>
  <si>
    <t>Goyal, Deepi G.; Mattu, Amal</t>
  </si>
  <si>
    <t>Bottled Up : How the Way We Feed Babies Has Come to Define Motherhood, and Why It Shouldn't</t>
  </si>
  <si>
    <t>Barston, Suzanne</t>
  </si>
  <si>
    <t>101 Favorite Play Therapy Techniques</t>
  </si>
  <si>
    <t>Play Therapy with Adolescents</t>
  </si>
  <si>
    <t>Milgrom, Claire; Kestly, Theresa; Munns, Evangeline; Brown, Christopher J.; Tabin, Johanna Krout; Ryan, Virginia; Wilson, Kate; Riviere, Scott; Gallo-Lopez, Loretta; Schaefer, Charles E.</t>
  </si>
  <si>
    <t>Forensic Biomechanics</t>
  </si>
  <si>
    <t>Kieser, Jules; Taylor, Michael; Carr, Debra</t>
  </si>
  <si>
    <t>Science: Anatomy/Physiology; Health; Social Science; Science</t>
  </si>
  <si>
    <t>Pathology of the Hard Dental Tissues</t>
  </si>
  <si>
    <t>Schuurs, Albert</t>
  </si>
  <si>
    <t>Improving Healthcare Team Performance : The 7 Requirements for Excellence in Patient Care</t>
  </si>
  <si>
    <t>Bendaly, Leslie; Bendaly, Nicole</t>
  </si>
  <si>
    <t>The Neuroscience of Autism Spectrum Disorders</t>
  </si>
  <si>
    <t>Buxbaum, Joseph D.; Hof, Patrick R.</t>
  </si>
  <si>
    <t>Assessment of the Private Health Sector in the Republic of Congo</t>
  </si>
  <si>
    <t>International Finance Corp; Makinen, William Martin</t>
  </si>
  <si>
    <t>Pain Syndromes – From Recruitment to Returning Troops : Wounds of War IV</t>
  </si>
  <si>
    <t>Research into Spinal Deformities 8</t>
  </si>
  <si>
    <t>Kotwicki, T.; Grivas, T.B.</t>
  </si>
  <si>
    <t>Health Informatics : Building a Healthcare Future Through Trusted Information:Selected Papers from the 20th Australian National Health Informatics Conference (HIC 2012)</t>
  </si>
  <si>
    <t>Maeder, A.J.; Martin-Sanchez, F.J.</t>
  </si>
  <si>
    <t>Perspectives on Digital Pathology : Results of the COST Action IC0604 EURO-TELEPATH</t>
  </si>
  <si>
    <t>García-Rojo, M.; Blobel, B.; Laurinavicius, A.</t>
  </si>
  <si>
    <t>Advancing Cancer Education and Healthy Living in Our Communities : Putting Visions and Innovations into Action. Selected Papers from the St. Jude Cure4Kids® Global Summit 2011</t>
  </si>
  <si>
    <t>Quintana, Y.; Van Kirk Villalobos, A.; May, D.</t>
  </si>
  <si>
    <t>Annual Review of Cybertherapy and Telemedicine 2012 : Advanced Technologies in the Behavioral, Social and Neurosciences</t>
  </si>
  <si>
    <t>Advances in Home Care Technologies : Results of the MATCH Project</t>
  </si>
  <si>
    <t>Turner, K.J.</t>
  </si>
  <si>
    <t>Emergency Medicine : Emergency Medicine</t>
  </si>
  <si>
    <t>Moulton, Chris; Yates, David</t>
  </si>
  <si>
    <t>Tea in Health and Disease Prevention</t>
  </si>
  <si>
    <t>Preedy, Victor R.</t>
  </si>
  <si>
    <t>Candida and Candidiasis</t>
  </si>
  <si>
    <t>Calderone, Richard; Clancy, Cornelius J.</t>
  </si>
  <si>
    <t>Germ Theory : Medical Pioneers in Infectious Diseases</t>
  </si>
  <si>
    <t>Gaynes, Robert</t>
  </si>
  <si>
    <t>Genome Plasticity and Infectious Diseases</t>
  </si>
  <si>
    <t>Hacker, Jörg; Dobrindt, Ulrich; Kurth, Reinhard</t>
  </si>
  <si>
    <t>The Transactional Analyst in Action : Clinical Seminars</t>
  </si>
  <si>
    <t>Novellino, Michele</t>
  </si>
  <si>
    <t>The Bioinorganic Chemistry of Chromium</t>
  </si>
  <si>
    <t>Vincent, John; Stearns, Diane</t>
  </si>
  <si>
    <t>Inflammatory Milieu of Tumors : Cytokines and Chemokines that Affect Tumor Growth and Metastasis</t>
  </si>
  <si>
    <t>Adit Ben-Baruch</t>
  </si>
  <si>
    <t>Nutrition and Cancer From Epdemiology to Biology</t>
  </si>
  <si>
    <t>Claudio Pier Paolo; M. Niles Richard</t>
  </si>
  <si>
    <t>Medical Licensing and Discipline in America : A History of the Federation of State Medical Boards</t>
  </si>
  <si>
    <t>Johnson, David A.; Chaudhry, Humayun J.</t>
  </si>
  <si>
    <t>Imaging Musculoskeletal Trauma : Interpretation and Reporting</t>
  </si>
  <si>
    <t>Donovan, Andrea; Schweitzer, Mark E.</t>
  </si>
  <si>
    <t>Classroom Behavior, Contexts, and Interventions</t>
  </si>
  <si>
    <t>Cook, Bryan G.; Tankersley, Melody G.; Landrum, Timothy J.; Scruggs, Thomas E.; Mastropieri, Margo A.</t>
  </si>
  <si>
    <t>Nanomaterials for Medical Applications</t>
  </si>
  <si>
    <t>Elsevier</t>
  </si>
  <si>
    <t>Aguilar, Zoraida</t>
  </si>
  <si>
    <t>Killing with Kindness : Haiti, International Aid, and NGOs</t>
  </si>
  <si>
    <t>Schuller, Mark; Farmer, Paul</t>
  </si>
  <si>
    <t>The Vulnerable Empowered Woman : Feminism, Postfeminism, and Women's Health</t>
  </si>
  <si>
    <t>Dubriwny, Tasha N.; Dubriwny, Tasha</t>
  </si>
  <si>
    <t>Fundamental Aspects of Legal, Ethical and Professional Issues in Nursing 2nd Edition</t>
  </si>
  <si>
    <t>Carvalho, Sally; Reeves, Maggie; Orford, Jacquie</t>
  </si>
  <si>
    <t>The Mechanism of Accommodation and Presbyopia</t>
  </si>
  <si>
    <t>Schachar, R.A.</t>
  </si>
  <si>
    <t>Cornea and Refractive Surgery</t>
  </si>
  <si>
    <t>Long, D.A.</t>
  </si>
  <si>
    <t>Corneal Healing Responses to Injuries and Refractive Surgeries</t>
  </si>
  <si>
    <t>Nishida, T.</t>
  </si>
  <si>
    <t>Current Concepts in Aesthetic and Reconstructive Oculoplastic Surgery</t>
  </si>
  <si>
    <t>Faulkner, A.R.; Fry, CL</t>
  </si>
  <si>
    <t>Current Opinions in the Kyoto Cornea Club - I : Proceedings of the First Annual Meeting of the Kyoto Cornea Club; Kyoto, Japan, December 1-2, 1995</t>
  </si>
  <si>
    <t>Ohashi, Yuichi; Kinoshita, S.; Ohashi, Y</t>
  </si>
  <si>
    <t>Current Opinions in the Kyoto Cornea Club II</t>
  </si>
  <si>
    <t>Kinoshita, S.; Ohashi, Y</t>
  </si>
  <si>
    <t>Inner Ear Partition : Inner Ear Partition</t>
  </si>
  <si>
    <t>Peril to the Nerve : Glaucoma and Clinical Neuro-Ophthalmology</t>
  </si>
  <si>
    <t>Calkwood, Jonathan C.; Calkwood, J.C.; Leader, BJ</t>
  </si>
  <si>
    <t>The History of Modern Cataract Surgery</t>
  </si>
  <si>
    <t>Kelman, C.D.; Kwitko, ML</t>
  </si>
  <si>
    <t>Understanding Dunblane and Other Massacres : Forensic Studies of Homicide, Paedophilia, and Anorexia</t>
  </si>
  <si>
    <t>Aylward, Peter</t>
  </si>
  <si>
    <t>Killer Fat : Media, Medicine, and Morals in the American Obesity Epidemic</t>
  </si>
  <si>
    <t>Boero, Natalie</t>
  </si>
  <si>
    <t>From Inflammation to Cancer : Advances in Diagnosis and Therapy for Gastrointestinal and Hepatological Diseases</t>
  </si>
  <si>
    <t>Cho, Chi Hin; Yu, Jun</t>
  </si>
  <si>
    <t>Principles and Techniques in Oncoplastic Breast Cancer Surgery</t>
  </si>
  <si>
    <t>El-Tamer, Mahmoud; Wu, Shan-San</t>
  </si>
  <si>
    <t>Biomedical Materials and Diagnostic Devices</t>
  </si>
  <si>
    <t>Tiwari, Ashutosh; Ramalingam, Murugan; Kobayashi, Hisashi; Turner, Anthony P. F.</t>
  </si>
  <si>
    <t>Kidney Transplantation : Challenging the Future</t>
  </si>
  <si>
    <t>Veroux, Massimiliano; Veroux, Pierfrancesco</t>
  </si>
  <si>
    <t>Epidemiology of Type 2 Diabetes</t>
  </si>
  <si>
    <t>Qiao, Qing</t>
  </si>
  <si>
    <t>Toxic Effects of Nanomaterials</t>
  </si>
  <si>
    <t>Ahmad Khan, Haseeb; Abdulwahid Arif, Ibrahim</t>
  </si>
  <si>
    <t>Exposure Treatments for Anxiety Disorders : A Practitioner's Guide to Concepts, Methods, and Evidence-Based Practice</t>
  </si>
  <si>
    <t>Rosqvist, Johan</t>
  </si>
  <si>
    <t>Thirty Rooms to Hide In : Insanity, Addiction, and Rock 'n' Roll in the Shadow of the Mayo Clinic</t>
  </si>
  <si>
    <t>Sullivan, Luke Longstreet</t>
  </si>
  <si>
    <t>Improving Import Food Safety</t>
  </si>
  <si>
    <t>Ellefson, Wayne; Zach, Lorna; Sullivan, Darryl</t>
  </si>
  <si>
    <t>Taking the Transference, Reaching Toward Dreams : Clinical Studies in the Intermediate Area</t>
  </si>
  <si>
    <t>Gerard Fromm, M.</t>
  </si>
  <si>
    <t>A Comprehensive Guide to Toxicology in Preclinical Drug Development</t>
  </si>
  <si>
    <t>Faqi, Ali S.</t>
  </si>
  <si>
    <t>Dermatological Treatments</t>
  </si>
  <si>
    <t>Conde-Taboada, Alberto</t>
  </si>
  <si>
    <t>Healthy Schools, Healthy Lives : A Teacher's Guide to Tackling Childhood Obesity</t>
  </si>
  <si>
    <t>Loughrey, Anita</t>
  </si>
  <si>
    <t>Emotional Transformation Therapy : An Interactive Ecological Psychotherapy</t>
  </si>
  <si>
    <t>Vazquez, Steven R.</t>
  </si>
  <si>
    <t>Det svære liv : Om lidelsen i den moderne kultur</t>
  </si>
  <si>
    <t>Elsass, Peter; Høgh-Olesen, Henrik; Hougaard, Esben</t>
  </si>
  <si>
    <t>Udvikling af misbrug og afhængighed af rusmidler</t>
  </si>
  <si>
    <t>Pedersen, Mads Uffe</t>
  </si>
  <si>
    <t>Slangetæmmeren</t>
  </si>
  <si>
    <t>Schiønning, Jørgen</t>
  </si>
  <si>
    <t>Understanding Chronic Kidney Disease : A guide for the non-specialist</t>
  </si>
  <si>
    <t>Lewis, Robert</t>
  </si>
  <si>
    <t>Genomic and Personalized Medicine : V1-2</t>
  </si>
  <si>
    <t>Willard, Huntington F.; Ginsburg, Geoffrey S.</t>
  </si>
  <si>
    <t>Parenting Your Child with ADHD : A No-Nonsense Guide for Nurturing Self-Reliance and Cooperation</t>
  </si>
  <si>
    <t>Wiener, Craig</t>
  </si>
  <si>
    <t>Life Exposed : Biological Citizens after Chernobyl</t>
  </si>
  <si>
    <t>Petryna, Adriana</t>
  </si>
  <si>
    <t>Grassroots Coalitions and State Policy Change : Organizing for Immigrant Health Care</t>
  </si>
  <si>
    <t>Post, Margaret A.</t>
  </si>
  <si>
    <t>Epigenetics of Lifestyle</t>
  </si>
  <si>
    <t>Párrizas, Marcelina; Gasa, Rosa; Kaliman, Pea</t>
  </si>
  <si>
    <t>Translational Animal Models in Drug Discovery and Development</t>
  </si>
  <si>
    <t>Wang, Xinkang</t>
  </si>
  <si>
    <t>How Selegiline ((-)-Deprenyl) Slows Brain Aging</t>
  </si>
  <si>
    <t>Knoll, Joseph</t>
  </si>
  <si>
    <t>Surface Tailoring of Inorganic Materials for Biomedical Applications</t>
  </si>
  <si>
    <t>Rimondini, Lia; L. Bianchi, Claudia; Vernè, Enrica</t>
  </si>
  <si>
    <t>Mentalizing in the Development and Treatment of Attachment Trauma</t>
  </si>
  <si>
    <t>G. Allen, Jon</t>
  </si>
  <si>
    <t>Syndemic Suffering : Social Distress, Depression, and Diabetes among Mexican Immigrant Wome</t>
  </si>
  <si>
    <t>Mendenhall, Emily</t>
  </si>
  <si>
    <t>Diversity and Cultural Competence in Health Care : A Systems Approach</t>
  </si>
  <si>
    <t>Dreachslin, Janice L.; Gilbert, M. Jean; Malone, Beverly</t>
  </si>
  <si>
    <t>Bioactive Food As Dietary Interventions for Cardiovascular Disease : Bioactive Foods in Chronic Disease States</t>
  </si>
  <si>
    <t>Watson, Ronald Ross; Watson, Ronald Ross</t>
  </si>
  <si>
    <t>Bioactive Food As Dietary Interventions for Diabetes : Bioactive Foods in Chronic Disease States</t>
  </si>
  <si>
    <t>Watson, Ronald Ross; Preedy, Victor R.</t>
  </si>
  <si>
    <t>Bioactive Food As Dietary Interventions for Liver and Gastrointestinal Disease : Bioactive Foods in Chronic Disease States</t>
  </si>
  <si>
    <t>Bioactive Food As Dietary Interventions for Arthritis and Related Inflammatory Diseases : Bioactive Food in Chronic Disease States</t>
  </si>
  <si>
    <t>The Child Psychotherapist and Problems of Young People</t>
  </si>
  <si>
    <t>Boston, Mary; Daws, Dilys</t>
  </si>
  <si>
    <t>Bringing up Baby : The Psychoanalytic Infant Comes of Age</t>
  </si>
  <si>
    <t>T. Kenny, Dianna</t>
  </si>
  <si>
    <t>Violence : A Public Health Menace and a Public Health Approach</t>
  </si>
  <si>
    <t>Bloom, Sandra L.</t>
  </si>
  <si>
    <t>Shared Experience : The Psychoanalytic Dialogue</t>
  </si>
  <si>
    <t>Momigliano, Luciana Nissim; Robutti, Andreina; Scotkin, Philip P.; Danile, Gina</t>
  </si>
  <si>
    <t>Biomaterials Science : Processing, Properties, and Applications II</t>
  </si>
  <si>
    <t>Narayan, Roger; Bose, Susmita; Bandyopadhyay, Amit; Narayan</t>
  </si>
  <si>
    <t>Safety and Quality in Medical Transport Systems : Creating an Effective Culture</t>
  </si>
  <si>
    <t>Frazer, Eileen, Ms; Overton Jr, John W, Dr; Overton, Dr. John W.</t>
  </si>
  <si>
    <t>Palliative Approach : A Resource for Healthcare Workers</t>
  </si>
  <si>
    <t>Cameron-Taylor, Erica</t>
  </si>
  <si>
    <t>Culture on Drugs : Narco-Cultural Studies of High Modernity</t>
  </si>
  <si>
    <t>Boothroyd, Dave</t>
  </si>
  <si>
    <t>Mutualism and Health Care : British Hospital Contributory Schemes in the Twentieth Century</t>
  </si>
  <si>
    <t>Gorsky, Martin; Mohan, John; Willis, Tim</t>
  </si>
  <si>
    <t>Object Matters : Condoms, Adolescence and Time</t>
  </si>
  <si>
    <t>Vitellone, Nicole</t>
  </si>
  <si>
    <t>Doubting Sex : Inscriptions, Bodies and Selves in Nineteenth-Century Hermaphrodite Case Histories</t>
  </si>
  <si>
    <t>Mak, Geertje</t>
  </si>
  <si>
    <t>Neuropsychology of Psychopathology</t>
  </si>
  <si>
    <t>Noggle, Chad; Dean, Raymond; Chad Noggle Phd, Abn; Raymond Dean Phd, Abpdn</t>
  </si>
  <si>
    <t>Distance Education in Nursing : Third Edition</t>
  </si>
  <si>
    <t>Karen Frith PhD, RN; Deborah Clark PhD, MSN, MBA RN; Karen Frith Phd, Rn; Deborah Clark Phd, Msn Mba Rn</t>
  </si>
  <si>
    <t>Teaching Evidence-Based Practice in Nursing : Second Edition</t>
  </si>
  <si>
    <t>Levin, Rona F., PhD, RN; Feldman, Harriet R., PhD, RN, FAAN; Rona Levin Phd, Rn; Harriet R Feldman Phd, Rn</t>
  </si>
  <si>
    <t>Transitioning into Hospital Based Practice : A Guide for Nurse Practitioners and Administrators</t>
  </si>
  <si>
    <t>Mona N. Bahouth MSN, CRNP; Kay Blum PhD, CRNP; Mona N Bahouth Msn, Crnp; Kay Blum Phd, Crnp</t>
  </si>
  <si>
    <t>Social Media for Nurses : Educating Practitioners and Patients in a Networked World</t>
  </si>
  <si>
    <t>Nelson, Ramona; Joos, Irene; Wolf, Debra; Irene Joos Phd, Rn</t>
  </si>
  <si>
    <t>Medical Device Design : Innovation from Concept to Market</t>
  </si>
  <si>
    <t>Ogrodnik, Peter</t>
  </si>
  <si>
    <t>Blessed Days of Anaesthesia : How anaesthetics changed the world</t>
  </si>
  <si>
    <t>Snow, Stephanie J.</t>
  </si>
  <si>
    <t>Diabetes : Improving Patient Care</t>
  </si>
  <si>
    <t>Fonseca, Vivan</t>
  </si>
  <si>
    <t>Travellers' Health : How to Stay Healthy Abroad</t>
  </si>
  <si>
    <t>Dawood, Richard</t>
  </si>
  <si>
    <t>Evidence-Based Nursing Care for Stroke and Neurovascular Conditions</t>
  </si>
  <si>
    <t>Alexander, Sheila A.</t>
  </si>
  <si>
    <t>Family-Focused Pediatrics : Interviewing Techniques and Other Strategies to Help Families Resolve Their Interactive and Emotional Problems</t>
  </si>
  <si>
    <t>Coleman, William Lord</t>
  </si>
  <si>
    <t>Ethical and Legal Issues in Adolescent Health Care : STARs Ethical and Legal Issues in Adolescent Health Care:Adolescent Medicine: State of the Art Reviews, Vol. 22 Number 2</t>
  </si>
  <si>
    <t>Silber, Tomas J.; English, Abigail</t>
  </si>
  <si>
    <t>AAP Textbook of Global Child Health</t>
  </si>
  <si>
    <t>Kamat, Deepak M.; Fischer, Philip R.</t>
  </si>
  <si>
    <t>Coding for Pediatrics 2013 : A Manual for Pediatric Documentation and Payment</t>
  </si>
  <si>
    <t>AAP Committee on Coding</t>
  </si>
  <si>
    <t>Pediatric Otolaryngology</t>
  </si>
  <si>
    <t>American Academy of Pediatrics; Schoem, Scott R.; Darrow, David H.</t>
  </si>
  <si>
    <t>Guidelines for Perinatal Care</t>
  </si>
  <si>
    <t>AAP Committee on Fetus and Newborn; Papile, Lu-Ann; Kilpatrick, Sarah J.; Riley, Laura</t>
  </si>
  <si>
    <t>Pediatric Code Crosswalk : ICD-9-CM to ICD-10-CM:ICD-9-cm to ICD-10-cm</t>
  </si>
  <si>
    <t>Linzer, Jeffrey F.; Committee on Coding and Nomenclature</t>
  </si>
  <si>
    <t>Adolescent Medicine : State of the Art Re: Am:Stars Adolescent Gynecology: Adolescent Medicine: State of the Art Reviews</t>
  </si>
  <si>
    <t>American Academy of Pediatrics Staff; Fisher, Martin; Lara-Torre, Eduardo X</t>
  </si>
  <si>
    <t>Advances in Health Promotion for Adolescents and Young Adults : State of the Art Re: Am:Stars Advances in Health Promotion for Adolescents and Young Adults: Adolescent Medicine: State of the Art Reviews</t>
  </si>
  <si>
    <t>Cohall, Alwyn T.; Resnick, Michael; Resnick, PhD Michael</t>
  </si>
  <si>
    <t>Berkowitz's Pediatrics : A Primary Care Approach:a Primary Care Approach</t>
  </si>
  <si>
    <t>Berkowitz, Carol D.</t>
  </si>
  <si>
    <t>Breastfeeding Telephone Triage Triage and Advice</t>
  </si>
  <si>
    <t>Bunik, Maya</t>
  </si>
  <si>
    <t>Adolescent Medicine: State of the Art Reviews</t>
  </si>
  <si>
    <t>American Academy of Pediatrics; American Academy of Pediatrics Section on Adolescent Health; Kulig, John</t>
  </si>
  <si>
    <t>2012-2013 Nelson's Pediatric Antimicrobial Therapy</t>
  </si>
  <si>
    <t>Bradley ,  John   S.; Nelson , John  D.; Kimberlin, David W; Leake, John A D ; Palumbo, Paul E ; Sanchez, Pablo J</t>
  </si>
  <si>
    <t>Biomaterials Science : An Introduction to Materials in Medicine</t>
  </si>
  <si>
    <t>Ratner, Buddy D.; Hoffman, Allan S.; Yaszemski, Michael J.; Lemons, Jack E.; Schoen, Frederick J.</t>
  </si>
  <si>
    <t>The Practice of Cognitive-Behavioural Hypnotherapy : A Manual for Evidence-Based Clinical Hypnosis</t>
  </si>
  <si>
    <t>Atlas of Vascular Medicine : A Case-Based Approach to Current Management</t>
  </si>
  <si>
    <t>Mohler, Emile; Litt, Harold</t>
  </si>
  <si>
    <t>Handbook for Public Health Social Work</t>
  </si>
  <si>
    <t>Keefe, Robert; Jurkowski, Elaine T.; Elaine T Jurkowski Msw, Phd</t>
  </si>
  <si>
    <t>Achieving an AIDS Transition : Preventing Infections to Sustain Treatment</t>
  </si>
  <si>
    <t>Over, Mead; Over, Mead</t>
  </si>
  <si>
    <t>Choosing Wisdom : Strategies and Inspiration for Growing through Life-Changing Difficulties</t>
  </si>
  <si>
    <t>Plews-Ogan, Margaret; Owens, Justine; May, Natalie</t>
  </si>
  <si>
    <t>Multistep Cognitive Behavioral Therapy for Eating Disorders : Theory, Practice, and Clinical Cases</t>
  </si>
  <si>
    <t>Dalle Grave, Riccardo</t>
  </si>
  <si>
    <t>Interventional Oncology : Principles and Practice</t>
  </si>
  <si>
    <t>Geschwind, Jean-François H.; Soulen, Michael C.</t>
  </si>
  <si>
    <t>Challenging Cases in Pediatric Ophthalmology</t>
  </si>
  <si>
    <t>Granet, David B.; Baber, Leslie Julia; Robbins, Shira L.; Baber, Leslie Julia</t>
  </si>
  <si>
    <t>Better health in harder times : Active citizens and innovation on the frontline</t>
  </si>
  <si>
    <t>Walmsley, Jan; Davies, Celia; Hales, Mike</t>
  </si>
  <si>
    <t>New Encyclopedia of Southern Culture : Volume 22: Science and Medicine</t>
  </si>
  <si>
    <t>Wilson, Charles Reagan; Wilson, Charles Reagan</t>
  </si>
  <si>
    <t>Science; History</t>
  </si>
  <si>
    <t>Markets of Well-Being : Navigating Health and Healing in Africa</t>
  </si>
  <si>
    <t>Dekker, Marleen; van Dijk, Rijk</t>
  </si>
  <si>
    <t>Business/Management; Economics; Social Science; Health</t>
  </si>
  <si>
    <t>Madness in Medieval Law and Custom : Madness in Medieval Law and Custom</t>
  </si>
  <si>
    <t>Turner, Wendy</t>
  </si>
  <si>
    <t>Midwives’ Emotional Care of Women becoming Mothers</t>
  </si>
  <si>
    <t>Cambridge Scholars Publishing</t>
  </si>
  <si>
    <t>Barker, Sue</t>
  </si>
  <si>
    <t>"I Want to See" : Vision for the World</t>
  </si>
  <si>
    <t>Lim, Arthur S. M.</t>
  </si>
  <si>
    <t>Models of Oculomotor Control</t>
  </si>
  <si>
    <t>Hung, George K.</t>
  </si>
  <si>
    <t>Chronic Hepatitis B and C : Basic Science to Clinical Applications</t>
  </si>
  <si>
    <t>Shih, Chiaho</t>
  </si>
  <si>
    <t>Autophagy of the Nervous System : Cellular Self-Digestion in Neuros and Neurological Diseases</t>
  </si>
  <si>
    <t>Yue, Zhenyu; Chu, Charleen T.</t>
  </si>
  <si>
    <t>Defining Culinary Authority : The Transformation of Cooking in France, 1650-1830</t>
  </si>
  <si>
    <t>Louisiana State University Press</t>
  </si>
  <si>
    <t>Davis, Jennifer J.</t>
  </si>
  <si>
    <t>Mindful Medical Student : A Psychiatrist’s Guide to Staying Who You Are While Becoming Who You Want to Be</t>
  </si>
  <si>
    <t>Dartmouth College Press</t>
  </si>
  <si>
    <t>Spiegel M.D., Jeremy</t>
  </si>
  <si>
    <t>Cadaverland : Inventing a Pathology of Catastrophe for Holocaust Survival [The Limits of Medical Knowledge and Historical Memory in France]</t>
  </si>
  <si>
    <t>Brandeis University Press</t>
  </si>
  <si>
    <t>Dorland, Michael</t>
  </si>
  <si>
    <t>Africa : A Practical Guide for Global Health Workers</t>
  </si>
  <si>
    <t>Spielberg, Laurel A.; Adams, Lisa V.</t>
  </si>
  <si>
    <t>Continuing Medical Education : Looking Back, Planning Ahead</t>
  </si>
  <si>
    <t>Wentz MD, Dennis K.</t>
  </si>
  <si>
    <t>On Suffering : Pathways to Healing and Health</t>
  </si>
  <si>
    <t>Clarke, Beverley M.</t>
  </si>
  <si>
    <t>Ethics for International Medicine : A Practical Guide for Aid Workers in Developing Countries</t>
  </si>
  <si>
    <t>Wall, Anji E.</t>
  </si>
  <si>
    <t>Insourced : How Importing Jobs Impacts the Healthcare Crisis Here and Abroad</t>
  </si>
  <si>
    <t>Tulenko, Dr. Kate; Tulenko, Dr Kate</t>
  </si>
  <si>
    <t>Philosophy of Viagra : Bioethical Responses to the Viagrification of the Modern World.</t>
  </si>
  <si>
    <t>Botz-Bornstein, Thorsten</t>
  </si>
  <si>
    <t>Everyday Ethics : Voices from the Front Line of Community Psychiatry</t>
  </si>
  <si>
    <t>Brodwin, Paul; Brodwin, Paul E.</t>
  </si>
  <si>
    <t>Cognitive Behaviour Therapy in the Real World : Back to Basics</t>
  </si>
  <si>
    <t>Van Bilsen, Henck</t>
  </si>
  <si>
    <t>Building Partnerships in the Americas : A Guide for Global Health Workers</t>
  </si>
  <si>
    <t>Krasnoff MD, Margo J.; Margo J Krasnoff, MD</t>
  </si>
  <si>
    <t>Mentorship in Healthcare</t>
  </si>
  <si>
    <t>Shaw, Mary E.; Fulton, John</t>
  </si>
  <si>
    <t>Nanobiomaterials in Clinical Dentistry</t>
  </si>
  <si>
    <t>Subramani, Karthikeyan; Ahmed, Waqar; Hartsfield, James K.</t>
  </si>
  <si>
    <t>Addictive States of Mind</t>
  </si>
  <si>
    <t>Bower, Marion; Hale, Robert; Wood, Heather</t>
  </si>
  <si>
    <t>Mental Health Informatics</t>
  </si>
  <si>
    <t>Hanson, Ardis; Levin, Bruce Lubotsky</t>
  </si>
  <si>
    <t>Texas Health Atlas</t>
  </si>
  <si>
    <t>Texas A&amp;M University Press</t>
  </si>
  <si>
    <t>Estaville, Lawrence E.; Egan, Kristine; Galaviz, Abel; Dickey, Nancy W.; de Lima, Marcos J.</t>
  </si>
  <si>
    <t>Geography/Travel; Medicine; Health</t>
  </si>
  <si>
    <t>The Clinic and the Context : Historical Essays</t>
  </si>
  <si>
    <t>Young-Bruehl, Elisabeth; Preston, Gillian; Rudnytsky, Peter L.</t>
  </si>
  <si>
    <t>Positions and Polarities in Contemporary Systemic Practice : The Legacy of David Campbell</t>
  </si>
  <si>
    <t>Barratt, Sara; Burck, Charlotte; Kavner, Ellie</t>
  </si>
  <si>
    <t>Complex Ethics Consultations : Cases that Haunt Us</t>
  </si>
  <si>
    <t>Ford, Paul J.; Dudzinski, Denise M.</t>
  </si>
  <si>
    <t>Sudden Death in the Young</t>
  </si>
  <si>
    <t>Byard, Roger W.</t>
  </si>
  <si>
    <t>Toole's Cerebrovascular Disorders</t>
  </si>
  <si>
    <t>Roach, E. Steve; Bettermann, Kerstin; Biller, Jose</t>
  </si>
  <si>
    <t>Expedition and Wilderness Medicine</t>
  </si>
  <si>
    <t>Bledsoe, Gregory H.; Manyak, Michael J.; Townes, David A.</t>
  </si>
  <si>
    <t>Facing Cancer and the Fear of Death : A Psychoanalytic Perspective on Treatment</t>
  </si>
  <si>
    <t>Barnhill, John W., M.D.; Birger, Dan, M.D.; Luber, M. Philip, M.D.; Maxfield, Molly; Phillips, Allison C., M.D.; Plopa, Patricia, Ph.D; Pyszczynski, Tom; Adams Silvan, Abby, Ph.D; Straker, Norman; Straker, Norman</t>
  </si>
  <si>
    <t>Health Care Operations and Supply Chain Management : Strategy, Operations, Planning, and Control</t>
  </si>
  <si>
    <t>Kros, John F.; Brown, Evelyn C.</t>
  </si>
  <si>
    <t>Dried Fruits : Phytochemicals and Health Effects</t>
  </si>
  <si>
    <t>Shahidi, Fereidoon; Alasalvar, Cesarettin</t>
  </si>
  <si>
    <t>Atlas of Hematopathology : Morphology, Immunophenotype, Cytogenetics, and Molecular Approaches</t>
  </si>
  <si>
    <t>Naeim, Faramarz; Song, Sophie X.; Grody, Wayne W.; Rao, P. Nagesh</t>
  </si>
  <si>
    <t>The Girl Who Committed Hara-Kiri and Other Clinical and Historical Essays</t>
  </si>
  <si>
    <t>Borgogno, Franco; Spencer, Alice</t>
  </si>
  <si>
    <t>Unrepresented States and the Construction of Meaning : Clinical and Theoretical Contributions</t>
  </si>
  <si>
    <t>Levine, Howard B.; Reed, Gail S.; Scarfone, Dominique</t>
  </si>
  <si>
    <t>Migration, Health and Inequality</t>
  </si>
  <si>
    <t>Thomas, Felicity; Gideon, Doctor Jasmine</t>
  </si>
  <si>
    <t>Juvenile Sex Offenders : A Guide to Evaluation and Treatment for Mental Health Professionals</t>
  </si>
  <si>
    <t>Ryan, Eileen P.; Hunter, John A., Jr.; Murrie, Daniel C.</t>
  </si>
  <si>
    <t>Medicine and Society in Ptolemaic Egypt</t>
  </si>
  <si>
    <t>Lang, Philippa</t>
  </si>
  <si>
    <t>Hospital End User Computing in Japan How to Use FileMaker Pro with Hospital Information Systems</t>
  </si>
  <si>
    <t>Wakamiya, Shunji; Yamauchi, Kazunobu; Yoshihara, Hiroyuki</t>
  </si>
  <si>
    <t>Mental Health Promotion in Schools : Foundations</t>
  </si>
  <si>
    <t>J Waller, Raymond</t>
  </si>
  <si>
    <t>Phytotherapy in the Management of Diabetes and Hypertension</t>
  </si>
  <si>
    <t>Edouks, Mohamed; Chattopadhyay, Dr. Debprasad</t>
  </si>
  <si>
    <t>Informal Norms in Global Governance : Human Rights, Intellectual Property Rules and Access to Medicines</t>
  </si>
  <si>
    <t>Hein, Wolfgang; Moon, Suerie; Poku, Professor Nana K</t>
  </si>
  <si>
    <t>Extreme Tissue Engineering : Concepts and Strategies for Tissue Fabrication</t>
  </si>
  <si>
    <t>Brown, Robert A.</t>
  </si>
  <si>
    <t>Essentials of School Neuropsychological Assessment</t>
  </si>
  <si>
    <t>Miller, Daniel C.</t>
  </si>
  <si>
    <t>Conflicted View of Telehomecare After a 20 Year Journey</t>
  </si>
  <si>
    <t>Glascock, A.P.</t>
  </si>
  <si>
    <t>Touching the Future Technology for Autism? : Lessons from the HANDS Project</t>
  </si>
  <si>
    <t>Mintz, J.; Gyori, M.; Aagaard, M.</t>
  </si>
  <si>
    <t>Professional Practice for Podiatric Medicine</t>
  </si>
  <si>
    <t>Hayes, Catherine</t>
  </si>
  <si>
    <t>Handbook of ICU EEG Monitoring</t>
  </si>
  <si>
    <t>LaRoche, Suzette</t>
  </si>
  <si>
    <t>Reach Chronicles : A Community Mental Health Model for Children and Adolescents in Singapore</t>
  </si>
  <si>
    <t>Fung, Daniel; Ong, L. P.; Tay, S. L.</t>
  </si>
  <si>
    <t>Global HIV Epidemics among People Who Inject Drugs</t>
  </si>
  <si>
    <t>Dutta, Arin; Wirtz, Andrea; Stanciole, Anderson; Stanciole, Anderson; Oelrichs, Robert; Cleghorn, Farley</t>
  </si>
  <si>
    <t>Health Sector in Ghana : A Comprehensive Assessment</t>
  </si>
  <si>
    <t>Saleh, Karima</t>
  </si>
  <si>
    <t>Investing in Communities Achieves Results : Findings from an Evaluation of Community Responses to HIV and AIDS</t>
  </si>
  <si>
    <t>Rodriguez-García, Rosalía; Bonnel, René; Wilson, David; N'Jie, N'Della</t>
  </si>
  <si>
    <t>Global HIV Epidemics among Sex Workers</t>
  </si>
  <si>
    <t>Kerrigan, Deanna; Wirtz, Andrea; Semini, Iris; N'Jie, N'Della; Stanciole, Anderson; Butler, Jenny; Oelrichs, Robert; Beyer, Chris</t>
  </si>
  <si>
    <t>Compact Clinical Guide to Critical Care, Trauma, and Emergency Pain Management : An Evidence-Based Approach for Nurses</t>
  </si>
  <si>
    <t>Marmo, Liza; D'Arcy, Yvonne; D'Arcy, Yvonne; Yvonne D'Arcy MS, Cns</t>
  </si>
  <si>
    <t>Understanding Regulation Disorders of Sensory Processing in Children : Management Strategies for Parents and Professionals</t>
  </si>
  <si>
    <t>Reebye, Pratibha; Stalker, Aileen</t>
  </si>
  <si>
    <t>Developing Evidence-Based Generalist Practice Skills</t>
  </si>
  <si>
    <t>Thyer, Bruce A.; Dulmus, Catherine N.; Sowers, Karen M.; Sowers, Karen M</t>
  </si>
  <si>
    <t>The Best Specimen of a Tyrant : The Ambitious Dr. Abraham Van Norstrand and the Wisconsin Insane Hospital</t>
  </si>
  <si>
    <t>Doherty, Thomas</t>
  </si>
  <si>
    <t>The Toxicology of Methanol</t>
  </si>
  <si>
    <t>Clary, John J.</t>
  </si>
  <si>
    <t>Perversion : A Jungian Approach</t>
  </si>
  <si>
    <t>Ross, Fiona</t>
  </si>
  <si>
    <t>Popes, Peasants, and Shepherds : Recipes and Lore from Rome and Lazio</t>
  </si>
  <si>
    <t>Zanini De Vita, Oretta; Fant, Maureen B.</t>
  </si>
  <si>
    <t>Women's Health Psychology</t>
  </si>
  <si>
    <t>Spiers, Mary V.; Geller, Pamela A.; Kloss, Jacqueline D.</t>
  </si>
  <si>
    <t>Exposed Science : Genes, the Environment, and the Politics of Population Health</t>
  </si>
  <si>
    <t>Shostak, Sara Naomi; Shostak, Sara</t>
  </si>
  <si>
    <t>Reflective Practice in Nursing</t>
  </si>
  <si>
    <t>Bulman, Chris; Schutz, Sue</t>
  </si>
  <si>
    <t>The Mythical Bill : A Neurological Memoir</t>
  </si>
  <si>
    <t>McAuliffe, Jody</t>
  </si>
  <si>
    <t>Microfluidic Technologies for Human Health</t>
  </si>
  <si>
    <t>Langer, Robert; Demirci, Utkan; Khademhosseini, Ali</t>
  </si>
  <si>
    <t>Out of the Shadow of Leprosy : The Carville Letters and Stories of the Landry Family</t>
  </si>
  <si>
    <t>Manes, Claire; Gaudet, Marcia</t>
  </si>
  <si>
    <t>A Clinical Application of Bion's Concepts : Verbal and Visual Approaches to Reality</t>
  </si>
  <si>
    <t>Psychoanalysis and Paediatrics : Key Psychoanalytic Concepts with Sixteen Clinical Observations of Children</t>
  </si>
  <si>
    <t>Dolto, Francoise; Hivernel, Francoise; Sinclair, Fiona</t>
  </si>
  <si>
    <t>Social Marketing and Social Change : Strategies and Tools for Improving Health, Well-Being, and the Environment</t>
  </si>
  <si>
    <t>Lefebvre, R. Craig</t>
  </si>
  <si>
    <t>Healing with Art and Soul : Engaging One’s Self through Art Modalities</t>
  </si>
  <si>
    <t>Luethje, Kathy</t>
  </si>
  <si>
    <t>Women, Wellness, and the Media</t>
  </si>
  <si>
    <t>Wiley, Margaret C.</t>
  </si>
  <si>
    <t>Update on Polymer Based Nanomedicine</t>
  </si>
  <si>
    <t>Nyström, Andreas M.; Zeng, Xianghui; Zhang, Yuning</t>
  </si>
  <si>
    <t>Update on Life Cycle Strategy for New Implants and Medical Devices</t>
  </si>
  <si>
    <t>Harwoko, Marvi</t>
  </si>
  <si>
    <t>Engineering; Engineering: General; Business/Management</t>
  </si>
  <si>
    <t>Buying Beauty : Cosmetic Surgery in China</t>
  </si>
  <si>
    <t>Hong Kong University Press</t>
  </si>
  <si>
    <t>Hua, WEN</t>
  </si>
  <si>
    <t>Integrated Pharmaceutics : Applied Preformulation, Product Design, and Regulatory Science</t>
  </si>
  <si>
    <t>Al-Achi, Antoine; Gupta, Mali Ram; Stagner, William Craig; Al-Achi, Antoine</t>
  </si>
  <si>
    <t>ABC of Major Trauma</t>
  </si>
  <si>
    <t>Skinner, David V.; Driscoll, Peter A.</t>
  </si>
  <si>
    <t>The Wiley-Blackwell Handbook of the Treatment of Childhood and Adolescent Anxiety</t>
  </si>
  <si>
    <t>Essau, Cecilia A.; Ollendick, Thomas H.</t>
  </si>
  <si>
    <t>Integrated Treatment for Co-Occurring Disorders : Treating People, Not Behaviors</t>
  </si>
  <si>
    <t>Klott, Jack</t>
  </si>
  <si>
    <t>Drug Delivery Strategies for Poorly Water-Soluble Drugs</t>
  </si>
  <si>
    <t>Douroumis, Dionysios; Fahr, Alfred</t>
  </si>
  <si>
    <t>Adolescent Emotions : Development, Morality, and Adaptation</t>
  </si>
  <si>
    <t>YD; Malti, Tina</t>
  </si>
  <si>
    <t>Psychology; Medicine; Education</t>
  </si>
  <si>
    <t>Lecture Notes: Haematology</t>
  </si>
  <si>
    <t>Hatton, Chris S. R.; Hughes-Jones, Nevin C.; Hay, Deborah; Keeling, David</t>
  </si>
  <si>
    <t>Caring for Children with Special Healthcare Needs and Their Families : A Handbook for Healthcare Professionals</t>
  </si>
  <si>
    <t>Eddy, Linda L.</t>
  </si>
  <si>
    <t>Nanomedicine for Drug Delivery and Therapeutics</t>
  </si>
  <si>
    <t>Mishra, Ajay Kumar</t>
  </si>
  <si>
    <t>The Disappearing Male</t>
  </si>
  <si>
    <t>Lachkar, Joan</t>
  </si>
  <si>
    <t>Stress Response Syndromes : PTSD, Grief, Adjustment, and Dissociative Disorders</t>
  </si>
  <si>
    <t>Horowitz, Mardi J.</t>
  </si>
  <si>
    <t>The Immunoassay Handbook : Theory and Applications of Ligand Binding, ELISA and Related Techniques</t>
  </si>
  <si>
    <t>Wild, David</t>
  </si>
  <si>
    <t>The Midwife's Labour and Birth Handbook</t>
  </si>
  <si>
    <t>Chapman, Vicky; Charles, Cathy</t>
  </si>
  <si>
    <t>Goldsmith, David; Jayawardene, Satish; Ackland, Penny</t>
  </si>
  <si>
    <t>Recovery from Eating Disorders : A Guide for Clinicians and Their Clients</t>
  </si>
  <si>
    <t>Noordenbos, Greta</t>
  </si>
  <si>
    <t>La Clínica : A Doctor's Journey Across Borders</t>
  </si>
  <si>
    <t>University of New Mexico Press</t>
  </si>
  <si>
    <t>Sklar, David</t>
  </si>
  <si>
    <t>Diseased Relations : Epidemics, Public Health, and State-Building in Yucatán, Mexico, 1847-1924</t>
  </si>
  <si>
    <t>McCrea, Heather</t>
  </si>
  <si>
    <t>Diseases and Human Evolution</t>
  </si>
  <si>
    <t>Black Physician's Struggle for Civil Rights : Edward C. Mazique, M.D.</t>
  </si>
  <si>
    <t>Ridlon, Florence</t>
  </si>
  <si>
    <t>Practical Approach to Movement Disorders : Diagnosis, Medical and Surgical Management</t>
  </si>
  <si>
    <t>Fernandez, Hubert; Rodriguez, Ramon; Skidmore, Frank</t>
  </si>
  <si>
    <t>Transforming Health Care : The Financial Impact of Technology, Electronic Tools and Data Mining</t>
  </si>
  <si>
    <t>Fasano, Phil; Cochran, Jack; Cochran, Jack</t>
  </si>
  <si>
    <t>Barrett, Kevin M.; Meschia, James F.</t>
  </si>
  <si>
    <t>Evaluation and Testing in Nursing Education : Fourth Edition</t>
  </si>
  <si>
    <t>Oermann, Marilyn H. , PhD, RN, FAAN, ANEF; Gaberson, Kathleen B, Dr., PhD, RN, CNOR, CNE, ANEF</t>
  </si>
  <si>
    <t>ABC of Resuscitation</t>
  </si>
  <si>
    <t>Soar, Jasmeet; Perkins, Gavin D.; Nolan, Jerry</t>
  </si>
  <si>
    <t>Creating a Common Table in Twentieth-Century Argentina : Dona Petrona, Women, and Food</t>
  </si>
  <si>
    <t>Pite, Rebekah E.</t>
  </si>
  <si>
    <t>ABC of Medically Unexplained Symptoms</t>
  </si>
  <si>
    <t>Burton, Christopher</t>
  </si>
  <si>
    <t>Therapeutic Advances in Thrombosis</t>
  </si>
  <si>
    <t>Moliterno, David J.; Kristensen, Steen Dalby; De Caterina, Raffaele</t>
  </si>
  <si>
    <t>Becoming a Marriage and Family Therapist : From Classroom to Consulting Room</t>
  </si>
  <si>
    <t>Mead, Eugene; Mead, Eugene</t>
  </si>
  <si>
    <t>Epilepsy in Women</t>
  </si>
  <si>
    <t>Harden, Cynthia; Thomas, Sanjeev V.; Tomson, Torbjorn</t>
  </si>
  <si>
    <t>The Interpersonal Neurobiology of Group Psychotherapy and Group Process</t>
  </si>
  <si>
    <t>Badenoch, Bonnie; Gantt, Susan P.</t>
  </si>
  <si>
    <t>The Wiley-Blackwell Handbook of Addiction Psychopharmacology</t>
  </si>
  <si>
    <t>MacKillop, James; de Wit, Harriet</t>
  </si>
  <si>
    <t>Practice Development in Nursing and Healthcare</t>
  </si>
  <si>
    <t>McCormack, Brendan; Manley, Kim; Titchen, Angie</t>
  </si>
  <si>
    <t>Evidence-Based Emergency Care : Diagnostic Testing and Clinical Decision Rules</t>
  </si>
  <si>
    <t>Pines, Jesse M.; Carpenter, Christopher R.; Raja, Ali S.; Schuur, Jeremiah D.</t>
  </si>
  <si>
    <t>Continuing Professional Development in Health and Social Care : Strategies for Lifelong Learning</t>
  </si>
  <si>
    <t>Alsop, Auldeen</t>
  </si>
  <si>
    <t>How to Assess Doctors and Health Professionals</t>
  </si>
  <si>
    <t>Davis, Mike; McKimm, Judy; Forrest, Kirsty</t>
  </si>
  <si>
    <t>ABC of Emergency Radiology</t>
  </si>
  <si>
    <t>Chan, Otto</t>
  </si>
  <si>
    <t>Ethnic Dermatology : Principles and Practice</t>
  </si>
  <si>
    <t>Dadzie, Ophelia E.; Petit, Antoine; Alexis, Andrew F.</t>
  </si>
  <si>
    <t>Research Methods in Clinical Linguistics and Phonetics : A Practical Guide</t>
  </si>
  <si>
    <t>Müller, Nicole; Ball, Martin J.</t>
  </si>
  <si>
    <t>Lead Optimization for Medicinal Chemists : Pharmacokinetic Properties of Functional Groups and Organic Compounds</t>
  </si>
  <si>
    <t>Dörwald, Florencio Zaragoza; Zaragoza Drwald, Florencio</t>
  </si>
  <si>
    <t>Cognitive Behavioral Therapy for Dental Phobia and Anxiety</t>
  </si>
  <si>
    <t>Öst, Lars-Göran; Skaret, Erik; Ost, Lars-Goran</t>
  </si>
  <si>
    <t>Surgery at a Glance</t>
  </si>
  <si>
    <t>Grace, Pierce A.; Borley, Neil R.</t>
  </si>
  <si>
    <t>Dictionary of Communication Disorders</t>
  </si>
  <si>
    <t>Morris, David</t>
  </si>
  <si>
    <t>Practical Flow Cytometry in Haematology Diagnosis</t>
  </si>
  <si>
    <t>Leach, Richard M.; Drummond, Mark; Doig, Allyson</t>
  </si>
  <si>
    <t>The Analyst's Analyst Within</t>
  </si>
  <si>
    <t>Tessman, Lora H.</t>
  </si>
  <si>
    <t>Interpreting Professional Self-Regulation : A History of the United Kingdom Central Council for Nursing, Midwifery and Health Visiting</t>
  </si>
  <si>
    <t>Beach, Abigail; Davies, Celia</t>
  </si>
  <si>
    <t>Neuropsychology of Cancer and Oncology</t>
  </si>
  <si>
    <t>Noggle, Chad; Dean, Raymond; Johnson, Gary</t>
  </si>
  <si>
    <t>Health Care Politics, Policy and Services : A Social Justice Analysis, Second Edition</t>
  </si>
  <si>
    <t>Almgren, Gunnar, MSW, PhD; Gunnar Almgren Msw, Phd</t>
  </si>
  <si>
    <t>Nurses with Disabilities : Professional Issues and Job Retention</t>
  </si>
  <si>
    <t>Simulation Scenarios for Nursing Educators, Second Edition : Making It Real</t>
  </si>
  <si>
    <t>Suzanne Campbell PhD, IBCLC; Karen Daley PhD, RN</t>
  </si>
  <si>
    <t>Analogue-Based Drug Discovery III</t>
  </si>
  <si>
    <t>Fischer, Janos; Ganellin, C. Robin; Rotella, David P.</t>
  </si>
  <si>
    <t>Foodomics : Advanced Mass Spectrometry in Modern Food Science and Nutrition</t>
  </si>
  <si>
    <t>Cifuentes, A.; Cifuentes, Alejandro; Cifuentes, Alejandro</t>
  </si>
  <si>
    <t>Essentials for Occupational Health Nursing</t>
  </si>
  <si>
    <t>Guzik, Arlene</t>
  </si>
  <si>
    <t>Review Questions for MRI</t>
  </si>
  <si>
    <t>Kaut Roth, Carolyn; Faulkner, William H.</t>
  </si>
  <si>
    <t>The Dyslexic Adult : Interventions and Outcomes - an Evidence-Based Approach</t>
  </si>
  <si>
    <t>McLoughlin, David; Leather, Carol</t>
  </si>
  <si>
    <t>How to Succeed at the Medical Interview</t>
  </si>
  <si>
    <t>Smith, Chris; Meeking, Darryl</t>
  </si>
  <si>
    <t>Practice Based Learning in Nursing, Health and Social Care: Mentorship, Facilitation and Supervision</t>
  </si>
  <si>
    <t>Scott, Ian; Spouse, Jenny</t>
  </si>
  <si>
    <t>An Aid to the MRCP PACES : Volume 2: Stations 2 And 4</t>
  </si>
  <si>
    <t>Banerjee, Dev; Sukumar, N.; Ryder, Robert E. J.; Mir, M. Afzal; Freeman, E. Anne</t>
  </si>
  <si>
    <t>Non-Alcoholic Fatty Liver Disease : A Practical Guide</t>
  </si>
  <si>
    <t>Farrell, Geoffrey C.; McCullough, Arthur J.; Day, Christopher P.</t>
  </si>
  <si>
    <t>Waksman, Ron; Saito, Shigeru</t>
  </si>
  <si>
    <t>Practical Neuropsychological Rehabilitation in Acquired Brain Injury : A Guide for Working Clinicians</t>
  </si>
  <si>
    <t>Coetzer, Rudi; Daisley, Audrey; Newby, Gavin; Weatherhead, Stephen</t>
  </si>
  <si>
    <t>Treatment-Resistant Depression</t>
  </si>
  <si>
    <t>Kasper, Siegfried; Montgomery, Stuart A.</t>
  </si>
  <si>
    <t>Biological Research on Addiction : Comprehensive Addictive Behaviors and Disorders</t>
  </si>
  <si>
    <t>Miller, Peter M.</t>
  </si>
  <si>
    <t>Hungry for Ecstasy : Trauma, the Brain, and the Influence of the Sixties</t>
  </si>
  <si>
    <t>Farber, Sharon Klayman</t>
  </si>
  <si>
    <t>The Handbook of Environmental Health</t>
  </si>
  <si>
    <t>Scarecrow Press</t>
  </si>
  <si>
    <t>Spellman, Frank R.; Stoudt, Melissa L.</t>
  </si>
  <si>
    <t>Around the World with Nephrology : An Autobiography</t>
  </si>
  <si>
    <t>Twardowski, Zbylut J.</t>
  </si>
  <si>
    <t>Clinical Pharmacology and Therapeutics : Clinical Pharmacology and Therapeutics</t>
  </si>
  <si>
    <t>McKay, Gerard A.; Walters, Matthew R.</t>
  </si>
  <si>
    <t>Essentials of Nuclear Medicine Physics and Instrumentation</t>
  </si>
  <si>
    <t>Powsner, Rachel A.; Palmer, Matthew R.; Powsner, Edward R.</t>
  </si>
  <si>
    <t>Hyperactive : The Controversial History of ADHD</t>
  </si>
  <si>
    <t>Multimedia Psychotherapy : A Psychodynamic Approach for Mourning in the Technological Age</t>
  </si>
  <si>
    <t>Nesci, Domenico A.,</t>
  </si>
  <si>
    <t>Neoplastic Hematopathology : An Atlas and Concise Guide</t>
  </si>
  <si>
    <t>Dunphy, Cherie</t>
  </si>
  <si>
    <t>Essentials of Clinical Infectious Diseases</t>
  </si>
  <si>
    <t>Wright, William</t>
  </si>
  <si>
    <t>Medical Consulting by Letter in France, 1665-1789</t>
  </si>
  <si>
    <t>Weston, Robert; Cunningham, Dr. Andrew; Grell, Professor Ole Peter</t>
  </si>
  <si>
    <t>Understanding Diabetes : A Biochemical Perspective</t>
  </si>
  <si>
    <t>Dods, R. F.</t>
  </si>
  <si>
    <t>Gastrointestinal Endoscopy in the Cancer Patient</t>
  </si>
  <si>
    <t>Deutsch, John C.; Banks, Matthew R.</t>
  </si>
  <si>
    <t>Occupational Therapy and Older People</t>
  </si>
  <si>
    <t>Atwal, Anita; McIntyre, Anne</t>
  </si>
  <si>
    <t>Human Blood Groups</t>
  </si>
  <si>
    <t>Daniels, Geoff</t>
  </si>
  <si>
    <t>High-Throughput Screening Methods in Toxicity Testing</t>
  </si>
  <si>
    <t>Steinberg, Pablo; Steinberg, Pablo</t>
  </si>
  <si>
    <t>Nanomaterials in Drug Delivery, Imaging, and Tissue Engineering</t>
  </si>
  <si>
    <t>Tiwari, Ashutosh; Tiwari, Atul</t>
  </si>
  <si>
    <t>Minicircle and Miniplasmid DNA Vectors : The Future of Non-Viral and Viral Gene Transfer</t>
  </si>
  <si>
    <t>Schleef, Martin</t>
  </si>
  <si>
    <t>Epidemiology Kept Simple : An Introduction to Traditional and Modern Epidemiology</t>
  </si>
  <si>
    <t>Gerstman, B. Burt</t>
  </si>
  <si>
    <t>Practical Transfusion Medicine</t>
  </si>
  <si>
    <t>Murphy, Michael F.; Pamphilon, Derwood H.; Heddle, Nancy M.</t>
  </si>
  <si>
    <t>Funding Mechanisms for Civil Society : The Experience of the AIDS Response</t>
  </si>
  <si>
    <t>Bonnel, Rene; Rodriguez-Garcia, Rosalia; Olivier, Jill; Ross, Julia; Bonnel, Rene; Olivier, Jill; McPherson, Sam</t>
  </si>
  <si>
    <t>The Door of Last Resort : Memoirs of a Nurse Practitioner</t>
  </si>
  <si>
    <t>Lead Wars : The Politics of Science and the Fate of America's Children</t>
  </si>
  <si>
    <t>Biomedical Composites : Materials, Manufacturing and Engineering</t>
  </si>
  <si>
    <t>Davim, J. Paulo</t>
  </si>
  <si>
    <t>Patient Safety - a Psychological Perspective : A Psychological Perspective</t>
  </si>
  <si>
    <t>Zacher, Hannes; Sonntag, Oswald; Plebani, Mario</t>
  </si>
  <si>
    <t>Touching and Being Touched : Kinesthesia and Empathy in Dance and Movement</t>
  </si>
  <si>
    <t>Brandstetter, Gabriele; Egert, Gerko; Zubarik, Sabine</t>
  </si>
  <si>
    <t>Statistical Models in Epidemiology</t>
  </si>
  <si>
    <t>Clayton, David; Hills, Michael</t>
  </si>
  <si>
    <t>Spirituality in Counseling and Psychotherapy : An Integrative Approach That Empowers Clients</t>
  </si>
  <si>
    <t>Johnson, Rick; Johnson, Rick</t>
  </si>
  <si>
    <t>The Orthodontic Mini-Implant Clinical Handbook</t>
  </si>
  <si>
    <t>Cousley, Richard</t>
  </si>
  <si>
    <t>The Chemistry of Contrast Agents in Medical Magnetic Resonance Imaging</t>
  </si>
  <si>
    <t>Merbach, Andre S.; Helm, Lothar; Tóth, Éva</t>
  </si>
  <si>
    <t>Medicine; Science: Chemistry; Science</t>
  </si>
  <si>
    <t>Wound Healing and Skin Integrity : Principles and Practice</t>
  </si>
  <si>
    <t>Flanagan, Madeleine</t>
  </si>
  <si>
    <t>Clinical Skills for Nurses : Student Survival Skills</t>
  </si>
  <si>
    <t>Boyd, Claire</t>
  </si>
  <si>
    <t>Medicine Management Skills for Nurses : Student Survival Skills</t>
  </si>
  <si>
    <t>Calculation Skills for Nurses : Student Survival Skills</t>
  </si>
  <si>
    <t>Acceptance and Commitment Therapy and Mindfulness for Psychosis</t>
  </si>
  <si>
    <t>Morris, Eric M. J.; Johns, Louise C.; Oliver, Joseph E.</t>
  </si>
  <si>
    <t>Nonclinical Safety Assessment : A Guide to International Pharmaceutical Regulations</t>
  </si>
  <si>
    <t>Brock, William J.; Hastings, Kenneth L.; McGown, Kathy M.</t>
  </si>
  <si>
    <t>Pituitary Disorders : Diagnosis and Management</t>
  </si>
  <si>
    <t>Laws, Edward; Ezzat, Shereen; Asa, Sylvia; Rio, Linda</t>
  </si>
  <si>
    <t>Evidence-Based Pediatric Oncology</t>
  </si>
  <si>
    <t>Pinkerton, Ross; Shankar, A. G.; Matthay, Katherine</t>
  </si>
  <si>
    <t>Nanoparticulate Drug Delivery Systems : Strategies, Technologies, and Applications</t>
  </si>
  <si>
    <t>Yeo, Y.; Yeo, Yoon</t>
  </si>
  <si>
    <t>Handbook for Theory, Research, and Practice in Gestalt Therapy</t>
  </si>
  <si>
    <t>Brownell, Philip</t>
  </si>
  <si>
    <t>Women and Depression</t>
  </si>
  <si>
    <t>Hussain, Iffat</t>
  </si>
  <si>
    <t>The Agronomy and Economy of Turmeric and Ginger : The Invaluable Medicinal Spice Crops</t>
  </si>
  <si>
    <t>Nair, K. P. Prabhakaran</t>
  </si>
  <si>
    <t>Youth, HIV/AIDS and Social Transformations in Africa</t>
  </si>
  <si>
    <t>CODESRIA</t>
  </si>
  <si>
    <t>Mwiturubani, Anthony; Gebre, Ayalew</t>
  </si>
  <si>
    <t>Population, Health and Development in Ghana : Attaining the Millennium Development Goals</t>
  </si>
  <si>
    <t>Sub-Saharan Publishers</t>
  </si>
  <si>
    <t>Mba, Chuks J.; Kwankye, Stephen O.</t>
  </si>
  <si>
    <t>Governing Health Systems in Africa</t>
  </si>
  <si>
    <t>Sama, Martyn; Nguyen, Vinh-Kim</t>
  </si>
  <si>
    <t>Eloquent Body</t>
  </si>
  <si>
    <t>Modjaji Books</t>
  </si>
  <si>
    <t>Garisch, Dawn</t>
  </si>
  <si>
    <t>Africa Focus Debates on Contemporary Contentious Biomedical Issues</t>
  </si>
  <si>
    <t>Langaa RPCIG</t>
  </si>
  <si>
    <t>Mawere, Munyaradzi</t>
  </si>
  <si>
    <t>Invisible Earthquake : A woman's journal through still birth</t>
  </si>
  <si>
    <t>Ndlovu, Malika</t>
  </si>
  <si>
    <t>Sant�, soci�t� et politiqueen Afrique</t>
  </si>
  <si>
    <t>Niang, Ibrahima</t>
  </si>
  <si>
    <t>Culture, Entertainment and Health Promotion in Africa</t>
  </si>
  <si>
    <t>Twaweza Communications</t>
  </si>
  <si>
    <t>Njogu, Kimani</t>
  </si>
  <si>
    <t>Elements of African Bioethics in a Western Frame</t>
  </si>
  <si>
    <t>Tangwa, B.</t>
  </si>
  <si>
    <t>Regenerative Medicine and Cell Therapy</t>
  </si>
  <si>
    <t>Stoltz, J.F.</t>
  </si>
  <si>
    <t>Handbook for Pandemic and Mass-Casualty Planning and Response</t>
  </si>
  <si>
    <t>Gursky, E.; Hreckovski, B.</t>
  </si>
  <si>
    <t>Global Telehealth 2012</t>
  </si>
  <si>
    <t>Smith, A.C.; Armfield, N.R.; Eikelboom, R.H.</t>
  </si>
  <si>
    <t>Enabling Health and Healthcare through ICT</t>
  </si>
  <si>
    <t>Courtney, K.L.; Shabestari, O.; Kuo, A.</t>
  </si>
  <si>
    <t>Medicine Meets Virtual Reality 20 : NextMed / MMVR20</t>
  </si>
  <si>
    <t>Westwood, J.D.; Westwood, S.W.; Felländer-Tsai, L.</t>
  </si>
  <si>
    <t>Neurotrauma : Managing Patients with Head Injury</t>
  </si>
  <si>
    <t>Abelson-Mitchell, Nadine</t>
  </si>
  <si>
    <t>Rheumatology Practice in Occupational Therapy : Promoting Lifestyle Management</t>
  </si>
  <si>
    <t>Goodacre, Lynne; McArthur, Margaret</t>
  </si>
  <si>
    <t>Field Guide to the Arrhythmias</t>
  </si>
  <si>
    <t>Lader, Ellis</t>
  </si>
  <si>
    <t>Business Basics for Dentists</t>
  </si>
  <si>
    <t>Willis, David O.</t>
  </si>
  <si>
    <t>Treating Compassion Fatigue</t>
  </si>
  <si>
    <t>Figley, Charles R.</t>
  </si>
  <si>
    <t>The Strategic Management of Health Care Organizations</t>
  </si>
  <si>
    <t>Ginter, Peter M.</t>
  </si>
  <si>
    <t>Transhumanist Reader : Classical and Contemporary Essays on the Science, Technology, and Philosophy of the Human Future</t>
  </si>
  <si>
    <t>More, Max; Vita-More, Natasha</t>
  </si>
  <si>
    <t>Robotic Surgery : Practical Examples in Gynecology</t>
  </si>
  <si>
    <t>di Liberto, Alexander; Kilic, Sami Gokhan; Ertan, Kubilay A.; Kose, M. Faruk</t>
  </si>
  <si>
    <t>Adolescent Psychiatry : A Contemporary Perspective for Health Professionals</t>
  </si>
  <si>
    <t>Merrick, Joav; Sher, Leo; Merrick, Joav</t>
  </si>
  <si>
    <t>Evidence-Based Acupuncture</t>
  </si>
  <si>
    <t>Leung, Ping-Chung; Liu, Tang-Yi</t>
  </si>
  <si>
    <t>Medical Robotics</t>
  </si>
  <si>
    <t>Troccaz, Jocelyne</t>
  </si>
  <si>
    <t>OSCEs at a Glance</t>
  </si>
  <si>
    <t>Blundell, Adrian; Harrison, Richard</t>
  </si>
  <si>
    <t>Oncology at a Glance</t>
  </si>
  <si>
    <t>Dark, Graham G.</t>
  </si>
  <si>
    <t>Diabetes and Wellbeing : Managing the Psychological and Emotional Challenges of Diabetes Types 1 And 2</t>
  </si>
  <si>
    <t>Nash, Jen</t>
  </si>
  <si>
    <t>Biotribology</t>
  </si>
  <si>
    <t>The History of American Homeopathy : From Rational Medicine to Holistic Health Care</t>
  </si>
  <si>
    <t>Haller, John S., Jr.; Flannery, Michael</t>
  </si>
  <si>
    <t>Birth in the Age of AIDS : Women, Reproduction, and HIV/AIDS in India</t>
  </si>
  <si>
    <t>Van Hollen, Cecilia</t>
  </si>
  <si>
    <t>On Freud's "Inhibitions, Symptoms and Anxiety"</t>
  </si>
  <si>
    <t>Arbiser, Samuel; Schneider, Jorge</t>
  </si>
  <si>
    <t>The Uses of Psychoanalysis in Working with Children's Emotional Lives</t>
  </si>
  <si>
    <t>Adelstein, Devra B.; Alaoglu, Ann; Anthony , E. James; Boldt, Gail; Brennan, Eileen; Carroll, Andrew; Charles , Marilyn; Cohen, Jonathan, Ph.D.; Cohler , Bertram; O'Loughlin, Michael</t>
  </si>
  <si>
    <t>Clinical Nutrition</t>
  </si>
  <si>
    <t>Elia, Marinos; Ljungqvist, Olle; Stratton, Rebecca J.; Lanham-New, Susan A.; Ljungqvist, Olle; Dowsett, Julie</t>
  </si>
  <si>
    <t>Vascular Considerations in Glaucoma : Current Perspective</t>
  </si>
  <si>
    <t>Harris, A.; Lerner, SF; Costa, V</t>
  </si>
  <si>
    <t>EKGs for the Nurse Practitioner and Physician Assistant</t>
  </si>
  <si>
    <t>Knechtel, Maureen</t>
  </si>
  <si>
    <t>Rural Nursing : Concepts, Theory, and Practice, Fourth Edition</t>
  </si>
  <si>
    <t>Charlene A. Winters PhD, ACNS-BC</t>
  </si>
  <si>
    <t>The Clinical Handbook of Biofeedback : A Step-By-Step Guide for Training and Practice with Mindfulness</t>
  </si>
  <si>
    <t>Khazan, Inna Z.</t>
  </si>
  <si>
    <t>Improving Patient Care : The Implementation of Change in Health Care</t>
  </si>
  <si>
    <t>Grol, Richard; Wensing, Michel; Eccles, Martin; Davis, David</t>
  </si>
  <si>
    <t>How to Assess Students and Trainees in Medicine and Health</t>
  </si>
  <si>
    <t>Westwood, Olwyn M. R.; Griffin, Ann; Hay, Frank C.</t>
  </si>
  <si>
    <t>Characterization of Biomaterials</t>
  </si>
  <si>
    <t>Bandyopadhyay, Amit; Bose, Susmita</t>
  </si>
  <si>
    <t>Radiation Oncology in Palliative Cancer Care</t>
  </si>
  <si>
    <t>Lutz, Stephen; Chow, Edward; Hoskin, Peter</t>
  </si>
  <si>
    <t>Framing Fat : Competing Constructions in Contemporary Culture</t>
  </si>
  <si>
    <t>Kwan, Samantha; Graves, Jennifer</t>
  </si>
  <si>
    <t>Nola : A Memoir of Faith, Art, and Madness</t>
  </si>
  <si>
    <t>Hemley, Robin</t>
  </si>
  <si>
    <t>Rockall, Andrea G.; Hatrick, Andrew; Armstrong, Peter; Wastie, Martin</t>
  </si>
  <si>
    <t>Infectious Disease Surveillance</t>
  </si>
  <si>
    <t>M'ikanatha, Nkuchia M.; Lynfield, Ruth; Van Beneden, Chris A.; de Valk, Henriette</t>
  </si>
  <si>
    <t>Health Promotion and Aging : Practical Applications for Health Professionals, Sixth Edition</t>
  </si>
  <si>
    <t>Psychodynamic Formulation</t>
  </si>
  <si>
    <t>Cabaniss, Deborah L; Cherry, Sabrina; Douglas, Carolyn J.; Cabaniss, Deborah L.; Douglas, Carolyn J; Schwartz, Anna R; Graver, Ruth; Schwartz, Anna R.</t>
  </si>
  <si>
    <t>Coordination Chemistry in Protein Cages : Principles, Design, and Applications</t>
  </si>
  <si>
    <t>Ueno, Takafumi; Watanabe, Yoshihito</t>
  </si>
  <si>
    <t>To Repair the World : Paul Farmer Speaks to the Next Generation</t>
  </si>
  <si>
    <t>Farmer, Paul; Weigel, Jonathan; Weigel, Jonathan L.; Clinton, Bill</t>
  </si>
  <si>
    <t>Neoplastic Mimics in Thoracic and Cardiovascular Pathology</t>
  </si>
  <si>
    <t>Wick, Mark; Tazelaar, Henry D.</t>
  </si>
  <si>
    <t>Marine Proteins and Peptides : Biological Activities and Applications</t>
  </si>
  <si>
    <t>Kim, Se-Kwon; Kim, Se-Kwon</t>
  </si>
  <si>
    <t>Trypanosomatid Diseases : Molecular Routes to Drug Discovery</t>
  </si>
  <si>
    <t>Selzer, Paul M.; J?ger, Timo; Koch, Oliver; Floh?, Leopold; J?ger, Timo; Floh?, Leopold</t>
  </si>
  <si>
    <t>Practical Manual of Echocardiography in the Urgent Setting</t>
  </si>
  <si>
    <t>Fridman, Vladimir; Garcia, Mario</t>
  </si>
  <si>
    <t>Becoming a Reflective Practitioner</t>
  </si>
  <si>
    <t>Everyday Medical Ethics and Law</t>
  </si>
  <si>
    <t>BMA Medical Ethics Department; Bma Medical Ethics Department,</t>
  </si>
  <si>
    <t>Griffin, John P.; Posner, John; Barker, Geoffrey R.</t>
  </si>
  <si>
    <t>Pharmacy; Social Science; Medicine; Health</t>
  </si>
  <si>
    <t>The Sense of Suffering : Constructions of Physical Pain in Early Modern Culture</t>
  </si>
  <si>
    <t>Dijkhuizen, J. F. van; Enenkel, K. A. E.</t>
  </si>
  <si>
    <t>Economics and Financial Management for Nurses and Nurse Leaders : Second Edition</t>
  </si>
  <si>
    <t>Susan J. Penner RN, CNL; Penner, Susan J Rn Mn Mpa Drph Cnl</t>
  </si>
  <si>
    <t>Advances in Relational Frame Theory : Research and Application</t>
  </si>
  <si>
    <t>Roche, Bryan; Dymond, Simon; De Houwer, Jan</t>
  </si>
  <si>
    <t>Practical Manual of Clinical Obesity</t>
  </si>
  <si>
    <t>Kushner, Robert F.; Lawrence, Victor; Kumar, Sudhesh; Lau, Namson</t>
  </si>
  <si>
    <t>Gestalt Therapy Around the World</t>
  </si>
  <si>
    <t>O'Leary, Eleanor; Maybury, Laura</t>
  </si>
  <si>
    <t>Modern Biopharmaceuticals : Recent Success Stories</t>
  </si>
  <si>
    <t>Kn?blein, J?rg; Knäblein, Jörg; Knblein, Jrg</t>
  </si>
  <si>
    <t>Supporting a Physiologic Approach to Pregnancy and Birth : A Practical Guide</t>
  </si>
  <si>
    <t>Avery, Melissa D.</t>
  </si>
  <si>
    <t>Bergin and Garfield's Handbook of Psychotherapy and Behavior Change</t>
  </si>
  <si>
    <t>Lambert, Michael J.; Bergin, Allen E.</t>
  </si>
  <si>
    <t>Practical Pediatric and Adolescent Gynecology</t>
  </si>
  <si>
    <t>Hillard, Paula J. Adams</t>
  </si>
  <si>
    <t>Practical Colonoscopy</t>
  </si>
  <si>
    <t>Rubin, Peter H.; Aisenberg, James; Waye, Jerome D.; Wayne, Jerome D</t>
  </si>
  <si>
    <t>Pharmacy on a Bicycle : Innovative Solutions for Global Health and Poverty</t>
  </si>
  <si>
    <t>Berrett-Koehler Publishers, Incorporated</t>
  </si>
  <si>
    <t>Bing, Eric; Epstein, Marc J.</t>
  </si>
  <si>
    <t>Psychotherapy for Neuropsychological Challenges</t>
  </si>
  <si>
    <t>Aniskiewicz, A. S.</t>
  </si>
  <si>
    <t>Sexual Boundary Violations : Therapeutic, Supervisory, and Academic Contexts</t>
  </si>
  <si>
    <t>Celenza, Andrea</t>
  </si>
  <si>
    <t>Oxford Handbook of Medical Statistics : Oxford Handbook of Medical Statistics</t>
  </si>
  <si>
    <t>Peacock, Janet; Peacock, Philip</t>
  </si>
  <si>
    <t>Oxford Handbook of Pain Management</t>
  </si>
  <si>
    <t>Brook, Peter; Pickering, Tony; Connell, Jayne</t>
  </si>
  <si>
    <t>Living with HIV and Dying with AIDS : Diversity, Inequality and Human Rights in the Global Pandemic</t>
  </si>
  <si>
    <t>Doyal, Lesley; Doyal, Professor Lesley; Poku, Professor Nana K</t>
  </si>
  <si>
    <t>Cervical Cancer : Its causes and prevention (Revised and Updated edition)</t>
  </si>
  <si>
    <t>Marshall Cavendish</t>
  </si>
  <si>
    <t>Sun Kuie, Tay</t>
  </si>
  <si>
    <t>New Mechanisms in Glucose Control</t>
  </si>
  <si>
    <t>Barnett, Anthony H.; Grice, Jenny</t>
  </si>
  <si>
    <t>Manual of Clinical Paramedic Procedures</t>
  </si>
  <si>
    <t>Gregory, Pete; Mursell, Ian</t>
  </si>
  <si>
    <t>Clinical Sports Psychiatry : An International Perspective</t>
  </si>
  <si>
    <t>Baron, David A.; Reardon, Claudia L.; Baron, Steven H.</t>
  </si>
  <si>
    <t>The Future of Post-Human Culinary Art : Towards a New Theory of Ingredients and Techniques</t>
  </si>
  <si>
    <t>Baofu, Peter</t>
  </si>
  <si>
    <t>Simulation-based Medical Training : A User-Centred Design Perspective</t>
  </si>
  <si>
    <t>Lövquist, Erik</t>
  </si>
  <si>
    <t>The Ethics of Consent and Choice in Prenatal Screening</t>
  </si>
  <si>
    <t>Miligan, Eleanor</t>
  </si>
  <si>
    <t>Sociological Perspectives of Health and Illness</t>
  </si>
  <si>
    <t>Phellas, Constantinos N.</t>
  </si>
  <si>
    <t>The Research Process in Nursing</t>
  </si>
  <si>
    <t>Gerrish, Kate; Lacey, Anne</t>
  </si>
  <si>
    <t>Endovascular and Hybrid Therapies for Structural Heart and Aortic Disease</t>
  </si>
  <si>
    <t>Kpodonu, Jacques; Bonan, Raoul</t>
  </si>
  <si>
    <t>Abdominal Organ Retrieval and Transplantation Bench Surgery</t>
  </si>
  <si>
    <t>Oniscu, Gabriel; Forsythe, John; Fung, John</t>
  </si>
  <si>
    <t>Psychoanalysis Online : Mental Health, Teletherapy, and Training</t>
  </si>
  <si>
    <t>Savege Scharff, Jill</t>
  </si>
  <si>
    <t>Laughing Star : A Story of Tough Love</t>
  </si>
  <si>
    <t>Nisbet, Jo</t>
  </si>
  <si>
    <t>Therapeutic Revolutions : Medicine, Psychiatry, and American Culture, 1945-1970</t>
  </si>
  <si>
    <t>Halliwell, Martin</t>
  </si>
  <si>
    <t>Innovation : Essentials from Leader to Leader</t>
  </si>
  <si>
    <t>LTL (Leader to Leader) Staff</t>
  </si>
  <si>
    <t>Drug Discovery : Practices, Processes, and Perspectives</t>
  </si>
  <si>
    <t>Li, Jie Jack; Corey, E. J.</t>
  </si>
  <si>
    <t>Irritable Bowel Syndrome : Diagnosis and Clinical Management</t>
  </si>
  <si>
    <t>Emmanuel, Anton; Quigley, Eamonn M. M.</t>
  </si>
  <si>
    <t>Advanced Delivery and Therapeutic Applications of RNAi</t>
  </si>
  <si>
    <t>Cheng, Kun; Mahato, Ram I.</t>
  </si>
  <si>
    <t>Science: Biology/Natural History; Pharmacy; Science; Medicine</t>
  </si>
  <si>
    <t>Manual of Dietetic Practice</t>
  </si>
  <si>
    <t>Thomas, Briony; Bishop, Jacki</t>
  </si>
  <si>
    <t>Food Safety Management in China : A Perspective from Food Quality Control System</t>
  </si>
  <si>
    <t>Zhejiang University Press</t>
  </si>
  <si>
    <t>Zhou, Jiehong; Jin, Shaosheng</t>
  </si>
  <si>
    <t>A Mathematical Approach to Multilevel, Multiscale Health Interventions : Pharmaceutical Industry Decline and Policy Response</t>
  </si>
  <si>
    <t>Wallace Rodrick Wallace Deborah,; Wallace, Deborah</t>
  </si>
  <si>
    <t>Acupuncture : Theories and Evidence</t>
  </si>
  <si>
    <t>Hong, Hai</t>
  </si>
  <si>
    <t>Physics for Radiation Protection</t>
  </si>
  <si>
    <t>Martin, James E.</t>
  </si>
  <si>
    <t>Guidelines for Nurse Practitioners in Ambulatory Obstetric Settings</t>
  </si>
  <si>
    <t>Cibulka, Nancy J.; Barron, Mary Lee; Duffy, Joanne R; Cibulka, Nancy J Phd Whnp Bc Fn; Barron, Mary Lee Phd Fnp B</t>
  </si>
  <si>
    <t>Quality Caring in Nursing and Health Systems : Implications for Clinicians, Educators, and Leaders, 2nd Edition</t>
  </si>
  <si>
    <t>Joanne R. Duffy PhD, RN; Joanne R Duffy Phd, Rn</t>
  </si>
  <si>
    <t>Critical Care Manual of Clinical Procedures and Competencies</t>
  </si>
  <si>
    <t>Mallett, Jane; Albarran, John; Richardson, Annette</t>
  </si>
  <si>
    <t>Affordable Excellence : The Singapore Health System</t>
  </si>
  <si>
    <t>Brookings Institution Press with the National University of Singapore Press</t>
  </si>
  <si>
    <t>Haseltine, William A.</t>
  </si>
  <si>
    <t>Beyond Words : Illness and the Limits of Expression</t>
  </si>
  <si>
    <t>Conway, Kathlyn</t>
  </si>
  <si>
    <t>Drug-Induced Liver Disease</t>
  </si>
  <si>
    <t>Kaplowitz, Neil; DeLeve, Laurie D.</t>
  </si>
  <si>
    <t>Nutrition and Development : Short and Long Term Consequences for Health</t>
  </si>
  <si>
    <t>Wyness, Laura; Stanner, Sara; Buttriss, Judith; British Nutrition Foundation Staff</t>
  </si>
  <si>
    <t>Professional Practice in Paramedic, Emergency, and Urgent Care</t>
  </si>
  <si>
    <t>Nixon, Val</t>
  </si>
  <si>
    <t>Toward Interventions in Human Resources for Health in Ghana : Evidence for Health Workforce Planning and Results</t>
  </si>
  <si>
    <t>Appiah-Denkyira, Ebenezer; Herbst, Christopher H.; Soucat, Agnes; Soucat, Agnes; Saleh, Karima</t>
  </si>
  <si>
    <t>What does it mean to be two? Revised : What every practitioner needs to understand about the development of two-year-olds</t>
  </si>
  <si>
    <t>Lindon, Jennie</t>
  </si>
  <si>
    <t>Education; Medicine; Social Science; Home Economics</t>
  </si>
  <si>
    <t>Neuropsychological Rehabilitation</t>
  </si>
  <si>
    <t>Noggle, Chad; Dean, Raymond; Barisa, Mark</t>
  </si>
  <si>
    <t>Nursing Leadership from the Outside In</t>
  </si>
  <si>
    <t>Fitzpatrick, Joyce; Glazer, Greer</t>
  </si>
  <si>
    <t>Fast Facts for the ER Nurse : Emergency Room Orientation in a Nutshell, Second Edition</t>
  </si>
  <si>
    <t>Buettner, Jennifer R., RN, CEN; Buettner, Jennifer Rn Ce</t>
  </si>
  <si>
    <t>After a Fall : A Sociomedical Sojourn</t>
  </si>
  <si>
    <t>Richardson, Laurel</t>
  </si>
  <si>
    <t>Reconstructing Bodies : Biomedicine, Health, and Nation-Building in South Korea Since 1945</t>
  </si>
  <si>
    <t>DiMoia, John</t>
  </si>
  <si>
    <t>Sustaining the Drive to Overcome the Global Impact of Neglected Tropical Diseases : Second WHO Report on Neglected Tropical Diseases</t>
  </si>
  <si>
    <t>World Health Organization; Crompton, D.W.T.</t>
  </si>
  <si>
    <t>Introductory Linguistics for Speech and Language Therapy Practice</t>
  </si>
  <si>
    <t>McAllister, Jan; Miller, James E., Jr.</t>
  </si>
  <si>
    <t>Neurovascular Examination : The Rapid Evaluation of Stroke Patients Using Ultrasound Waveform Interpretation</t>
  </si>
  <si>
    <t>Alexandrov, Andrei V.</t>
  </si>
  <si>
    <t>Atlas of Clinical Vascular Medicine</t>
  </si>
  <si>
    <t>Jaff, Michael R.; Mintz, Bruce L.; Mintz, Jessica</t>
  </si>
  <si>
    <t>Irrationality in Health Care : What Behavioral Economics Reveals about What We Do and Why</t>
  </si>
  <si>
    <t>Hough, Douglas E.</t>
  </si>
  <si>
    <t>Art on Trial : Art Therapy in Capital Murder Cases</t>
  </si>
  <si>
    <t>David</t>
  </si>
  <si>
    <t>Middle Range Theory for Nursing : Third Edition</t>
  </si>
  <si>
    <t>Mary Jane Smith PhD, RN; Patricia R. Liehr PhD, RN</t>
  </si>
  <si>
    <t>Alzheimer’s Disease: Advances for a New Century</t>
  </si>
  <si>
    <t>Perry, G.; Zhu, X.; Smith†, M. A.; Sorensen, A.</t>
  </si>
  <si>
    <t>Internet‐Based Intelligence in Public Health Emergencies : Early Detection and Response in Disease Outbreak Crises</t>
  </si>
  <si>
    <t>Mordini, E.; Green, M.</t>
  </si>
  <si>
    <t>Data and Knowledge for Medical Decision Support : Proceedings of the EFMI Special Topic Conference, 17-19 April 2013, Prague, Czech Republic</t>
  </si>
  <si>
    <t>IOS Press, Incorporated</t>
  </si>
  <si>
    <t>Blobel, B.; Hasman, A.; ZvÃ¡rovÃ¡, Jana</t>
  </si>
  <si>
    <t>Stress Management For Dummies</t>
  </si>
  <si>
    <t>Elkin, Allen</t>
  </si>
  <si>
    <t>Getting into Medical School For Dummies</t>
  </si>
  <si>
    <t>Eaton, Carleen; Eaton, Carleen</t>
  </si>
  <si>
    <t>Medicinal Chemistry : Fusion of Traditional and Western Medicine</t>
  </si>
  <si>
    <t>E Smith, Robert</t>
  </si>
  <si>
    <t>Structural Intimacies : Sexual Stories in the Black AIDS Epidemic</t>
  </si>
  <si>
    <t>Mackenzie, Sonja</t>
  </si>
  <si>
    <t>Transdisciplinary Public Health : Research, Methods, and Practice</t>
  </si>
  <si>
    <t>Haire-Joshu, Debra; McBride, Timothy D.</t>
  </si>
  <si>
    <t>How to Do Your Research Project : A Guide for Students in Medicine and the Health Sciences</t>
  </si>
  <si>
    <t>Beardsmore, Caroline</t>
  </si>
  <si>
    <t>Royal Society of Chemistry</t>
  </si>
  <si>
    <t>Barbour, Anthony K; Burdett, N A; Cairns Jr, John; De Mora, Stephen J; Chave, P A; Crutzen, Paul; Fish, Hugh; Gittins, Michael J; Harries, John E; Hopke, Philip K</t>
  </si>
  <si>
    <t>Alternatives To Animal Testing</t>
  </si>
  <si>
    <t>Illing, Paul; Balls, Michael; Combes, Robert; Knight, Derek; Westmoreland, Carl; Hester, R E; Harrison, R M</t>
  </si>
  <si>
    <t>Amorphous Food and Pharmaceutical Systems</t>
  </si>
  <si>
    <t>Levine, Harry</t>
  </si>
  <si>
    <t>Animal Models for Neurodegenerative Disease</t>
  </si>
  <si>
    <t>Stefanis, Leonidas; LaFerla, Frank M.; Takashima, Akihiki; Soriano, Eduardo; Gotz, Jurgen; Avila, Jesus; Lucas, Jose J; Hernandez, Felix; Martinez, Ana; Thurston, David E.</t>
  </si>
  <si>
    <t>Bile Acids : Toxicology and Bioactivity</t>
  </si>
  <si>
    <t>Stamp, Dennis; Ross, Peter E.; Dvorak, Katerina; Garewal, Harinder; Tselepis, Chris; Boult, Jessica; Hull, Mark; Jenkins, Gareth J; Hardie, Laura; Anderson, Diana</t>
  </si>
  <si>
    <t>Biological Interactions with Surface Charge in Biomaterials</t>
  </si>
  <si>
    <t>Podbielska, Halina; Plesch, Gustav; Wysocka-Krol, Katarzyna; Vargova, Melinda; Kopaczynska, Marta; Gregor, Maros; Tofail, Syed; O'Brien, Paul; Craighead, Harold G.; Kroto, Harry</t>
  </si>
  <si>
    <t>Biomarkers and Human Biomonitoring : Volume 1</t>
  </si>
  <si>
    <t>Hundeboll, Nanna; Horvat, Milena; Kolossa, Marike; Lupsa, Ioana; Frery, Nadine; Knudsen, Lisbeth; Merlo, Domenico Franco; Anderson, Diana; Marrs, Tim; Waters, Mike D.</t>
  </si>
  <si>
    <t>Biomarkers and Human Biomonitoring : Volume 2</t>
  </si>
  <si>
    <t>Tornqvist, Margareta; Phillips, David H.; Turner, Paul C.; Hansen, Ase Marie; Decordier, Ilse; Knudsen, Lisbeth; Merlo, Domenico Franco; Anderson, Diana; Marrs, Tim; Waters, Mike D.</t>
  </si>
  <si>
    <t>Biomarkers for Traumatic Brain Injury</t>
  </si>
  <si>
    <t>Curley, Kenneth; Dambinova, Svetlana; Hayes, Ronald  L; Wang, Kevin K.W.; Thurston, David E.; Fox, David; Guccione, Salvatore; Martinez, Ana; Rotella, David P.; Ganellin, Professor Robin</t>
  </si>
  <si>
    <t>Biomimetic Nanoceramics in Clinical Use : From Materials to Applications</t>
  </si>
  <si>
    <t>Vallet-Regi, María; Arcos Navarrete, Daniel A; O'Brien, Paul; Kroto, Harry; Craighead, Harold G.</t>
  </si>
  <si>
    <t>Chemical Aspects of Drug Delivery Systems</t>
  </si>
  <si>
    <t>Karsa, D R; Stephenson, R A</t>
  </si>
  <si>
    <t>Chemistry and Medicines : An Introductory Text</t>
  </si>
  <si>
    <t>Hanson, James R.</t>
  </si>
  <si>
    <t>The Chemistry of Medical and Dental Materials</t>
  </si>
  <si>
    <t>Nicholson, John W</t>
  </si>
  <si>
    <t>Chromatography and Capillary Electrophoresis in Food Analysis</t>
  </si>
  <si>
    <t>Sorensen, Hilmer; Sorensen, Susanne; Michaelsen, Soren; Belton, Peter S; Bjergegaard, Charlotte</t>
  </si>
  <si>
    <t>Drug Design : Cutting Edge Approaches</t>
  </si>
  <si>
    <t>Flower, Darren R</t>
  </si>
  <si>
    <t>Drugs : Photochemistry and Photostability</t>
  </si>
  <si>
    <t>Albini, Angelo; Fasani, E</t>
  </si>
  <si>
    <t>Endocrine Disrupting Chemicals</t>
  </si>
  <si>
    <t>Harrison, Paul; Turner, Katie J; Maciorowski, Anthony; Depledge, Mike; Galloway, T S; Billinghurst, Z; Kime, David E; Phillips, B; Botham, C; Holmes, Philip</t>
  </si>
  <si>
    <t>Environmental and Health Impact of Solid Waste Management Activities</t>
  </si>
  <si>
    <t>Williams, Paul T; Strange, Kit; Gladding, Toni L; Gilbert, E Jane; Crook, Brian; Redfearn, A; Rabl, Ari; Spadaro, Joe V; Dolk, H; Roberts, R D</t>
  </si>
  <si>
    <t>Engineering: Environmental; Engineering; Environmental Studies</t>
  </si>
  <si>
    <t>Essential Guide to Food Additives : A Robust Approach</t>
  </si>
  <si>
    <t>Leatherhead Food International</t>
  </si>
  <si>
    <t>Experimental Toxicology : The Basic Issues</t>
  </si>
  <si>
    <t>Anderson, Diana; Conning, D. M.</t>
  </si>
  <si>
    <t>Extraction of Organic Analytes from Foods : A Manual of Methods</t>
  </si>
  <si>
    <t>Self, Ron; Belton, Peter S</t>
  </si>
  <si>
    <t>Food : The Chemistry of its Components</t>
  </si>
  <si>
    <t>Coultate, Tom</t>
  </si>
  <si>
    <t>Food Allergy and Intolerance : Current Issues and Concerns</t>
  </si>
  <si>
    <t>Emerton, Victoria</t>
  </si>
  <si>
    <t>Food Chain Allergen Management : Proceedings of a Conference Held at Leatherhead Food Research, 20 May 2009</t>
  </si>
  <si>
    <t>Food Flavours : Biology and Chemistry</t>
  </si>
  <si>
    <t>Fisher, Carolyn; Scott, Thomas R.</t>
  </si>
  <si>
    <t>Food Safety and Food Quality</t>
  </si>
  <si>
    <t>Chesson, Andrew; Andrews, Geoff; Malcolm, Alan D B; Goodacre, Christina; Gold, Lois S; Wright, James N; Taylor, David; Lillford, Peter; Slone, Thomas; Ames, Bruce</t>
  </si>
  <si>
    <t>Freeze-drying of Pharmaceuticals and Biopharmaceuticals : Principles and Practice</t>
  </si>
  <si>
    <t>Franks, Felix; Auffret, Tony</t>
  </si>
  <si>
    <t>Fundamental Toxicology</t>
  </si>
  <si>
    <t>Duffus, John H.; Worth, Howard G. J.; McGregor, Douglas B.; Illing, Harry  P. A.; Agius, Raymond M.; Aldridge, Roger; Fowler, John S.L.; Heinzow, Birger; Herber, R.F.M.; Jones, Alison L.</t>
  </si>
  <si>
    <t>Fundamental Toxicology for Chemists</t>
  </si>
  <si>
    <t>Duffus, John H.; McGregor, Douglas B.; Illing, Paul; Worth, Howard G.J.; Agius, Raymond M.; Aldridge, Roger; Fowler, John S.L.; Heinzow, Birger; Herber, R.F.M.</t>
  </si>
  <si>
    <t>Medicine; Health; Social Science; Science: Biology/Natural History; Science</t>
  </si>
  <si>
    <t>HACCP : A Toolkit for Implementation</t>
  </si>
  <si>
    <t>Wareing, Peter; Royal Society of Chemistry (Great Britain) Staff</t>
  </si>
  <si>
    <t>Is Arsenic an Aphrodisiac? : The Sociochemistry of an Element</t>
  </si>
  <si>
    <t>Capper, Peter; Cullen, William R</t>
  </si>
  <si>
    <t>Life Saving Drugs : The Elusive Magic Bullet</t>
  </si>
  <si>
    <t>Mann, John</t>
  </si>
  <si>
    <t>Magnetic Resonance in Food Science : A View to the Future</t>
  </si>
  <si>
    <t>Webb, G A; Belton, Peter S; Gil, A M; Delgadillo, I</t>
  </si>
  <si>
    <t>Magnetic Resonance in Food Science : Latest Developments</t>
  </si>
  <si>
    <t>Belton, Peter S; Gil, A M; Webb, G A; Rutledge, Doug</t>
  </si>
  <si>
    <t>The Maillard Reaction : Chemistry, Biochemistry and Implications</t>
  </si>
  <si>
    <t>Nursten, H E</t>
  </si>
  <si>
    <t>Mass Spectrometry of Natural Substances in Food</t>
  </si>
  <si>
    <t>Mellon, Fred; Startin, Jim R; Self, Ron; Belton, Peter S</t>
  </si>
  <si>
    <t>Nano and Microsensors for Chemical and Biological Terrorism Surveillance</t>
  </si>
  <si>
    <t>Tok, Jeffrey B. H.; Snow, Eric; Snow, Eric; Knight, Lester B.; Malliaras, George G.; Rotello, Vincent; Michelini, Elisa; Majumdar, Arun; Sohn, Lydia L.; Lieber, Charles</t>
  </si>
  <si>
    <t>Nanotechnologies in Food</t>
  </si>
  <si>
    <t>Arnout, Fisher; Frewer, Lynn J.; Bennett, David; Morris, Vic; Chaudhry, Qasim; Castle, Laurence; Watkins, Richard; O'Brien, Paul; Craighead, Harold; Kroto, Harry</t>
  </si>
  <si>
    <t>Neurodegeneration : Metallostasis and Proteostasis</t>
  </si>
  <si>
    <t>Williams, Robert J. P.; Ruddock, Lloyd; Sitia, Roberto; Kagan, Bruce; Sovago, Imre; Calissano, Pietro; Milardi, Danilo; Rizzarelli, Enrico; Guccione, Salvatore; Thurston, David E.</t>
  </si>
  <si>
    <t>New Frontiers in Chemical Biology : Enabling Drug Discovery</t>
  </si>
  <si>
    <t>Nelson, Adam; Fisher, Martin; Davis, Ben; Edgington, L. E.; Bunnage, Mark Edward; Thurston, David E.; Fox, David; Martinez, Ana; Rotella, David P.; Ganellin, Professor Robin</t>
  </si>
  <si>
    <t>New Synthetic Technologies in Medicinal Chemistry</t>
  </si>
  <si>
    <t>Merritt, Andrew; Roffey, Jon; Bagley, Mark; Farrant, Elizabeth; Ley, Steven V.; Thurston, David E.; Fox, David; Rotella, David P.; Martinez, Ana; Guccione, Salvatore</t>
  </si>
  <si>
    <t>NMR Spectroscopy in Food Analysis</t>
  </si>
  <si>
    <t>Spyros, Apostolos; Dais, Photis; Belton, Peter S; Wood, Roger</t>
  </si>
  <si>
    <t>Nutrition Through the Life Cycle</t>
  </si>
  <si>
    <t>Shetty, Prakash</t>
  </si>
  <si>
    <t>Nutritional Aspects of Bone Health</t>
  </si>
  <si>
    <t>National Oesteoporosis Society; Reid, David; Russell, Ann S; Dennison, Elaine; Cooper, Cyrus; Johnell, Olof; McGuigan, Fiona E A; Ralston, Stuart H; Pettifor, John M; Goldberg, Gail R</t>
  </si>
  <si>
    <t>Pharmaceutical Process Development : Current Chemical and Engineering Challenges</t>
  </si>
  <si>
    <t>Butters, Mike; Dunn, Peter; Blacker, John; Williams, Michael T; Thurston, David E.; Fox, David; Rotella, David P.; Martinez, Ana; Guccione, Salvatore; Ganellin, Professor Robin</t>
  </si>
  <si>
    <t>Quality in the Food Analysis Laboratory</t>
  </si>
  <si>
    <t>Wood, Roger; Wallin, Harriet; Nilsson, Anders; Belton, Peter S.</t>
  </si>
  <si>
    <t>Rapid Detection Assays for Food and Water</t>
  </si>
  <si>
    <t>Clark, Stuart A; Thompson, K Clive; Keevil, C William; Smith, Mark S</t>
  </si>
  <si>
    <t>Science of Bakery Products</t>
  </si>
  <si>
    <t>Edwards, William P.</t>
  </si>
  <si>
    <t>Silver in Healthcare : Its Antimicrobial Efficacy and Safety in Use</t>
  </si>
  <si>
    <t>Lansdown, Alan B. G.; Anderson, Diana; Waters, Mike D.; Marrs, Tim</t>
  </si>
  <si>
    <t>Trace Elements Medicine and Chelation Therapy</t>
  </si>
  <si>
    <t>Williams, David R.; Taylor, David M.</t>
  </si>
  <si>
    <t>What is Safe? : Risks of Living in a Nuclear Age</t>
  </si>
  <si>
    <t>Williams, David R.</t>
  </si>
  <si>
    <t>Medical Decision Making</t>
  </si>
  <si>
    <t>Sox, Harold C., Jr.; Higgins, Michael C.; Owens, Douglas K.</t>
  </si>
  <si>
    <t>Designing and Delivering Dementia Services</t>
  </si>
  <si>
    <t>de Waal, Hugo; Lyketsos, Constantine; Ames, David; O'Brien, John, Jr.</t>
  </si>
  <si>
    <t>The Dialectical Behavior Therapy Primer : How DBT Can Inform Clinical Practice</t>
  </si>
  <si>
    <t>Brodsky, Beth S.; Stanley, Barbara</t>
  </si>
  <si>
    <t>Neural Circuit Development and Function in the Brain : Comprehensive Developmental Neuroscience</t>
  </si>
  <si>
    <t>Rubenstein, John; Rakic, Pasko; Rakic, Pasko</t>
  </si>
  <si>
    <t>Evidence-Based Nursing : An Introduction</t>
  </si>
  <si>
    <t>Cullum, Nicky; Ciliska, Donna; Haynes, Brian; Marks, Susan</t>
  </si>
  <si>
    <t>Chimes of Time : Wounded Health Professionals. Essays on Recovery</t>
  </si>
  <si>
    <t>SIdestone Press</t>
  </si>
  <si>
    <t>Kirkcaldy, Bruce</t>
  </si>
  <si>
    <t>The Mindfulness and Acceptance Workbook for Social Anxiety and Shyness : Using Acceptance and Commitment Therapy to Free Yourself from Fear and Reclaim Your Life</t>
  </si>
  <si>
    <t>Fleming, Jan E.; Kocovski, Nancy L.; Segal, Zindel V.</t>
  </si>
  <si>
    <t>Introduction to Biological and Small Molecule Drug Research and Development : Theory and Case Studies</t>
  </si>
  <si>
    <t>Ganellin, C. Robin; Jefferis, Roy; Roberts, Stanley M.</t>
  </si>
  <si>
    <t>The Psychiatric Interview : Evaluation and Diagnosis</t>
  </si>
  <si>
    <t>Tasman, Allan; Kay, Jerald; Ursano, Robert J.</t>
  </si>
  <si>
    <t>Drug-Drug Interactions for Therapeutic Biologics</t>
  </si>
  <si>
    <t>Zhou, Honghui; Meibohm, Bernd</t>
  </si>
  <si>
    <t>Convenient Care Clinics : The Essential Guide to Retail Clinics for Clinicians, Managers, and Educators</t>
  </si>
  <si>
    <t>Ryan, Sandra, MSN, RN, CPNP, FCPP, FAANP; Riff, Joshua, MD, MBA, FACEP; Hansen-Turton, Tine, MGA, JD</t>
  </si>
  <si>
    <t>Fast Facts for Health Promotion in Nursing : Promoting Wellness in a Nutshell</t>
  </si>
  <si>
    <t>Miller, Carol A.</t>
  </si>
  <si>
    <t>Professional Development, Reflection, and Decision-Making in Nursing and Healthcare</t>
  </si>
  <si>
    <t>Jasper, Melanie; Rosser, Megan; Mooney, Gail P.</t>
  </si>
  <si>
    <t>Food Politics : How the Food Industry Influences Nutrition and Health</t>
  </si>
  <si>
    <t>Nestle, Marion; Pollan, Michael</t>
  </si>
  <si>
    <t>Research Priorities for the Environment  Agriculture and Infectious Diseases of Poverty : Technical Report of the TDR Thematic Reference Group on Environment  Agriculture and Infectious Diseases of Poverty</t>
  </si>
  <si>
    <t>Radiation Oncology : Difficult Cases and Practical Management</t>
  </si>
  <si>
    <t>Small, William; Williams, Tim; Donnelly, Eric D.</t>
  </si>
  <si>
    <t>Implementing Culture Change in Long-Term Care : Benchmarks and Strategies for Management and Practice</t>
  </si>
  <si>
    <t>Jurkowski, Elaine T.; Elaine T Jurkowski Msw, Phd</t>
  </si>
  <si>
    <t>Labor Market for Health Workers in Africa : A New Look at the Crisis</t>
  </si>
  <si>
    <t>Soucat, Agnes; Scheffler, Richard; Ghebreyesus, Tedros</t>
  </si>
  <si>
    <t>Concept of Botho and HIV/AIDS in Botswana</t>
  </si>
  <si>
    <t>Zapf Chancery Publishers Africa Ltd.</t>
  </si>
  <si>
    <t>Gaie, R.; MMolai, K.</t>
  </si>
  <si>
    <t>Black Man and his Visa</t>
  </si>
  <si>
    <t>Lonkog, Tardif</t>
  </si>
  <si>
    <t>Of Medicines and Markets : Intellectual Property and Human Rights in the Free Trade Era</t>
  </si>
  <si>
    <t>Godoy, Angelina Snodgrass</t>
  </si>
  <si>
    <t>Health; Economics; Social Science; Business/Management</t>
  </si>
  <si>
    <t>Tsunami : To Survive from Tsunami</t>
  </si>
  <si>
    <t>Takayama, Tomotsuka; Imamura, Fumihiko; Murata, Susumu</t>
  </si>
  <si>
    <t>Science; Science: Geology</t>
  </si>
  <si>
    <t>Bernard G Sarnat : 20th Century Plastic Surgeon and Biological Scientist</t>
  </si>
  <si>
    <t>Lestrel, Pete E.; Sarnat, Bernard G.</t>
  </si>
  <si>
    <t>Using Animal Models in Biomedical Research : A Primer for the Investigator</t>
  </si>
  <si>
    <t>Chow, Pierce K.H.; Ng, Robert T.H.; Ogden, Bryan E.</t>
  </si>
  <si>
    <t>Youth Prolonged : Old Age Postponed</t>
  </si>
  <si>
    <t>Weale, Robert</t>
  </si>
  <si>
    <t>White Blood : Personal Journeys with Childhood Leukaemia</t>
  </si>
  <si>
    <t>Greaves, Mel</t>
  </si>
  <si>
    <t>Advances in Biomedical Photonics and Imaging : Proceedings of the 6th International Conference on Photonics and Imaging in Biology and Medicine (PIBM 2007)</t>
  </si>
  <si>
    <t>Luo, Qingming; Tuchin, Valery V.; Wang, Lihong V.</t>
  </si>
  <si>
    <t>Searching for the Best Medicine : The Life and Times of a Doctor and Patient</t>
  </si>
  <si>
    <t>Bank, Arthur</t>
  </si>
  <si>
    <t>Seri : Singapore's World-Class Research - Singapore Eye Research Institute</t>
  </si>
  <si>
    <t>Lim, Arthur</t>
  </si>
  <si>
    <t>Neuropsychology and Philosophy of Mind in Process : Essays in Honor of Jason W. Brown</t>
  </si>
  <si>
    <t>Pachalska, Maria; Weber, Michel</t>
  </si>
  <si>
    <t>When the Bubble Bursts : Clinical Perspectives on Midlife Issues</t>
  </si>
  <si>
    <t>Goldstein, Eda</t>
  </si>
  <si>
    <t>September 11 : Trauma and Human Bonds</t>
  </si>
  <si>
    <t>Coates, Susan; Rosenthal, Jane; Schechter, Daniel</t>
  </si>
  <si>
    <t>Cancer and the Family Life Cycle : A Practitioner's Guide</t>
  </si>
  <si>
    <t>Veach, Theresa A.; Nicholas, Donald R.; Barton, Marci A.</t>
  </si>
  <si>
    <t>Contemporary Collecting : Objects, Practices, and the Fate of Things</t>
  </si>
  <si>
    <t>Moist, Kevin M.; Banash, David</t>
  </si>
  <si>
    <t>Museums; Social Science</t>
  </si>
  <si>
    <t>The Green Museum : A Primer on Environmental Practice</t>
  </si>
  <si>
    <t>Brophy, Sarah S.; Wylie, Elizabeth</t>
  </si>
  <si>
    <t>Architecture; Museums</t>
  </si>
  <si>
    <t>Pediatric Drug Development</t>
  </si>
  <si>
    <t>Mulberg, Andrew E.; Murphy, Dianne; Dunne, Julia; Mathis, Lisa L.</t>
  </si>
  <si>
    <t>Medical Instrument Design and Development : From Requirements to Market Placements</t>
  </si>
  <si>
    <t>Becchetti, Claudio; Neri, Alessandro</t>
  </si>
  <si>
    <t>Dictionary of Existential Psychotherapy and Counselling</t>
  </si>
  <si>
    <t>van Deurzen, Emmy; Kenward, Raymond</t>
  </si>
  <si>
    <t>Eating Anxiety : The Perils of Food Politics</t>
  </si>
  <si>
    <t>Lavin, Chad</t>
  </si>
  <si>
    <t>Dentist's Guide to Medical Conditions, Medications and Complications</t>
  </si>
  <si>
    <t>Ganda, Kanchan</t>
  </si>
  <si>
    <t>Understanding Vulnerability : A Nursing and Healthcare Approach</t>
  </si>
  <si>
    <t>Heaslip, Vanessa; Ryden, Julie</t>
  </si>
  <si>
    <t>Dental Materials at a Glance</t>
  </si>
  <si>
    <t>von Fraunhofer, J. Anthony</t>
  </si>
  <si>
    <t>Public Health Nursing : A Textbook for Health Visitors, School Nurses and Occupational Health Nurses</t>
  </si>
  <si>
    <t>Thornbory, Greta; Harriss, Anne; Jameson, Maxine; Power, Joy; Thornbory, Greta</t>
  </si>
  <si>
    <t>Handbook of Radiosurgery in CNS Disease</t>
  </si>
  <si>
    <t>Lim, Michael; Hsu, Wesley; Rigamonti, Daniele; Hsu, Wesley</t>
  </si>
  <si>
    <t>Traditional Chinese Medicine in the United States : In Search of Spiritual Meaning and Ultimate Health</t>
  </si>
  <si>
    <t>Wu, Emily S.</t>
  </si>
  <si>
    <t>Betty Bumpers : Champion of Childhood Immunization and Peace</t>
  </si>
  <si>
    <t>Eblen, Anna L.; Eblen, Martha Jane</t>
  </si>
  <si>
    <t>Health Care Reform in Radiology</t>
  </si>
  <si>
    <t>Semelka, Richard C.; Elias, Jorge</t>
  </si>
  <si>
    <t>Neurostimulation : Principles and Practice</t>
  </si>
  <si>
    <t>Eljamel, Sam; Slavin, Konstantin</t>
  </si>
  <si>
    <t>Knowledge Translation in Health Care : Moving from Evidence to Practice</t>
  </si>
  <si>
    <t>Straus, Sharon; Tetroe, Jacqueline; Graham, Ian D.</t>
  </si>
  <si>
    <t>ABC of Cancer Care</t>
  </si>
  <si>
    <t>Palmieri, Carlo; Bird, Esther; Simcock, Richard</t>
  </si>
  <si>
    <t>Otolaryngology for the Pediatrician</t>
  </si>
  <si>
    <t>K. Shah, Rahul; A. Preciado, Diego; H. Zalzal, George</t>
  </si>
  <si>
    <t>Health, Rights and Dignity : Philosophical Reflections on an Alleged Human Right</t>
  </si>
  <si>
    <t>Walter de Gruyter GmbH</t>
  </si>
  <si>
    <t>Erk, Christian</t>
  </si>
  <si>
    <t>Substance Abuse in Adolescents and Young Adults : A Manual for Pediatric and Primary Care Clinicians</t>
  </si>
  <si>
    <t>Greydanus, Donald E.; Kaplan, Gabriel; Patel, Dilip R.; Merrick, Joav</t>
  </si>
  <si>
    <t>Proteomic Applications in Cancer Detection and Discovery</t>
  </si>
  <si>
    <t>Veenstra, Timothy D.</t>
  </si>
  <si>
    <t>Muscle Disease : Pathology and Genetics</t>
  </si>
  <si>
    <t>Goebel, Hans H.; Sewry, Caroline A.; Weller, Roy O.</t>
  </si>
  <si>
    <t>Differential Diagnosis and Treatment of Children with Speech Disorder</t>
  </si>
  <si>
    <t>Dodd, Barbara; Dodd, Karen</t>
  </si>
  <si>
    <t>Bird Flu : A Rising Pandemic in Asia ...</t>
  </si>
  <si>
    <t>Tambyah, Paul A; Leung, Ping-Chung</t>
  </si>
  <si>
    <t>Agriculture; Health; Social Science</t>
  </si>
  <si>
    <t>'If You Knew the Conditions' : A Chronicle of the Indian Medical Service and American Indian Health Care, 1908-1955</t>
  </si>
  <si>
    <t>Dejong, David N.</t>
  </si>
  <si>
    <t>Fast Facts: Renal Disorders</t>
  </si>
  <si>
    <t>Levy, Jeremy; Pusey, Charles; Singh, Ajay</t>
  </si>
  <si>
    <t>Reshaping the Self : Reflections on Renewal Through Therapy</t>
  </si>
  <si>
    <t>Primer on the Metabolic Bone Diseases and Disorders of Mineral Metabolism</t>
  </si>
  <si>
    <t>Rosen, Clifford J.; Bouillon, Roger; Compston, Juliet E.; Rosen, Clifford J.</t>
  </si>
  <si>
    <t>Bioactives in Fruit : Health Benefits and Functional Foods</t>
  </si>
  <si>
    <t>Skinner, Margot; Hunter, Denise; Skinner, Margot; Hunter, Denise</t>
  </si>
  <si>
    <t>Disabilities in Roman Antiquity : Disparate Bodies a Capite Ad Calcem</t>
  </si>
  <si>
    <t>Laes, Christian; Goodey, Chris; Rose, M. Lynn</t>
  </si>
  <si>
    <t>Where Medicine Went Wrong : Rediscovering the Path to Complexity</t>
  </si>
  <si>
    <t>West, Bruce J.</t>
  </si>
  <si>
    <t>Practical Obstetrics and Gynaecology Han. .</t>
  </si>
  <si>
    <t>Chye, Tan Thiam; Teng, Tan Kim; Hseon, Tay Eng; Tay, Eng Hseon</t>
  </si>
  <si>
    <t>Introduction to Biomaterials</t>
  </si>
  <si>
    <t>Tsinghua University Press</t>
  </si>
  <si>
    <t>Shi, Donglu</t>
  </si>
  <si>
    <t>Fundamentals and Applications of Biophotonics in Dentistry</t>
  </si>
  <si>
    <t>Kishen, Anil; Asundi, Anand K.</t>
  </si>
  <si>
    <t>Osteoporosis : Two-Volume Set</t>
  </si>
  <si>
    <t>Marcus, Robert; Cauley, Jane A.; Dempster, David W.; Feldman, David; Luckey, Marjorie</t>
  </si>
  <si>
    <t>Medicine &amp; Philosophy : A Twenty-First Century Introduction</t>
  </si>
  <si>
    <t>Johansson, Ingvar; Lynøe, Niels</t>
  </si>
  <si>
    <t>Peri-Implant Therapy for the Dental Hygienist : Clinical Guide to Maintenance and Disease Complications</t>
  </si>
  <si>
    <t>Wingrove, Susan S.</t>
  </si>
  <si>
    <t>Sustainable Healthcare Architecture</t>
  </si>
  <si>
    <t>Guenther, Robin; Vittori, Gail</t>
  </si>
  <si>
    <t>Social Science; Architecture; Health</t>
  </si>
  <si>
    <t>On Freud's "Observations On Transference-Love"</t>
  </si>
  <si>
    <t>Fonagy, Peter; Hagelin, Aiban; Person, Ethel Spector</t>
  </si>
  <si>
    <t>Formulation Engineering of Foods</t>
  </si>
  <si>
    <t>Norton, J.; Norton, Ian T.; Fryer, Peter; Norton, Jennifer E.; Fryer, Peter; Norton, Ian T</t>
  </si>
  <si>
    <t>Improving Mental Health Care : The Global Challenge</t>
  </si>
  <si>
    <t>Thornicroft, Graham; Ruggeri, Mirella; Goldberg, David</t>
  </si>
  <si>
    <t>Emerging Epidemics : Management and Control</t>
  </si>
  <si>
    <t>Bisen, Prakash S.; Raghuvanshi, Ruchika</t>
  </si>
  <si>
    <t>Wiley Blackwell Handbook of Mood Disorders</t>
  </si>
  <si>
    <t>Information Technology in Health Care : Socio-Technical Approaches 2010:From Safe Systems to Patient Safety</t>
  </si>
  <si>
    <t>Nøhr, C.; Aarts, J.</t>
  </si>
  <si>
    <t>Research into Spinal Deformities 7</t>
  </si>
  <si>
    <t>Aubin, C.-E.; Stokes, I.A.F.; Labelle, H.; Moreau, A.</t>
  </si>
  <si>
    <t>Healthgrid Applications and Core Technologies : Proceedings of HealthGrid 2010</t>
  </si>
  <si>
    <t>Solomonides, T.; Blanquer, I.; Breton, V.; Legre, Y.</t>
  </si>
  <si>
    <t>Dementia : A Public Health Priority</t>
  </si>
  <si>
    <t>Handbook for Integrated Vector Management</t>
  </si>
  <si>
    <t>Gynecologic Oncology Handbook : An Evidence-Based Clinical Guide</t>
  </si>
  <si>
    <t>Williams-Brown, M. Yvette; Benoit, Michelle; Edwards, Creighton</t>
  </si>
  <si>
    <t>Team Leadership and Partnering in Nursing and Health Care</t>
  </si>
  <si>
    <t>Persily, Cynthia Armstrong; Cynthia Armstrong Persily Phd, Rn</t>
  </si>
  <si>
    <t>Interest Groups and Health Care Reform Across the United States</t>
  </si>
  <si>
    <t>Gray, Virginia; Lowery, David; Benz, Jennifer K.</t>
  </si>
  <si>
    <t>Researching AIDS, Sexuality and Gender : Case Studies of Women in Kenyan Universities</t>
  </si>
  <si>
    <t>Kamau, Nyokabi</t>
  </si>
  <si>
    <t>Practical Statistics for Nursing and Health Care</t>
  </si>
  <si>
    <t>Fowler, Jim; Jarvis, Phil; Chevannes, Mel</t>
  </si>
  <si>
    <t>Health Analytics : Gaining the Insights to Transform Health Care</t>
  </si>
  <si>
    <t>Burke, Jason</t>
  </si>
  <si>
    <t>The Student Nurse Toolkit : An Essential Guide for Surviving Your Course</t>
  </si>
  <si>
    <t>Diagnostic Imaging of Infections and Inflammatory Diseases : A Multidisciplinary Approach</t>
  </si>
  <si>
    <t>Signore, Alberto; Quintero, Anna Maria</t>
  </si>
  <si>
    <t>Medical Ethics</t>
  </si>
  <si>
    <t>Boylan, Michael</t>
  </si>
  <si>
    <t>Basic Family Therapy</t>
  </si>
  <si>
    <t>Barker, Philip; Chang, Jeff</t>
  </si>
  <si>
    <t>Statistical Methods for Food Science : Introductory Procedures for the Food Practitioner</t>
  </si>
  <si>
    <t>Bower, John A.</t>
  </si>
  <si>
    <t>How to Manage Dementia in General Practice</t>
  </si>
  <si>
    <t>Clarke, Nicholas; Clarke, Farine; Edwards, Denzil</t>
  </si>
  <si>
    <t>Pandemics and Emerging Infectious Diseases : The Sociological Agenda</t>
  </si>
  <si>
    <t>Dingwall, Robert; Hoffman, Lily M.; Staniland, Karen</t>
  </si>
  <si>
    <t>Learning from Experience : Guidebook for Clinicians</t>
  </si>
  <si>
    <t>Charles, Marilyn</t>
  </si>
  <si>
    <t>A Spirit of Inquiry : Communication in Psychoanalysis</t>
  </si>
  <si>
    <t>Lichtenberg, Joseph D.; Lachmann, Frank M.; Fosshage, James L.</t>
  </si>
  <si>
    <t>Western Biomedicine and Eastern Therapeutics : An Integrative Strategy for Personalized and Preventive Healthcare</t>
  </si>
  <si>
    <t>Wang, Sun-Chong</t>
  </si>
  <si>
    <t>Drugs and the Older Population</t>
  </si>
  <si>
    <t>Crome, Peter; Ford, Gary</t>
  </si>
  <si>
    <t>Emotionally Focused Couple Therapy for Dummies</t>
  </si>
  <si>
    <t>Furrow, James; Bradley, Brent; Bradley, Brent</t>
  </si>
  <si>
    <t>Prevention of Diabetes</t>
  </si>
  <si>
    <t>Schwarz, Peter; Reddy, Prasuna; Dunbar, James; Greaves, Colin; Williamson, David</t>
  </si>
  <si>
    <t>Contemporary Debates in Bioethics</t>
  </si>
  <si>
    <t>Caplan, Arthur L.; Arp, Robert</t>
  </si>
  <si>
    <t>Statistical Methods for Hospital Monitoring with R</t>
  </si>
  <si>
    <t>Morton, Anthony; Mengersen, Kerrie L.; Playford, Geoffrey; Whitby, Michael</t>
  </si>
  <si>
    <t>Introduction to Aboriginal Health and Health Care in Canada : Bridging Health and Healing</t>
  </si>
  <si>
    <t>Douglas, Vasiliki, BSN, BA, MA, PhD; Vasiliki Douglas Bsn, Ba Phd</t>
  </si>
  <si>
    <t>Text Mining of Web-Based Medical Content</t>
  </si>
  <si>
    <t>Bellika, Johan; Brezovan, Marius; Burdescu, Dumitru Dan; Chartree, Jedsada; Denny, Joshua C.; Ferreira, Liliana; Ghazinour, Kambiz; Hanlen, Leif W.; Imambi, S. Sagar; Neustein, Amy</t>
  </si>
  <si>
    <t>Symptom Fluctuation in Fibromyalgia : Environmental, Psychological and Psychobiological Influences</t>
  </si>
  <si>
    <t>Wentz, Kerstin; Merrick, Joav</t>
  </si>
  <si>
    <t>Musculoskeletal Radiology</t>
  </si>
  <si>
    <t>Garcia, Glenn M.</t>
  </si>
  <si>
    <t>Cardiac Imaging</t>
  </si>
  <si>
    <t>Restrepo, Carlos S; Bardo, Dianna M. E.</t>
  </si>
  <si>
    <t>Art of Cupping</t>
  </si>
  <si>
    <t>Manz, Hedwig</t>
  </si>
  <si>
    <t>Medicinal Leech Therapy</t>
  </si>
  <si>
    <t>Michalsen, Andreas; Roth, Manfred; Aurich, M; Blessmann, M; Flecken, P; Graf, J</t>
  </si>
  <si>
    <t>Posterolateral Knee Injuries : Anatomy, Evaluation, and Treatment</t>
  </si>
  <si>
    <t>LaPrade, Robert F.</t>
  </si>
  <si>
    <t>Clinical 3T Magnetic Resonance</t>
  </si>
  <si>
    <t>Runge, Val M.; Nitz, Wolfgang R; Schmeets, Stuart H; Schoenberg, Stefan O</t>
  </si>
  <si>
    <t>Patient-Practitioner Relationship in Acupuncture</t>
  </si>
  <si>
    <t>Hammer, Leon I.</t>
  </si>
  <si>
    <t>Practical Digital Mammography</t>
  </si>
  <si>
    <t>Hashimoto, Beverly; Hashimoto, Beverly E</t>
  </si>
  <si>
    <t>Auriculotherapy</t>
  </si>
  <si>
    <t>Nogier, Raphael</t>
  </si>
  <si>
    <t>Shoulder and Elbow Trauma</t>
  </si>
  <si>
    <t>Mirzayan, Raffy; Itamura, John M.; Mirzayan, Raffy; Itamura, John</t>
  </si>
  <si>
    <t>Practical Differential Diagnosis for CT and MRI</t>
  </si>
  <si>
    <t>Lin, Eugene C.; Escott, Edward; Alexander, David Alan; Escott, Edward; Bleicher, Andrew G.</t>
  </si>
  <si>
    <t>Pediatric Imaging : Rapid-Fire Questions &amp; Answers</t>
  </si>
  <si>
    <t>Quattromani, Frank; Handal, Gilbert A; Lampe, Richard</t>
  </si>
  <si>
    <t>Plastic Surgery Emergencies : Principles and Techniques</t>
  </si>
  <si>
    <t>Bullocks, Jamal M.; Hsu, Patrick W.; Izaddost, Shayan A.; Hollier, Larry H.; Stal, Samuel</t>
  </si>
  <si>
    <t>Pediatric Ophthalmology : A Clinical Guide</t>
  </si>
  <si>
    <t>Gallin, Pamela</t>
  </si>
  <si>
    <t>Ultrasonography in Vascular Diseases : A Practical Approach to Clinical Problems</t>
  </si>
  <si>
    <t>Bluth, Edward I.; Benson, Carol B.; Ralls, Philip W; Siegel, Marilyn J</t>
  </si>
  <si>
    <t>Examination of Peripheral Nerve Injuries : An Anatomical Approach</t>
  </si>
  <si>
    <t>Russell, Stephen</t>
  </si>
  <si>
    <t>Offbeat Otolaryngology : What the Textbooks don't tell you</t>
  </si>
  <si>
    <t>Bennett, John D. C.; Riddington-Young, John; Riddington Young, John</t>
  </si>
  <si>
    <t>Post-Traumatic Vegetative State</t>
  </si>
  <si>
    <t>Dolce, Giuliano; Sazbon, Leon</t>
  </si>
  <si>
    <t>Imaging Strategies for the Knee</t>
  </si>
  <si>
    <t>Maeurer, Juergen; Maeurer, Juergen</t>
  </si>
  <si>
    <t>Imaging Strategies for the Shoulder</t>
  </si>
  <si>
    <t>Maeurer, Juergen</t>
  </si>
  <si>
    <t>Maggot Therapy : A Handbook of Maggot-Assisted Wound Healing</t>
  </si>
  <si>
    <t>Fleischmann, Wim; Grassberger, Martin; Grassberger, Martin</t>
  </si>
  <si>
    <t>Advanced Techniques in Oriental Medicine</t>
  </si>
  <si>
    <t>Abbate, Skya; Maciocia, Giovanni</t>
  </si>
  <si>
    <t>Practical Guide to Minimal Surgery for Retinal Detachment</t>
  </si>
  <si>
    <t>Kreissig, Ingrid</t>
  </si>
  <si>
    <t>Tinnitus Treatment : Clinical Protocols</t>
  </si>
  <si>
    <t>Tyler, Richard; Tyler, Richard</t>
  </si>
  <si>
    <t>Physics of Clinical MR Taught Through Images</t>
  </si>
  <si>
    <t>Runge, Val M.</t>
  </si>
  <si>
    <t>Neurosurgery Board Review : Questions and Answers for Self-Assessment</t>
  </si>
  <si>
    <t>Alleyne, Cargill H.; Citow, Jonathan Stuart</t>
  </si>
  <si>
    <t>Neurosurgery Practice Questions and Answers</t>
  </si>
  <si>
    <t>Shaya, Mark; Nader, Remi; Nanda, Anil</t>
  </si>
  <si>
    <t>Pediatric Imaging</t>
  </si>
  <si>
    <t>Gunderman, Richard B.; Delaney, Lisa R.</t>
  </si>
  <si>
    <t>Treatment of Oral Diseases : A Concise Textbook</t>
  </si>
  <si>
    <t>Laskaris, George; Laskaris, George</t>
  </si>
  <si>
    <t>Biological and Chemical Terrorism : A Guide for Healthcare Providers and First Responders</t>
  </si>
  <si>
    <t>Weinstein, Raymond S.; Alibek, Ken</t>
  </si>
  <si>
    <t>Decision Making in Neurocritical Care</t>
  </si>
  <si>
    <t>Frontera, Jennifer A</t>
  </si>
  <si>
    <t>Challenging Cases in Spine Surgery</t>
  </si>
  <si>
    <t>Abdulhak, Muwaffak; Marzouk, Shaden</t>
  </si>
  <si>
    <t>Quantitative Skin Testing for Allergy : IDT and MQT</t>
  </si>
  <si>
    <t>Marple, Bradley F.; Mabry, Richard L.</t>
  </si>
  <si>
    <t>Practical Guide to Minimal Surgery for Retinal Detachment, Volume II</t>
  </si>
  <si>
    <t>Easy ECG : Interpretation - Differential Diagnosis</t>
  </si>
  <si>
    <t>Ebert, Hans-Holger</t>
  </si>
  <si>
    <t>Shoulder Rehabilitation : Non-Operative Treatment</t>
  </si>
  <si>
    <t>Ellenbecker, Todd S.</t>
  </si>
  <si>
    <t>Genitourinary Imaging</t>
  </si>
  <si>
    <t>Chopra, Shailendra</t>
  </si>
  <si>
    <t>Atlas of Injection Therapy in Pain Management</t>
  </si>
  <si>
    <t>Fischer, Juergen</t>
  </si>
  <si>
    <t>Neurosurgery Rounds : Questions and Answers</t>
  </si>
  <si>
    <t>Shaya, Mark; Nader, Remi; Citow, Jonathan Stuart; Nader, Remi; Sabbagh, Abdulrahman J.</t>
  </si>
  <si>
    <t>Acupuncture for Insomnia : Sleep and Dreams in Chinese Medicine</t>
  </si>
  <si>
    <t>Montakab, Hamid</t>
  </si>
  <si>
    <t>Audiology Answers for Otolaryngologists : A High-Yield Pocket Guide</t>
  </si>
  <si>
    <t>Valente, Michael; Fernandez, Elizabeth; Monroe, Heather</t>
  </si>
  <si>
    <t>AOTrauma - Statistics and Data Management : A Practical Guide for Orthopedic Surgeons</t>
  </si>
  <si>
    <t>AO</t>
  </si>
  <si>
    <t>Stengel, Dirk; Bhandari, Mohit</t>
  </si>
  <si>
    <t>Ear Acupuncture : A Precise Pocket Atlas Based on the Works of Nogier/Bahr</t>
  </si>
  <si>
    <t>Strittmatter, Beate</t>
  </si>
  <si>
    <t>Nuclear Medicine Board Review : Questions and Answers for Self-Assessment</t>
  </si>
  <si>
    <t>Goldfarb, C. Richard; Parmett, Steven R.; Zuckier, Lionel; Ongseng, Fukiat; Karam, Maroun; Chamarthy, Murthy</t>
  </si>
  <si>
    <t>Neurosurgery Oral Board Review</t>
  </si>
  <si>
    <t>Citow, Jonathan Stuart; Adamson, Cory</t>
  </si>
  <si>
    <t>Gastrointestinal Imaging</t>
  </si>
  <si>
    <t>Lorenz, Jonathan M.</t>
  </si>
  <si>
    <t>Thoracic Imaging</t>
  </si>
  <si>
    <t>Restrepo, Carlos S; Zangan, Steven</t>
  </si>
  <si>
    <t>Neuro Imaging</t>
  </si>
  <si>
    <t>Riascos, Roy; Bonfante, Eliana</t>
  </si>
  <si>
    <t>Interventional Radiology</t>
  </si>
  <si>
    <t>Ferral, Hector; Lorenz, Jonathan M.</t>
  </si>
  <si>
    <t>Handbook of Pediatric Orthopedics : Second Edition</t>
  </si>
  <si>
    <t>Sponseller, Paul D.</t>
  </si>
  <si>
    <t>Nuclear Medicine</t>
  </si>
  <si>
    <t>Appelbaum, Daniel; Miliziano, John; Bradley, Yong</t>
  </si>
  <si>
    <t>Imaging for Otolaryngologists</t>
  </si>
  <si>
    <t>Dunnebier, Erwin A.</t>
  </si>
  <si>
    <t>Major Incident Management System (MIMS)</t>
  </si>
  <si>
    <t>Hodgetts, Timothy J.; Porter, Crispin</t>
  </si>
  <si>
    <t>Child Survivors of the Holocaust</t>
  </si>
  <si>
    <t>Valent, Paul; Bush, Shane S.</t>
  </si>
  <si>
    <t>Craft and Spirit : A Guide to the Exploratory Psychotherapies</t>
  </si>
  <si>
    <t>Lichtenberg, Joseph D.</t>
  </si>
  <si>
    <t>Fundamentals of Infection Prevention and Control : Theory and Practice</t>
  </si>
  <si>
    <t>Rapid Ophthalmology</t>
  </si>
  <si>
    <t>Mirza, Zahir; Coombes, Andrew</t>
  </si>
  <si>
    <t>Textbook of Pharmacoepidemiology</t>
  </si>
  <si>
    <t>Strom, Brian L.; Kimmel, Stephen E.; Hennessy, Sean</t>
  </si>
  <si>
    <t>Early Daoist Dietary Practices : Examining Ways to Health and Longevity</t>
  </si>
  <si>
    <t>Arthur, Shawn</t>
  </si>
  <si>
    <t>Health; Religion; Social Science</t>
  </si>
  <si>
    <t>Psychotherapy and Spirituality : Integrating the Spiritual Dimension into Therapeutic Practice</t>
  </si>
  <si>
    <t>Schreurs, Agneta; Pines, Malcolm</t>
  </si>
  <si>
    <t>21st Century Global Health Diplomacy</t>
  </si>
  <si>
    <t>Novotny, Thomas E.; Kickbusch, Ilona; Told, Michaela</t>
  </si>
  <si>
    <t>Proposal Writing for Nursing Capstones and Clinical Projects</t>
  </si>
  <si>
    <t>Bonnel, Wanda; Smith, Katharine; Katharine Smith Phd, Rn</t>
  </si>
  <si>
    <t>Medical-Surgical Nursing Test Success : An Unfolding Case Study Review</t>
  </si>
  <si>
    <t>Cornelius, Frances H; Cornelius, Frances H., PhD, MSN, RN-BC, CNE; Wittmann-Price, Ruth A., PhD, RN, CNE, CHSE, ANEF</t>
  </si>
  <si>
    <t>Guide to Board Certification in Clinical Psychology</t>
  </si>
  <si>
    <t>Alberts, Fred; Ebbe, Christopher; Kazar, David</t>
  </si>
  <si>
    <t>Adolescent Girls in Distress : A Guide for Mental Health Treatment and Prevention</t>
  </si>
  <si>
    <t>Choate, Laura</t>
  </si>
  <si>
    <t>Exploring Rituals in Nursing : Joining Art and Science</t>
  </si>
  <si>
    <t>Wolf, Zane; Zane Wolf Phd, Rn</t>
  </si>
  <si>
    <t>Early Psychosis Intervention : A Culturally Adaptive Clinical Guide</t>
  </si>
  <si>
    <t>Chen, Eric Yu-hai; Chan, Gloria Hoi-kei; Lee, Helen</t>
  </si>
  <si>
    <t>Intraoperative Frozen Sections : Diagnostic Pitfalls</t>
  </si>
  <si>
    <t>Argani, Pedram; Cimino-Mathews, Ashley</t>
  </si>
  <si>
    <t>Yoga XXL : A Journey to Health for Bigger People</t>
  </si>
  <si>
    <t>Kollak, Ingrid</t>
  </si>
  <si>
    <t>Electrocardiography (ECG)</t>
  </si>
  <si>
    <t>Goy, Jean-Jacques; Staufer, Jean-Christophe; Schlaepfer, Jürg</t>
  </si>
  <si>
    <t>Inside Health Care : Neonatal Intensive Care - Who Decides? Who Pays? Who Can Afford It?</t>
  </si>
  <si>
    <t>Mathew, Oommen</t>
  </si>
  <si>
    <t>Headache</t>
  </si>
  <si>
    <t>Robbins, Matthew; Grosberg, Brian M.; Lipton, Richard</t>
  </si>
  <si>
    <t>Biostatistics Decoded</t>
  </si>
  <si>
    <t>Oliveira, Antonio; Oliveira, A. Gouveia</t>
  </si>
  <si>
    <t>Medical Genetics at a Glance</t>
  </si>
  <si>
    <t>Pritchard, Dorian J.; Korf, Bruce R.; Korf, Bruce R</t>
  </si>
  <si>
    <t>Quantitative Sensory Analysis : Psychophysics, Models and Intelligent Design</t>
  </si>
  <si>
    <t>Lawless, Harry T.</t>
  </si>
  <si>
    <t>Occupational Therapy Activities</t>
  </si>
  <si>
    <t>Breines, Estelle B.</t>
  </si>
  <si>
    <t>ABC of Prehospital Emergency Medicine</t>
  </si>
  <si>
    <t>Nutbeam, Tim; Boylan, Matthew</t>
  </si>
  <si>
    <t>Health Care Information Systems : A Practical Approach for Health Care Management</t>
  </si>
  <si>
    <t>Wager, Karen A.; Lee, Frances W.; Glaser, John P.</t>
  </si>
  <si>
    <t>Getting Better : Improving Health System Outcomes in Europe and Central Asia</t>
  </si>
  <si>
    <t>Smith, Owen; Nguyen, Son Nam</t>
  </si>
  <si>
    <t>Twenty Years of Health System Reform in Brazil : An Assessment of the Sistema Único de Saúde</t>
  </si>
  <si>
    <t>Gragnolati, Michele; Lindelow, Magnus; Couttolenc, Bernard</t>
  </si>
  <si>
    <t>Emotions and Health, 1200-1700 : Emotions and Health, 1200-1700</t>
  </si>
  <si>
    <t>Carrera, Elena</t>
  </si>
  <si>
    <t>Biomaterials Surface Science</t>
  </si>
  <si>
    <t>Taubert, Andreas; Mano, Joao F.; Rodríguez-Cabello, José Carlos; Rodriguez-Cabello, Jose Ca</t>
  </si>
  <si>
    <t>Osteoporosis : Diagnosis and Management</t>
  </si>
  <si>
    <t>Stovall, Dale W.</t>
  </si>
  <si>
    <t>Handbook of Minority Aging</t>
  </si>
  <si>
    <t>Whitfield, Keith; Baker, Tamara</t>
  </si>
  <si>
    <t>Liver Transplantation : Clinical Assessment and Management</t>
  </si>
  <si>
    <t>Neuberger, James; Ferguson, James; Newsome, Philip N.</t>
  </si>
  <si>
    <t>The Philosophy of Autism</t>
  </si>
  <si>
    <t>Anderson, Jami L.; Cushing, Simon</t>
  </si>
  <si>
    <t>Haschek and Rousseaux's Handbook of Toxicologic Pathology</t>
  </si>
  <si>
    <t>Haschek, Wanda M.; Rousseaux, Colin G.; Wallig, Matthew A.; Bolon, Brad; Ochoa, Ricardo</t>
  </si>
  <si>
    <t>Essential Simulation in Clinical Education</t>
  </si>
  <si>
    <t>Forrest, Kirsty; McKimm, Judy; Edgar, Simon</t>
  </si>
  <si>
    <t>Language and Connection in Psychotherapy : Words Matter</t>
  </si>
  <si>
    <t>Davis, Mary E.</t>
  </si>
  <si>
    <t>Viral Hepatitis</t>
  </si>
  <si>
    <t>Thomas, Howard C.; Lok, Anna S. F.; Locarnini, Stephen A.; Zuckerman, Arie J.</t>
  </si>
  <si>
    <t>Therapy Breakthrough : Why Some Psychotherapies Work Better Than Others</t>
  </si>
  <si>
    <t>Open Court</t>
  </si>
  <si>
    <t>Michael; Richard; Steele, David Ramsay</t>
  </si>
  <si>
    <t>Handbook of Sports Medicine and Science, Gymnastics</t>
  </si>
  <si>
    <t>Caine, Dennis J.; Lim, Liesbeth; Russell, Keith</t>
  </si>
  <si>
    <t>A User Guide to the GF/CF Diet for Autism, Asperger Syndrome and AD/HD</t>
  </si>
  <si>
    <t>Jackson, Luke; Le Breton, Marilyn</t>
  </si>
  <si>
    <t>Effects of Persistent and Bioactive Organic Pollutants on Human Health</t>
  </si>
  <si>
    <t>Carpenter, David O.</t>
  </si>
  <si>
    <t>Leadership in Psychiatry</t>
  </si>
  <si>
    <t>Bhugra, Dinesh; Ruiz, Pedro; Gupta, Susham</t>
  </si>
  <si>
    <t>Transforming Health Care Leadership : A Systems Guide to Improve Patient Care, Decrease Costs, and Improve Population Health</t>
  </si>
  <si>
    <t>Maccoby, Michael; Norman, Clifford L.; Norman, Jane; Margulies, Richard; Margolies, Richard; Norman, C. Jane</t>
  </si>
  <si>
    <t>Anxiety and Avoidance : A Universal Treatment for Anxiety, Panic, and Fear</t>
  </si>
  <si>
    <t>Tompkins, Michael A.</t>
  </si>
  <si>
    <t>Black Middle-Class Women and Pregnancy Loss : A Qualitative Inquiry</t>
  </si>
  <si>
    <t>Paisley-Cleveland, Lisa</t>
  </si>
  <si>
    <t>Hospitalists' Guide to the Care of Older Patients</t>
  </si>
  <si>
    <t>Williams, Brent C.; Malani, Preeti N.; Wesorick, David H.</t>
  </si>
  <si>
    <t>Obstetrics and Gynecology at a Glance</t>
  </si>
  <si>
    <t>Norwitz, Errol R.; Schorge, John O.</t>
  </si>
  <si>
    <t>The Alzheimer Conundrum : Entanglements of Dementia and Aging</t>
  </si>
  <si>
    <t>Lock, Margaret</t>
  </si>
  <si>
    <t>Nutrition and Enhanced Sports Performance : Muscle Building, Endurance, and Strength</t>
  </si>
  <si>
    <t>Bagchi, Debasis; Nair, Sreejayan; Sen, Chandan K.</t>
  </si>
  <si>
    <t>An Aid to the MRCP PACES : Volume 3: Station 5</t>
  </si>
  <si>
    <t>Ryder, Robert E. J.; Mir, M. Afzal; Freeman, Anne; Fogden, Edward</t>
  </si>
  <si>
    <t>Stem Cell Therapeutics for Cancer</t>
  </si>
  <si>
    <t>Shah, Khalid</t>
  </si>
  <si>
    <t>Resilient Health Care</t>
  </si>
  <si>
    <t>Hollnagel, Erik, Professor; Braithwaite, Jeffrey, Professor; Wears, Robert L, Professor; Hollnagel, Professor Erik</t>
  </si>
  <si>
    <t>Thyroid Cancer : A Clinical Overview and a Useful Laboratory Manual</t>
  </si>
  <si>
    <t>Cantara, Silvia</t>
  </si>
  <si>
    <t>Introduction to Diagnosis in Traditional Chinese Medicine : Introduction to Diagnosis in Traditional Chinese Medicine</t>
  </si>
  <si>
    <t>World Century Publishing Corporation</t>
  </si>
  <si>
    <t>Wu Hong-Zhou Cheng Pan-Ji Fang Zhao-Qin,; Fang, Zhao-Qin; Cheng, Pan-Ji</t>
  </si>
  <si>
    <t>Cancer Biology Review : A Case-Based Approach</t>
  </si>
  <si>
    <t>Stadler, Walter; Buffet, Fred C.</t>
  </si>
  <si>
    <t>Yoga and Parkinson's Disease : A Journey to Health and Healing</t>
  </si>
  <si>
    <t>Van Hulsteyn, Peggy; Sherman, Scott</t>
  </si>
  <si>
    <t>Multiple Sclerosis and Related Disorders : Diagnosis, Medical Management, and Rehabilitation</t>
  </si>
  <si>
    <t>Rae-Grant, Alexander; Fox, Robert; Bethoux, Francois</t>
  </si>
  <si>
    <t>Advance Care Planning : Communicating about Matters of Life and Death</t>
  </si>
  <si>
    <t>Rogne, Leah; McCune, Susana</t>
  </si>
  <si>
    <t>Affective Teaching in Nursing : Connecting to Feelings, Values, and Inner Awareness</t>
  </si>
  <si>
    <t>Ondrejka, Dennis, PhD, RN, CNS; Dennis Ondrejka Phd, Rn</t>
  </si>
  <si>
    <t>Family Nurse Practitioner Certification Intensive Review : Fast Facts and Practice Questions, Second Edition</t>
  </si>
  <si>
    <t>Leik, Maria T. Codina, MSN, ARNP, FNP-C, AGPCNP-BC; Codina Leik, Maria T</t>
  </si>
  <si>
    <t>Neuroscience for Social Work : Current Research and Practice</t>
  </si>
  <si>
    <t>Matto, Holly; Strolin-Goltzman, Jessica; Ballan, Michelle</t>
  </si>
  <si>
    <t>Outcome Assessment in Advanced Practice Nursing : Third Edition</t>
  </si>
  <si>
    <t>Kleinpell, Ruth M., PhD, RN-CS, FAAN, FAANP, FCCM</t>
  </si>
  <si>
    <t>What Every Mental Health Professional Needs to Know about Sex</t>
  </si>
  <si>
    <t>Stephanie Buehler MPW, CST</t>
  </si>
  <si>
    <t>Developing Online Learning Environments in Nursing Education, Third Edition : Third Edition</t>
  </si>
  <si>
    <t>O’Neil, Carol A.; Fisher, Cheryl A.; Rietschel, Matthew J.</t>
  </si>
  <si>
    <t>Hypnotic Relaxation Therapy : Principles and Applications</t>
  </si>
  <si>
    <t>Gary Elkins Ph. D., ABPH; Gary Elkins Ph D, Abph</t>
  </si>
  <si>
    <t>Fundamentals of Amputation Care and Prosthetics</t>
  </si>
  <si>
    <t>Murphy, Douglas</t>
  </si>
  <si>
    <t>Reimagining Global Health : An Introduction</t>
  </si>
  <si>
    <t>Farmer, Paul; Kim, Jim; Basilico, Matthew; Kleinman, Arthur</t>
  </si>
  <si>
    <t>Leading In Health Care Organizations : Improving Safety, Satisfaction, and Financial Performance</t>
  </si>
  <si>
    <t>Simons, Tony; Leroy, Hannes; Savage, Grant T.</t>
  </si>
  <si>
    <t>Case Studies in Multicultural Counseling and Therapy</t>
  </si>
  <si>
    <t>Sue, Derald Wing; Gallardo, Miguel E.; Neville, Helen A.</t>
  </si>
  <si>
    <t>Biomaterials Science: Processing, Properties and Applications III</t>
  </si>
  <si>
    <t>Bose, Susmita; Narayan, Roger; Bandyopadhyay, Amit; Narayan, Roger</t>
  </si>
  <si>
    <t>Adult-Gerontology Nurse Practitioner Certification Intensive Review : Fast Facts and Practice Questions, Second Edition</t>
  </si>
  <si>
    <t>Leik, Maria T. Codina, MSN, APN, BC, FNP-C; Maria T Codina Leik Msn, Fnp-C</t>
  </si>
  <si>
    <t>Cutting to the Core : Exploring the Ethics of Contested Surgeries</t>
  </si>
  <si>
    <t>Benatar, David</t>
  </si>
  <si>
    <t>Fast Facts About EKGs for Nurses : The Rules of Identifying EKGs in a Nutshell</t>
  </si>
  <si>
    <t>Landrum, Michele Angell</t>
  </si>
  <si>
    <t>Counseling Individuals with Life Threatening Illness, Second Edition</t>
  </si>
  <si>
    <t>Doka, Kenneth J., PhD</t>
  </si>
  <si>
    <t>Anthropology and Food Policy : Human Dimensions of Food Policy in Africa and Latin America</t>
  </si>
  <si>
    <t>University of Georgia Press</t>
  </si>
  <si>
    <t>McMillan, Della E.</t>
  </si>
  <si>
    <t>Medicine in the Qur'an and Sunnah : An Intellectual Reappraisal of the Legacy and Future of Islamic Medicine and its Represent</t>
  </si>
  <si>
    <t>Safari Books Ltd.</t>
  </si>
  <si>
    <t>Adamu, Umar Faruk</t>
  </si>
  <si>
    <t>War Against Counterfeit Medicne : My Story</t>
  </si>
  <si>
    <t>Akunyili, Dora Nkem</t>
  </si>
  <si>
    <t>Comprehensive Neonatal Nursing Care : Fifth Edition</t>
  </si>
  <si>
    <t>Carole Kenner PhD, FAAN; Judy Lott DSN, RN</t>
  </si>
  <si>
    <t>Autobiography of Silas Thompson Trowbridge M. D.</t>
  </si>
  <si>
    <t>Southern Illinois University Press</t>
  </si>
  <si>
    <t>Trowbridge, Silas Thompson; Haller, John S.; Mason, Barbara</t>
  </si>
  <si>
    <t>Battlefield Medicine : A History of the Military Ambulance from the Napoleonic Wars Through World War I</t>
  </si>
  <si>
    <t>Haller, John S.</t>
  </si>
  <si>
    <t>Health and the Rhetoric of Medicine</t>
  </si>
  <si>
    <t>Segal, Judy Z.</t>
  </si>
  <si>
    <t>Textbook of Influenza</t>
  </si>
  <si>
    <t>Webster, Robert G.; Monto, Arnold S.; Braciale, Thomas J.; Lamb, Robert A.</t>
  </si>
  <si>
    <t>Sex and the Internet : A Guide Book for Clinicians</t>
  </si>
  <si>
    <t>Cooper, Al</t>
  </si>
  <si>
    <t>A Thesaurus of Medical Word Roots</t>
  </si>
  <si>
    <t>Danner, Horace Gerald</t>
  </si>
  <si>
    <t>American Federalism in Practice : The Formulation and Implementation of Contemporary Health Policy</t>
  </si>
  <si>
    <t>Doonan, Michael</t>
  </si>
  <si>
    <t>Treating Trauma : Relationship-Based Psychotherapy with Children, Adolescents, and Young Adults</t>
  </si>
  <si>
    <t>Ammerman, Paula; Barr , Tali; Cheung , German; Dato , Daria; Haddad , Heidi; Offner , Deborah; Okasha, Sharif; Heineman, Toni V.; Clausen, June M.; Ruff, Saralyn C.</t>
  </si>
  <si>
    <t>The Science of Making Friends : Helping Socially Challenged Teens and Young Adults</t>
  </si>
  <si>
    <t>Laugeson, Elizabeth; Robison, John Elder</t>
  </si>
  <si>
    <t>The Practice of Catheter Cryoablation for Cardiac Arrhythmias</t>
  </si>
  <si>
    <t>Chan, Ngai-Yin</t>
  </si>
  <si>
    <t>Ready for Air : A Journey through Premature Motherhood</t>
  </si>
  <si>
    <t>Hopper, Kate</t>
  </si>
  <si>
    <t>Making Medicare : The Politics of Universal Health Care in Australia</t>
  </si>
  <si>
    <t>UNSW Press</t>
  </si>
  <si>
    <t>Boxall, Anne-Marie; Gillespie, James</t>
  </si>
  <si>
    <t>Generating Middle Range Theory : From Evidence to Practice</t>
  </si>
  <si>
    <t>Roy, Callista; Callista Roy Phd, Rn</t>
  </si>
  <si>
    <t>Blood Runs Cold on the Black Side of the Mountain</t>
  </si>
  <si>
    <t>Nursing Homes Explained</t>
  </si>
  <si>
    <t>Franklin, Delia</t>
  </si>
  <si>
    <t>Affordable Care Act : A Missed Opportunity, A Better Way Forward</t>
  </si>
  <si>
    <t>Faguet, Guy</t>
  </si>
  <si>
    <t>Opioid Therapy in the 21st Century</t>
  </si>
  <si>
    <t>Smith, Howard S.</t>
  </si>
  <si>
    <t>Advanced Drug Delivery</t>
  </si>
  <si>
    <t>Mitra, Ashim; Lee, Chi H.; Cheng, Kun</t>
  </si>
  <si>
    <t>Cataract Blindness and Simulation-Based Training for Cataract Surgeons : An Assessment of the HelpMeSee Approach</t>
  </si>
  <si>
    <t>Broyles, James R.; Glick, Peter; Hu, Jianhui</t>
  </si>
  <si>
    <t>Transforming Systems for Parental Depression and Early Childhood Developmental Delays : Findings and Lessons Learned from the Helping Families Raise Healthy Children Initiative</t>
  </si>
  <si>
    <t>Schultz, Dana; Reynolds, Kerry A.; Sontag-Padilla, Lisa M.; Lovejoy, Susan L ; Firth, Ray ; Pincus, Dr Harold Alan</t>
  </si>
  <si>
    <t>Providing for the Casualties of War : The American Experience Through World War II</t>
  </si>
  <si>
    <t>Rostker, Bernard D.</t>
  </si>
  <si>
    <t>Review of the U.S. Workplace Wellness Market</t>
  </si>
  <si>
    <t>Mattke, Soeren; Schnyer, Christopher; Van Busum, Kristin R.</t>
  </si>
  <si>
    <t>Evaluating the Impact of Prevention and Early Intervention Activities on the Mental Health of California’s Population</t>
  </si>
  <si>
    <t>Watkins, Katherine E.; Burnam, M. Audrey; Okeke, Edward N.</t>
  </si>
  <si>
    <t>Economic Effects of Product Liability and Other Litigation Involving the Safety and Effectiveness of Pharmaceuticals</t>
  </si>
  <si>
    <t>Garber, Steven</t>
  </si>
  <si>
    <t>Law; Economics; Business/Management</t>
  </si>
  <si>
    <t>Patient Privacy, Consent, and Identity Management in Health Information Exchange : Issues for the Military Health System</t>
  </si>
  <si>
    <t>Hosek, Susan D.; Straus, Susan G.</t>
  </si>
  <si>
    <t>Evolving Role of Emergency Departments in the United States</t>
  </si>
  <si>
    <t>Gonzalez Morganti, Kristy; Bauhoff, Sebastian; Blanchard, Janice C.; Abir, Mahshid ; Iyer, Neema ; Smith, Alexandria C</t>
  </si>
  <si>
    <t>Handbook of LC-MS Bioanalysis : Best Practices, Experimental Protocols, and Regulations</t>
  </si>
  <si>
    <t>Li, Wenkui; Zhang, Jie; Tse, Francis L. S.</t>
  </si>
  <si>
    <t>Biological Drug Products : Development and Strategies</t>
  </si>
  <si>
    <t>Wang, Wei; Singh, Manmohan; Wang, Wei; Singh, Manmohan</t>
  </si>
  <si>
    <t>Care Planning in Mental Health : Promoting Recovery</t>
  </si>
  <si>
    <t>Hall, Angela; Wren, Mike; Kirby, Stephan</t>
  </si>
  <si>
    <t>Models for Mental Disorder</t>
  </si>
  <si>
    <t>Tyrer, Peter</t>
  </si>
  <si>
    <t>Lecture Notes : Clinical Biochemistry</t>
  </si>
  <si>
    <t>Beckett, Geoffrey J.; Ashby, Peter; Rae, Peter; Walker, Simon W.</t>
  </si>
  <si>
    <t>Blood and Marrow Transplantation Long Term Management : Prevention and Complications</t>
  </si>
  <si>
    <t>Savani, Bipin N.</t>
  </si>
  <si>
    <t>Functional Imaging by Controlled Nonlinear Optical Phenomena</t>
  </si>
  <si>
    <t>Itoh, Kazuyoshi; Isobe, Keisuke; Watanabe, Wataru</t>
  </si>
  <si>
    <t>Advanced Ceramics for Dentistry</t>
  </si>
  <si>
    <t>Shen, James</t>
  </si>
  <si>
    <t>DSM-IV-TR in Action : DSM-5 e-Chapter Update</t>
  </si>
  <si>
    <t>Dziegielewski, Sophia F.</t>
  </si>
  <si>
    <t>Healthy Ageing : The Role of Nutrition and Lifestyle</t>
  </si>
  <si>
    <t>BNF (British Nutrition Foundation); Stanner, Sara; Thompson, Rachel; Buttriss, Judith L.; Buttriss, Judy; Mathers, John</t>
  </si>
  <si>
    <t>Narcissus in Treatment : The Journey from Fate to Psychological Freedom</t>
  </si>
  <si>
    <t>I. Feinberg, Richard</t>
  </si>
  <si>
    <t>Metal-Based Neurodegeneration : From Molecular Mechanisms to Therapeutic Strategies</t>
  </si>
  <si>
    <t>Crichton, Robert; Ward, Roberta</t>
  </si>
  <si>
    <t>Antibiotics : Targets, Mechanisms and Resistance</t>
  </si>
  <si>
    <t>Gualerzi, Claudio O.; Brandi, Letizia; Fabbretti, Attilio; Pon, Cynthia L.</t>
  </si>
  <si>
    <t>Psychopathology : History, Diagnosis, and Empirical Foundations</t>
  </si>
  <si>
    <t>Craighead, W. Edward; Craighead, Linda W.; Miklowitz, David J.; Craighead, W Edward; Miklowitz, David J; Craighead, Linda W</t>
  </si>
  <si>
    <t>Psychotherapy in the Wake of War : Discovering Multiple Psychoanalytic Traditions</t>
  </si>
  <si>
    <t>Wallerstein, Robert S.; Jacobs, Theodore,; Loden , Susan; Ribi, Alfred; Donleavy, Pamela; Gudaite, Grazina; Novick , Kerry Kelly; Novick , Jack; Garvey , Penelope; Huppertz, Bernd</t>
  </si>
  <si>
    <t>Resistant Starch : Sources, Applications and Health Benefits</t>
  </si>
  <si>
    <t>Shi, Yong-Cheng; Maningat, Clodualdo C.; Maningat, Clodualdo C; Shi, Yong-Cheng; Maningat, Clodualdo C</t>
  </si>
  <si>
    <t>Introduction to Healthcare for Interpreters and Translators</t>
  </si>
  <si>
    <t>Crezee, Ineke H.M.</t>
  </si>
  <si>
    <t>Understanding Clinical Papers</t>
  </si>
  <si>
    <t>Bowers, David; House, Allan; Owens, David; Bewick, Bridgette</t>
  </si>
  <si>
    <t>Medicinal Plants in Australia Volume 3 : Plants, Potions and Poisons</t>
  </si>
  <si>
    <t>Rosenberg Publishing</t>
  </si>
  <si>
    <t>Williams, Cheryll; Williams,</t>
  </si>
  <si>
    <t>Science: Botany; Pharmacy; Medicine; Science</t>
  </si>
  <si>
    <t>Medicinal Plants in Australia Volume 4 : An Antipodean Apothecary</t>
  </si>
  <si>
    <t>Williams, Cheryll</t>
  </si>
  <si>
    <t>Science; Science: Botany; Medicine; Pharmacy</t>
  </si>
  <si>
    <t>Pocket Book of Hospital Care for Children. : Guidelines for the Management of Common Childhood Illnesses</t>
  </si>
  <si>
    <t>World Health Organization; World Health Organization,</t>
  </si>
  <si>
    <t>Handbook of Polytrauma Care and Rehabilitation</t>
  </si>
  <si>
    <t>Cifu, David X.; Lew, Henry L.</t>
  </si>
  <si>
    <t>Medical Protestants : The Eclectics in American Medicine, 1825-1939</t>
  </si>
  <si>
    <t>Public Health Policy : Issues, Theories, and Advocacy</t>
  </si>
  <si>
    <t>Bhattacharya, Dhrubajyoti</t>
  </si>
  <si>
    <t>Community and Public Health Nursing</t>
  </si>
  <si>
    <t>Sines, David; Fanning, Agnes; Potter, Kate; Aldridge-Bent, Sharon; Wright, Jane; Farrelly, Penny</t>
  </si>
  <si>
    <t>Dialectical Behavior Therapy for Wellness and Recovery : Interventions and Activities for Diverse Client Needs</t>
  </si>
  <si>
    <t>Bein, Andrew</t>
  </si>
  <si>
    <t>Patient's Brain : The neuroscience behind the doctor-patient relationship</t>
  </si>
  <si>
    <t>Benedetti, Fabrizio</t>
  </si>
  <si>
    <t>Cuisine and Empire : Cooking in World History</t>
  </si>
  <si>
    <t>Laudan, Rachel</t>
  </si>
  <si>
    <t>Cancer Cell Signalling</t>
  </si>
  <si>
    <t>Harvey, Amanda</t>
  </si>
  <si>
    <t>Handbook of Urology</t>
  </si>
  <si>
    <t>Parsons, J. Kellogg; Eifler, John B.; Han, Misop</t>
  </si>
  <si>
    <t>Breathing : Violence In, Peace Out</t>
  </si>
  <si>
    <t>University of Queensland Press</t>
  </si>
  <si>
    <t>Milojevic, Ivana</t>
  </si>
  <si>
    <t>Endoprosthetics</t>
  </si>
  <si>
    <t>Krukemeyer, Manfred Georg; Möllenhoff, Gunnar</t>
  </si>
  <si>
    <t>Social Determinants, Health Disparities and Linkages to Health and Health Care</t>
  </si>
  <si>
    <t>Modeling Behavior in Complex Public Health Systems : Simulation and Games for Action and Evaluation</t>
  </si>
  <si>
    <t>Keane, Christopher</t>
  </si>
  <si>
    <t>Path to Nursing Excellence : The Columbia Experience</t>
  </si>
  <si>
    <t>Mundinger, Mary O'Neil</t>
  </si>
  <si>
    <t>Compact Clinical Guide to Women's Pain Management : An Evidence-Based Approach for Nurses</t>
  </si>
  <si>
    <t>D'Arcy, Yvonne</t>
  </si>
  <si>
    <t>College Student Mental Health Counseling : A Developmental Approach</t>
  </si>
  <si>
    <t>Degges-White, Suzanne, PhD, LMHC, LPC, NCC; Borzumato-Gainey, Christine, PhD, LPC; Degges-White, Suzanne, PhD, LMHC, LPC, NCC</t>
  </si>
  <si>
    <t>Advances in Combinatorial Chemistry &amp; High Throughput Screening</t>
  </si>
  <si>
    <t>Chaguturu, Rathnam</t>
  </si>
  <si>
    <t>Science; Pharmacy; Science: Chemistry; Medicine</t>
  </si>
  <si>
    <t>The Fallacy of Understanding and the Ambiguity of Change</t>
  </si>
  <si>
    <t>Levenson, Edgar; Stern, Donnel B.</t>
  </si>
  <si>
    <t>Life with a Superhero : Raising Michael Who Has Down Syndrome</t>
  </si>
  <si>
    <t>Hulings, Kathryn U</t>
  </si>
  <si>
    <t>Modified-Release Drug Delivery Technology : Modified-Release Drug Delivery Technology, Volume 1 (2nd Ediiton)</t>
  </si>
  <si>
    <t>Rathbone, Michael J.; Hadgraft, Jonathan; Roberts, Michael S.; Lane, Majella E.</t>
  </si>
  <si>
    <t>Essentials of Electrodiagnostic Medicine</t>
  </si>
  <si>
    <t>Campbell, William</t>
  </si>
  <si>
    <t>Modern Colonization by Medical Intervention : U. S. Medicine in Puerto Rico</t>
  </si>
  <si>
    <t>Trujillo-Pagan, Nicole</t>
  </si>
  <si>
    <t>Metabolic Syndrome and Neurological Disorders</t>
  </si>
  <si>
    <t>Farooqui, Akhlaq A.; Farooqui, Tahira</t>
  </si>
  <si>
    <t>Radioimmunotherapy of Cancer</t>
  </si>
  <si>
    <t>Abrams, Paul G.; Fritzberg, Alan R.</t>
  </si>
  <si>
    <t>AIDS-Related Cancers and Their Treatment</t>
  </si>
  <si>
    <t>Feigal/Levine/B; Levine,  Alexandra M.; Biggar,  Robert J.; Feigal, Ellen G.</t>
  </si>
  <si>
    <t>Chemically Induced Birth Defects</t>
  </si>
  <si>
    <t>Schardein, James L.</t>
  </si>
  <si>
    <t>Chronic Lung Disease of Early Infancy</t>
  </si>
  <si>
    <t>Bland; Coalson, Jacqueline J.</t>
  </si>
  <si>
    <t>Pharmaceutical Dosage Forms : Tablets - Rational Design and Formulation</t>
  </si>
  <si>
    <t>Hoag, Stephen W.; Augsburger, Larry L.</t>
  </si>
  <si>
    <t>Pharmaceutical Dosage Forms : Tablets - Unit Operations and Mechanical Properties</t>
  </si>
  <si>
    <t>Pharmaceutical Dosage Forms - Tablets : Manufacture and Process Control</t>
  </si>
  <si>
    <t>Augsburger, Larry L.; Hoag, Stephen W.</t>
  </si>
  <si>
    <t>Image-Guided Radiation Therapy of Prostate Cancer : Image-Guided Radiation Therapy</t>
  </si>
  <si>
    <t>Valicenti, Richard K.; Dicker, Adam P.; Jaffray, David A.</t>
  </si>
  <si>
    <t>HIV and Aging</t>
  </si>
  <si>
    <t>Lee, Sharon Dian</t>
  </si>
  <si>
    <t>Biotechnology and Biopharmaceuticals : Transforming Proteins and Genes into Drugs</t>
  </si>
  <si>
    <t>Gibaldi, Milo; Ho, Rodney J. Y.; Ho, Rodney J y</t>
  </si>
  <si>
    <t>Hysteria Complicated by Ecstasy : The Case of Nanette Leroux</t>
  </si>
  <si>
    <t>Goldstein, Jan</t>
  </si>
  <si>
    <t>Statistical Methods for Survival Data Analysis</t>
  </si>
  <si>
    <t>Lee, Elisa T.; Wang, John Wenyu</t>
  </si>
  <si>
    <t>IOC Medical Commission Publication, Sports Nutrition : An IOC Medical Commission Publication, Sports Nutrition</t>
  </si>
  <si>
    <t>Maughan, Ronald J.</t>
  </si>
  <si>
    <t>Therapeutic Landscapes : An Evidence-Based Approach to Designing Healing Gardens and Restorative Outdoor Spaces</t>
  </si>
  <si>
    <t>Marcus, Clare Cooper; Sachs, Naomi A</t>
  </si>
  <si>
    <t>The Putting Patients First Field Guide : Global Lessons in Designing and Implementing Patient-Centered Care</t>
  </si>
  <si>
    <t>Foundation, Planetree; Frampton, Susan F.; Charmel, Patrick A.; Guastello, Sara; Frampton, Susan B.</t>
  </si>
  <si>
    <t>Lecture Notes: Diseases of the Ear, Nose and Throat</t>
  </si>
  <si>
    <t>Clarke, Ray; Clarke, Ray</t>
  </si>
  <si>
    <t>Basic Guide to Oral Health Education and Promotion</t>
  </si>
  <si>
    <t>Felton, Simon; Chapman, Alison</t>
  </si>
  <si>
    <t>Theory of Addiction</t>
  </si>
  <si>
    <t>West, Robert; Brown, Jamie</t>
  </si>
  <si>
    <t>This Is Your Brain : Teaching About Neuroscience and Addiction Research</t>
  </si>
  <si>
    <t>Terra Nova Learning Systems</t>
  </si>
  <si>
    <t>Museum Exhibition Planning and Design</t>
  </si>
  <si>
    <t>Bogle, Elizabeth</t>
  </si>
  <si>
    <t>Specification of Drug Substances and Products : Development and Validation of Analytical Methods</t>
  </si>
  <si>
    <t>Riley, Christopher M.; Rosanske, Thomas W.; Riley, Shelley R. Rabel</t>
  </si>
  <si>
    <t>Data Mining in Drug Discovery</t>
  </si>
  <si>
    <t>Mannhold, Raimund; Kubinyi, Hugo; Folkers, Gerd; Hoffmann, Rémy D.; Gohier, Arnaud; Pospisil, Pavel</t>
  </si>
  <si>
    <t>Hospice Voices : Lessons for Living at the End of Life</t>
  </si>
  <si>
    <t>Lindner, Eric</t>
  </si>
  <si>
    <t>Chemoinformatics for Drug Discovery</t>
  </si>
  <si>
    <t>Bajorath, Jürgen</t>
  </si>
  <si>
    <t>Thinking Space : Promoting Thinking About Race, Culture and Diversity in Psychotherapy and Beyond</t>
  </si>
  <si>
    <t>Lowe, Frank</t>
  </si>
  <si>
    <t>Behavioral Dentistry</t>
  </si>
  <si>
    <t>Mostofsky, David I.; Fortune, Farida; Forgione, Albert G.; Giddon, Donald B.</t>
  </si>
  <si>
    <t>Ensuring a Sustainable Future : Making Progress on Environment and Equity</t>
  </si>
  <si>
    <t>Heymann, Jody; Barrera, Magda</t>
  </si>
  <si>
    <t>Sleep Medicine in Neurology</t>
  </si>
  <si>
    <t>Kirsch, Douglas; Kirsch, Douglas</t>
  </si>
  <si>
    <t>Clinical Values : Emotions That Guide Psychoanalytic Treatment</t>
  </si>
  <si>
    <t>Buechler, Sandra</t>
  </si>
  <si>
    <t>Child Therapy in the Great Outdoors : A Relational View</t>
  </si>
  <si>
    <t>Santostefano, Sebastiano</t>
  </si>
  <si>
    <t>Stereoselective Synthesis of Drugs and Natural Products</t>
  </si>
  <si>
    <t>Andrushko, Vasyl; Andrushko, Natalia; Andrushko, Vasyl; Andrushko, Natalia</t>
  </si>
  <si>
    <t>Viral Infections and Global Change</t>
  </si>
  <si>
    <t>Singh, Sunit K.</t>
  </si>
  <si>
    <t>Bioactive Compounds from Marine Foods : Plant and Animal Sources</t>
  </si>
  <si>
    <t>Hernández-Ledesma, Blanca; Herrero, Miguel; Hernandez-Ledesma, Blanca; Herrero, Miguel</t>
  </si>
  <si>
    <t>The Therapeutic Powers of Play : 20 Core Agents of Change</t>
  </si>
  <si>
    <t>Schaefer, Charles E.; Drewes, Athena A.</t>
  </si>
  <si>
    <t>Recent Advances in Predicting and Preventing Epileptic Seizures : Proceedings of the 5th International Workshop on Seizure Prediction</t>
  </si>
  <si>
    <t>Tetzlaff, Ronald; Elger, Christian E.; Lehnertz, Klaus</t>
  </si>
  <si>
    <t>Geology of the Modern Cancer Epidemic : Through the Lens of Chinese Medicine</t>
  </si>
  <si>
    <t>Lahans, Tai</t>
  </si>
  <si>
    <t>Fundamentals of Traditional Chinese Medicine : Fundamentals of Traditional Chinese Medicine</t>
  </si>
  <si>
    <t>Wu, Hong-Zhou; Fang, Zhao-Qin; Fang, Zhao-Qin</t>
  </si>
  <si>
    <t>Introduction to Chinese Materia Medica : Introduction to Chinese Materia Medica</t>
  </si>
  <si>
    <t>Yang, Jin; Huang, Huang; Zhu, Lijiang</t>
  </si>
  <si>
    <t>Health, Wellbeing, Competence and Aging</t>
  </si>
  <si>
    <t>Leung, Ping-Chung; Kofler, Walter; Woo, Jean</t>
  </si>
  <si>
    <t>Unifying Psychotherapy : Principles, Methods, and Evidence from Clinical Science</t>
  </si>
  <si>
    <t>Jeffrey Magnavita Ph. D., FAPA; Jack Anchin Ph. D., FAPA; Jeffrey Magnavita Ph D, Fapa; Jack Anchin Ph D, Fapa</t>
  </si>
  <si>
    <t>Research for Advanced Practice Nurses, Second Edition : From Evidence to Practice</t>
  </si>
  <si>
    <t>Magdalena Mateo PhD, RN; Marquis Foreman PhD, RN</t>
  </si>
  <si>
    <t>Who's Buying Health Care</t>
  </si>
  <si>
    <t>New Strategist Press, LLC</t>
  </si>
  <si>
    <t>The New Strategist Editors</t>
  </si>
  <si>
    <t>Business/Management; Health; Social Science; Economics</t>
  </si>
  <si>
    <t>pHealth 2013 : Proceedings of the 10th International Conference on Wearable Micro and Nano Technologies for Personalized Health</t>
  </si>
  <si>
    <t>Blobel, B.; Pharow, P.; Parv, L.</t>
  </si>
  <si>
    <t>Endangered Private Practice : Surviving Health Care Reform</t>
  </si>
  <si>
    <t>Hixson, Ronald R.</t>
  </si>
  <si>
    <t>MRI Techniques</t>
  </si>
  <si>
    <t>Perrin, Vincent</t>
  </si>
  <si>
    <t>Design and Analysis of Clinical Trials : Concepts and Methodologies</t>
  </si>
  <si>
    <t>Chow, Shein-Chung; Liu, Jen-Pei</t>
  </si>
  <si>
    <t>Health Communication : From Theory to Practice</t>
  </si>
  <si>
    <t>Schiavo, Renata</t>
  </si>
  <si>
    <t>The Engineering of Human Joint Replacements</t>
  </si>
  <si>
    <t>McGeough, J. A.</t>
  </si>
  <si>
    <t>Manual for Short-Term Psychoanalytic Child Therapy (PaCT)</t>
  </si>
  <si>
    <t>Gottken, Tanja; von Klitzing, Kai</t>
  </si>
  <si>
    <t>Healthcare Analytics for Quality and Performance Improvement</t>
  </si>
  <si>
    <t>Strome, Trevor L.; Strome, Trevor L</t>
  </si>
  <si>
    <t>Drug Delivery Applications of Noninvasive Imaging : Validation from Biodistribution to Sites of Action</t>
  </si>
  <si>
    <t>Li, Chun; Tian, Mei; Li, Chun</t>
  </si>
  <si>
    <t>Therapeutic Hypnosis with Children and Adolescents : Second edition</t>
  </si>
  <si>
    <t>Crown House Publishing</t>
  </si>
  <si>
    <t>Sugarman, Laurence; Wester III, William; Wester, William C.</t>
  </si>
  <si>
    <t>Born and Made : An Ethnography of Preimplantation Genetic Diagnosis</t>
  </si>
  <si>
    <t>Franklin, Sarah; Roberts, Celia</t>
  </si>
  <si>
    <t>Ecological Health : Society, Ecology and Health</t>
  </si>
  <si>
    <t>KatzRothman, Barbara; Gislason, Maya K.</t>
  </si>
  <si>
    <t>The Transplant Imaginary : Mechanical Hearts, Animal Parts, and Moral Thinking in Highly Experimental Science</t>
  </si>
  <si>
    <t>Sharp, Lesley A.</t>
  </si>
  <si>
    <t>Managing Pain in Children : A Clinical Guide for Nurses and Healthcare Professionals</t>
  </si>
  <si>
    <t>Twycross, Alison; Dowden, Stephanie; Stinson, Jennifer</t>
  </si>
  <si>
    <t>Children With Multiple Mental Health Challenges : An Integrated Approach to Intervention</t>
  </si>
  <si>
    <t>Sarah Landy Ph. D., C. Psych; Susan Bradley M. D., FRCP (C)</t>
  </si>
  <si>
    <t>Private Health Sector Assessment in Tanzania</t>
  </si>
  <si>
    <t>White, James; O'Hanlon, Barbara; Chee, Grace; Chee, Grace; Malangalila, Emmanuel; Kimambo, Adeline; Coarasa, Jorge; Levey, Ilana Ron; McKeon, Kim</t>
  </si>
  <si>
    <t>Tackling Noncommunicable Diseases in Bangladesh : Now Is the Time</t>
  </si>
  <si>
    <t>El-Saharty, Sameh; Ahsan, Karar Zunaid; Koehlmoos, Tarcey L. P.; Engelgau, Michael Maurice</t>
  </si>
  <si>
    <t>Student Survival Skills : Care Skills for Nurses</t>
  </si>
  <si>
    <t>Interpretation Basics of Cone Beam Computed Tomography</t>
  </si>
  <si>
    <t>Gonzalez, Shawneen M.</t>
  </si>
  <si>
    <t>The Impact of Complex Trauma on Development</t>
  </si>
  <si>
    <t>Arnold, Cheryl; Fisch, Ralph</t>
  </si>
  <si>
    <t>Percutaneous Renal Surgery</t>
  </si>
  <si>
    <t>Monga, Manoj; Rane, Abhay</t>
  </si>
  <si>
    <t>Cone Beam Computed Tomography : Oral and Maxillofacial Diagnosis and Applications</t>
  </si>
  <si>
    <t>Sarment, David</t>
  </si>
  <si>
    <t>Person-Centered Recovery Planner for Adults with Serious and Mental Illness</t>
  </si>
  <si>
    <t>Dulmus, Catherine N.; Nisbet, Bruce C.</t>
  </si>
  <si>
    <t>Violence Risk- Assessment and Management : Advances Through Structured Professional Judgement and Sequential Redirections</t>
  </si>
  <si>
    <t>Webster, Christopher D.; Haque, Quazi; Hucker, Stephen J.</t>
  </si>
  <si>
    <t>The Imperative of Health : Public Health and the Regulated Body</t>
  </si>
  <si>
    <t>New Tools to Enhance Posttraumatic Stress Disorder Diagnosis and Treatment : Invisible Wounds of War</t>
  </si>
  <si>
    <t>Interdisciplinary Assessment of Personal Health Monitoring</t>
  </si>
  <si>
    <t>Schmidt, S.; Rienhoff, O.</t>
  </si>
  <si>
    <t>Health Informatics: Digital Health Service Delivery - The Future is Now!</t>
  </si>
  <si>
    <t>Grain, H.; Schaper, L.K.</t>
  </si>
  <si>
    <t>Informatics, Management and Technology in Healthcare</t>
  </si>
  <si>
    <t>J. Mantas; Hasman, A.</t>
  </si>
  <si>
    <t>Health Information Governance in a Digital Environment</t>
  </si>
  <si>
    <t>Hovenga, E.J.S.; Grain, H.</t>
  </si>
  <si>
    <t>The Deconstructive Owl of Minerva : An Examination of Schizophrenia through Philosophy, Psychoanalysis and Postmodernism</t>
  </si>
  <si>
    <t>Burke, Lillian Francis</t>
  </si>
  <si>
    <t>Annual Review of Cybertherapy and Telemedicine 2013 : Positive Technology and Health Engagement for Healthy Living and Active Ageing</t>
  </si>
  <si>
    <t>Imaging in Endocrinology</t>
  </si>
  <si>
    <t>Pozzilli, Paolo; Lenzi, Andrea; Clarke, Bart L.; Young, William F., Jr.</t>
  </si>
  <si>
    <t>Quinn, Joseph</t>
  </si>
  <si>
    <t>Placebo Effect in Clinical Practice</t>
  </si>
  <si>
    <t>Brown, Walter A.</t>
  </si>
  <si>
    <t>Clinical Chemistry : Diagnostic Standards of Care</t>
  </si>
  <si>
    <t>Nichols, James H., PhD; Rauch, Carol A., MD, PhD; Laposata, Michael, MD, PhD</t>
  </si>
  <si>
    <t>Neoplastic Lesions of the Skin</t>
  </si>
  <si>
    <t>Plaza, Jose; Prieto, Victor</t>
  </si>
  <si>
    <t>Cancers of the Colon and Rectum : A Multidisciplinary Approach to Diagnosis and Management</t>
  </si>
  <si>
    <t>Benson, Al; Chakravarthy, A.; Hamilton, Stanley; Sigurdson, Elin</t>
  </si>
  <si>
    <t>Gynecologic Cancers : A Multidisciplinary Approach to Diagnosis and Management</t>
  </si>
  <si>
    <t>Odunsi, Kunle, MD; Pejovic, Tanja, MD; Thomas Jr., Charles R., MD</t>
  </si>
  <si>
    <t>Endocrine Disruptors 2012</t>
  </si>
  <si>
    <t>Smithers Rapra</t>
  </si>
  <si>
    <t>iSmithers</t>
  </si>
  <si>
    <t>Endocrine Disruptors 2011</t>
  </si>
  <si>
    <t>Religion; Health; Social Science</t>
  </si>
  <si>
    <t>Saving Lives in Wartime China : How Medical Reformers Built Modern Healthcare Systems amid War and Epidemics, 1928-1945</t>
  </si>
  <si>
    <t>Watt, John R.</t>
  </si>
  <si>
    <t>Lecture Notes: Psychiatry</t>
  </si>
  <si>
    <t>Gulati, Gautam; Lynall, Mary-Ellen; Saunders, Kate E. A.</t>
  </si>
  <si>
    <t>Managing Minor Musculoskeletal Injuries and Conditions</t>
  </si>
  <si>
    <t>Bradley, David</t>
  </si>
  <si>
    <t>Child Psychotherapy, War and the Normal Child : Selected Papers of Margaret Lowenfeld</t>
  </si>
  <si>
    <t>Sussex Academic Press</t>
  </si>
  <si>
    <t>Lowenfeld, Margaret; Urwin, Cathy; Hood-Williams, John</t>
  </si>
  <si>
    <t>Medical Library Association Guide to Finding Out about Diabetes : The Best Print and Electronic Resources</t>
  </si>
  <si>
    <t>American Library Association</t>
  </si>
  <si>
    <t>Ladd, Dana L.; Altshuler, Alyssa</t>
  </si>
  <si>
    <t>Handbook of Orthognathic Surgery : A Team Approach</t>
  </si>
  <si>
    <t>Khambay, Balvinder; Ayoub, Ashraf; Walker, Fraser; Benington, Philip; Moos, Kursheed; Green, Lyndia</t>
  </si>
  <si>
    <t>Integrating Expressive Arts and Play Therapy : A Guidebook for Mental Health Practitioners and Educators</t>
  </si>
  <si>
    <t>Green, Eric J.; Drewes, Athena A.</t>
  </si>
  <si>
    <t>Oats Nutrition and Technology</t>
  </si>
  <si>
    <t>Chu, YiFang; Chu, Yifang</t>
  </si>
  <si>
    <t>ALSG; Mackway-Jones, Kevin; Marsden, Janet; Windle, Jill</t>
  </si>
  <si>
    <t>Hypoglycaemia in Clinical Diabetes</t>
  </si>
  <si>
    <t>Frier, Brian M.; Heller, Simon; McCrimmon, Rory</t>
  </si>
  <si>
    <t>Equilibria and Kinetics of Biological Macromolecules</t>
  </si>
  <si>
    <t>Hermans, Jan; Lentz, Barry</t>
  </si>
  <si>
    <t>Recurrent Pregnancy Loss</t>
  </si>
  <si>
    <t>Christiansen, Ole Bjarne</t>
  </si>
  <si>
    <t>Worlds of Autism : Across the Spectrum of Neurological Difference</t>
  </si>
  <si>
    <t>Davidson, Joyce; Orsini, Michael</t>
  </si>
  <si>
    <t>An a to Z Practical Guide to Emotional and Behavioural Difficulties</t>
  </si>
  <si>
    <t>David Fulton Publishers</t>
  </si>
  <si>
    <t>Ayers, Harry; Prytys, Cesia</t>
  </si>
  <si>
    <t>Health; Social Science; Education</t>
  </si>
  <si>
    <t>Food Allergy : Adverse Reaction to Foods and Food Additives</t>
  </si>
  <si>
    <t>Metcalfe, Dean D.; Sampson, Hugh A.; Simon, Ronald A.; Lack, Gideon</t>
  </si>
  <si>
    <t>Life Witness : Evolution of the Psychotherapist</t>
  </si>
  <si>
    <t>Karasu, T. Byram</t>
  </si>
  <si>
    <t>CBT for Appearance Anxiety : Psychosocial Interventions for Anxiety Due to Visible Difference</t>
  </si>
  <si>
    <t>Clarke, Alex; Thompson, Andrew R.; Jenkinson, Elizabeth; Rumsey, Nichola; Newell, Robert</t>
  </si>
  <si>
    <t>Open-Bite Malocclusion : Treatment and Stability</t>
  </si>
  <si>
    <t>Janson, Guilherme; Valarelli, Fabricio</t>
  </si>
  <si>
    <t>Chemical Risk Assessment : A Manual for REACH</t>
  </si>
  <si>
    <t>Fisk, Peter</t>
  </si>
  <si>
    <t>Risky Marriage : HIV and Intimate Relationships in Tanzania</t>
  </si>
  <si>
    <t>Browning, Melissa</t>
  </si>
  <si>
    <t>Social Science; Religion; Health</t>
  </si>
  <si>
    <t>Global HIV/AIDS Politics, Policy, and Activism : Persistent Challenges and Emerging Issues</t>
  </si>
  <si>
    <t>Smith, Raymond A.; Smith, Raymond A</t>
  </si>
  <si>
    <t>Fundamentals of Medical-Surgical Nursing : A Systems Approach</t>
  </si>
  <si>
    <t>Brady, Anne-Marie; McCabe, Catherine; McCann, Margaret</t>
  </si>
  <si>
    <t>Renal Nursing</t>
  </si>
  <si>
    <t>Autistic Transformations : Bion's Theory and Autistic Phenomena</t>
  </si>
  <si>
    <t>Fix Korbivcher, Celia</t>
  </si>
  <si>
    <t>Diagnosis and Management of Ocular Motility Disorders</t>
  </si>
  <si>
    <t>Ansons, Alec M.; Davis, Helen</t>
  </si>
  <si>
    <t>The Student's Guide to Becoming a Midwife</t>
  </si>
  <si>
    <t>Peate, Ian; Hamilton, Cathy</t>
  </si>
  <si>
    <t>Good Doctor : What Patients Want</t>
  </si>
  <si>
    <t>Auckland University Press</t>
  </si>
  <si>
    <t>Paterson, Ron</t>
  </si>
  <si>
    <t>Therapy with Tough Clients : Exploring the Use of Indirect and Unconscious Techniques</t>
  </si>
  <si>
    <t>Gafner, George</t>
  </si>
  <si>
    <t>Heart Failure : A Case-Based Approach</t>
  </si>
  <si>
    <t>Rahko, Peter</t>
  </si>
  <si>
    <t>Outcomes Assessment in End-Stage Kidney Disease - Measurements and Applications in Clinical Practice : Measurements and Applications in Clinical Practice</t>
  </si>
  <si>
    <t>Paraskevi Theofilou</t>
  </si>
  <si>
    <t>Colonialism and Transnational Psychiatry : The Development of an Indian Mental Hospital in British India, c. 1925–1940</t>
  </si>
  <si>
    <t>Food Safety Management : A Practical Guide for the Food Industry</t>
  </si>
  <si>
    <t>Motarjemi, Yasmine; Lelieveld, Huub</t>
  </si>
  <si>
    <t>Perfectionism : A Guide for Mental Health Professionals</t>
  </si>
  <si>
    <t>Brustein, Michael</t>
  </si>
  <si>
    <t>Psychological Treatment of Older Adults : A Holistic Model</t>
  </si>
  <si>
    <t>Hyer, Lee</t>
  </si>
  <si>
    <t>See Me as a Person : Creating Therapeutic Relationships with Patients and Their Families</t>
  </si>
  <si>
    <t>Creative Health Care Management</t>
  </si>
  <si>
    <t>Trout, Michael; Koloroutis, Mary</t>
  </si>
  <si>
    <t>Breastfeeding Handbook for Physicians</t>
  </si>
  <si>
    <t>American College of Obstetricians and Gynecologists (ACOG) Staff; Krebs, Nancy; Mass, Sharon; Schanler, Richard; Mass, Dr Sharon</t>
  </si>
  <si>
    <t>Pain Genetics : Basic to Translational Science</t>
  </si>
  <si>
    <t>Belfer, Inna; Diatchenko, Luda</t>
  </si>
  <si>
    <t>Changing the U. S. Health Care System : Key Issues in Health Services Policy and Management</t>
  </si>
  <si>
    <t>Kominski, Gerald F.</t>
  </si>
  <si>
    <t>Lymphedema Management : The Comprehensive Guide for Practitioners</t>
  </si>
  <si>
    <t>Zuther, Joachim Ernst; Norton, Steve</t>
  </si>
  <si>
    <t>Understanding Medical Education : Evidence,Theory and Practice</t>
  </si>
  <si>
    <t>Diabetes : Oxidative Stress and Dietary Antioxidants</t>
  </si>
  <si>
    <t>Narrative Approaches to Brain Injury</t>
  </si>
  <si>
    <t>Todd, David; Weatherhead, Stephen</t>
  </si>
  <si>
    <t>Psychoanalytic Essays on Power and Vulnerability</t>
  </si>
  <si>
    <t>Brunning, Halina</t>
  </si>
  <si>
    <t>Searching Skills Toolkit : Finding the Evidence</t>
  </si>
  <si>
    <t>De Brún, Caroline; Pearce-Smith, Nicola</t>
  </si>
  <si>
    <t>Cosmeceuticals and Cosmetic Practice</t>
  </si>
  <si>
    <t>Farris, Patricia K.</t>
  </si>
  <si>
    <t>Statistical Analysis in Forensic Science : Evidential Values of Multivariate Physicochemical Data</t>
  </si>
  <si>
    <t>Zadora, Grzegorz; Martyna, Agnieszka; Ramos, Daniel; Aitken, Colin G.</t>
  </si>
  <si>
    <t>Introduction to Chinese Internal Medicine : Volume 4:Introduction to Chinese Internal Medicine</t>
  </si>
  <si>
    <t>Xia, ng; Shen, Xiao-Heng; Shen, Xiao-Heng</t>
  </si>
  <si>
    <t>Introduction to Acupuncture and Moxibustion : Introduction to Acupuncture and Moxibustion</t>
  </si>
  <si>
    <t>Zhang, Ren; Wang, Xuemin</t>
  </si>
  <si>
    <t>World Century Compendium to Tcm : Introduction to Tui Na</t>
  </si>
  <si>
    <t>Jiang, Xiao; Liu, Lan-Qing; Ke, Gui-Bao</t>
  </si>
  <si>
    <t>Translating Psychological Research into Practice</t>
  </si>
  <si>
    <t>Grossman, Lisa; Walfish, Steven</t>
  </si>
  <si>
    <t>Microbiology of Waterborne Diseases : Microbiological Aspects and Risks</t>
  </si>
  <si>
    <t>Percival, Steven L.; Yates, Marylynn V.; Williams, David; Chalmers, Rachel; Gray, Nicholas</t>
  </si>
  <si>
    <t>Forensic Odontology : An Essential Guide</t>
  </si>
  <si>
    <t>Adams, Catherine; Carabott, Romina; Evans, Sam</t>
  </si>
  <si>
    <t>Comrades in Health : U.S. Health Internationalists, Abroad and at Home</t>
  </si>
  <si>
    <t>Bassett, Mary; Brown, Theodore M.; Birn, Anne-Emanuelle; Navarro, Vicente; Bondi-Boyd, Brea; Braveman, Paula; Geiger, H.; Gloyd, Stephen; Holtz, Timothy; Johnson, Wendy</t>
  </si>
  <si>
    <t>Mapping Race : Critical Approaches to Health Disparities Research</t>
  </si>
  <si>
    <t>Gómez, Laura E.; Geronimus, Arline T.; Graves, Joseph L., Jr.; Helms, Janet E.; Mereish, Ethan H.; Ybarra, Vickie D.; Kahn, Jonathan; Kaufman, Jay S.; López, Nancy; Valdez, R. Burciaga</t>
  </si>
  <si>
    <t>Classrooms and Clinics : Urban Schools and the Protection and Promotion of Child Health, 1870-1930</t>
  </si>
  <si>
    <t>Meckel, Richard A.</t>
  </si>
  <si>
    <t>Reduce Child Obesity : A Guide to Using the Kid's Choice Program in School and at Home</t>
  </si>
  <si>
    <t>R&amp;L Education</t>
  </si>
  <si>
    <t>Hendy, Helen; Williams, Keith; Camise, Thomas</t>
  </si>
  <si>
    <t>Simon of Genoa's Medical Lexicon</t>
  </si>
  <si>
    <t>How to Teach in Clinical Settings</t>
  </si>
  <si>
    <t>Seabrook, Mary</t>
  </si>
  <si>
    <t>Anaesthesia at a Glance</t>
  </si>
  <si>
    <t>Stone, Julian; Fawcett, William</t>
  </si>
  <si>
    <t>DSM-5 Essentials : The Savvy Clinician's Guide to the Changes in Criteria</t>
  </si>
  <si>
    <t>Reichenberg, Lourie W.</t>
  </si>
  <si>
    <t>Gender-Inclusive Treatment of Intimate Partner Abuse, Second Edition : Evidence-Based Approaches</t>
  </si>
  <si>
    <t>Hamel, John, LCSW; Hamel, John, LCSW</t>
  </si>
  <si>
    <t>The Handbook of Health Behavior Change, 4th Edition</t>
  </si>
  <si>
    <t>Pbert, Lori; Riekert, Kristin A., PhD; Ockene, Judith K., PhD</t>
  </si>
  <si>
    <t>Autism Spectrum Disorder : Perspectives from Psychoanalysis and Neuroscience</t>
  </si>
  <si>
    <t>Sherkow, Susan P.,; Harrison , Alexandra M., M.D.; Singletary, William M., M.D.</t>
  </si>
  <si>
    <t>Child &amp; Adolescent Mental Health : Theory &amp; Practice</t>
  </si>
  <si>
    <t>Hooper, Christine; Cooper, Michael; Hooper, Christine M.</t>
  </si>
  <si>
    <t>The Handbook of Forensic Psychology</t>
  </si>
  <si>
    <t>Weiner, Irving B.; Otto, Randy K.</t>
  </si>
  <si>
    <t>Promising Care : How We Can Rescue Health Care by Improving It</t>
  </si>
  <si>
    <t>Berwick, Donald M.</t>
  </si>
  <si>
    <t>Doing Nutrition Differently : Critical Approaches to Diet and Dietary Intervention</t>
  </si>
  <si>
    <t>Hayes-Conroy, Allison; Hayes-Conroy, Dr Jessica; Goodman, Professor Michael K</t>
  </si>
  <si>
    <t>Haematology at a Glance</t>
  </si>
  <si>
    <t>Mehta, Atul; Hoffbrand, Victor</t>
  </si>
  <si>
    <t>Evidence-Based Neonatal Infections</t>
  </si>
  <si>
    <t>Isaacs, David</t>
  </si>
  <si>
    <t>Pharmaceutical Emulsions : A Drug Developer's Toolbag</t>
  </si>
  <si>
    <t>Sarker, Dipak Kumar</t>
  </si>
  <si>
    <t>The Science of Forensic Entomology</t>
  </si>
  <si>
    <t>Rivers, David B.; Dahlem, Gregory A.</t>
  </si>
  <si>
    <t>Medicinal Chemistry Approaches to Personalized Medicine</t>
  </si>
  <si>
    <t>Kubinyi, Hugo; Lackey, Karen; Roth, Bruce; Mannhold, Raimund; Folkers, Gerd; Kubinyi, Hugo</t>
  </si>
  <si>
    <t>Fast Facts for the Gerontology Nurse : A Nursing Care Guide in a Nutshell</t>
  </si>
  <si>
    <t>Eliopoulos, Charlotte, MPH, PhD, RN</t>
  </si>
  <si>
    <t>Implementing EMDR Early Mental Health Interventions for Man-Made and Natural Disasters : Models, Scripted Protocols and Summary Sheets</t>
  </si>
  <si>
    <t>Luber, Marilyn, Dr., PhD</t>
  </si>
  <si>
    <t>Learning from Economic Downturns : How to Better Assess, Track, and Mitigate the Impact on the Health Sector</t>
  </si>
  <si>
    <t>Hou, Xiaohui; Velényi, Edit V.; Yazbeck, Abdo S.; Smith, Owen; Iunes, Roberto</t>
  </si>
  <si>
    <t>Neuromuscular : RMQR</t>
  </si>
  <si>
    <t>Prahlow, Nathan; Kincaid, John C.</t>
  </si>
  <si>
    <t>To America's Health : A Proposal to Reform the Food and Drug Administration</t>
  </si>
  <si>
    <t>Hoover Institution Press</t>
  </si>
  <si>
    <t>Miller, MD, Henry I.</t>
  </si>
  <si>
    <t>Making Strategy Count in the Health and Human Services Sector : Lessons Learned from 20 Organizations and Chief Strategy Officers</t>
  </si>
  <si>
    <t>Hansen-Turton, Tine, MGA, JD, FCPP, FAAN; Mortell, Michael; Mortell, Michael</t>
  </si>
  <si>
    <t>Obesity and Type 2 Diabetes Mellitus : Obesity and Type 2 Diabetes Mellitus</t>
  </si>
  <si>
    <t>Sheehan, John P.; Ulchaker, Margaret M.</t>
  </si>
  <si>
    <t>Rheumatology Board Review</t>
  </si>
  <si>
    <t>Law, Karen; Lipson, Aliza</t>
  </si>
  <si>
    <t>Dermatologic Principles and Practice in Oncology : Conditions of the Skin, Hair, and Nails in Cancer Patients</t>
  </si>
  <si>
    <t>Lacouture, Mario E.</t>
  </si>
  <si>
    <t>Physicochemical and Biomimetic Properties in Drug Discovery : Chromatographic Techniques for Lead Optimization</t>
  </si>
  <si>
    <t>Valko, Klara; Valko, Klara</t>
  </si>
  <si>
    <t>Advances in Food Science and Nutrition</t>
  </si>
  <si>
    <t>P. M., Visakh; Iturriaga, Laura B.; Ribotta, Pablo Daniel; Thomas, Sabu</t>
  </si>
  <si>
    <t>Optical Devices in Ophthalmology and Optometry : Technology, Design Principles and Clinical Applications</t>
  </si>
  <si>
    <t>Kaschke, Michael; Donnerhacke, Karl-Heinz; Rill, Michael Stefan</t>
  </si>
  <si>
    <t>Museums in the Digital Age : Changing Meanings of Place, Community, and Culture</t>
  </si>
  <si>
    <t>Bautista, Susana Smith</t>
  </si>
  <si>
    <t>Doctors of Another Calling : Physicians Who Are Known Best in Fields Other than Medicine</t>
  </si>
  <si>
    <t>University of Delaware Press</t>
  </si>
  <si>
    <t>Cooper, David K. C.; Dean, Howard</t>
  </si>
  <si>
    <t>Vascular Imaging of the Central Nervous System : Physical Principles, Clinical Applications and Emerging Techniques</t>
  </si>
  <si>
    <t>Ramalho, Joana; Castillo, Mauricio</t>
  </si>
  <si>
    <t>Rapid Infection Control Nursing</t>
  </si>
  <si>
    <t>Ross, Shona; Furrows, Sarah</t>
  </si>
  <si>
    <t>Edmonds, Michael E.; Foster, Alethea V. M.; Foster, Alethea V M</t>
  </si>
  <si>
    <t>Multimodal Treatment of Acute Psychiatric Illness : A Guide for Hospital Diversion</t>
  </si>
  <si>
    <t>M, Justin; L, Glendon</t>
  </si>
  <si>
    <t>Nanomaterials in Tissue Engineering : Fabrication and Applications</t>
  </si>
  <si>
    <t>Woodhead Publishing Limited</t>
  </si>
  <si>
    <t>Gaharwar, Akhilesh K.; Gaharwar, A. K.; Hacking, S. A.; Hancock, M. J.; Sant, S.</t>
  </si>
  <si>
    <t>Handbook of Food Powders : Processes and Properties</t>
  </si>
  <si>
    <t>Bhandari, Bhesh; Zhang, Min; Bansal, Nidhi; Schuck, Pierre; Zhang, Min</t>
  </si>
  <si>
    <t>The Mindfulness Workbook for OCD : A Guide to Overcoming Obsessions and Compulsions Using Mindfulness and Cognitive Behavioral Therapy</t>
  </si>
  <si>
    <t>Hershfield, Jon; Corboy, Tom; Claiborn, James</t>
  </si>
  <si>
    <t>The Frontiers of Ancient Science : Essays in Honor of Heinrich Von Staden</t>
  </si>
  <si>
    <t>Holmes, Brooke; Fischer, Klaus-Dietrich</t>
  </si>
  <si>
    <t>New Technologies for Managing Labor</t>
  </si>
  <si>
    <t>Farine, Dan</t>
  </si>
  <si>
    <t>The Autoimmune Diseases</t>
  </si>
  <si>
    <t>Mackay, Ian R.; Rose, Noel R.</t>
  </si>
  <si>
    <t>Cotton and Williams' Practical Gastrointestinal Endoscopy</t>
  </si>
  <si>
    <t>Haycock, Adam; Cohen, Jonathan; Saunders, Brian P.; Cotton, Peter B.; Williams, Christopher B.</t>
  </si>
  <si>
    <t>Practical Approach to Pediatric Gastroenterology, Hepatology and Nutrition</t>
  </si>
  <si>
    <t>Kelly, Deirdre A.; Bremner, Ronald; Hartley, Jane; Flynn, Diana</t>
  </si>
  <si>
    <t>The Business of Private Medical Practice : Doctors, Specialization, and Urban Change in Philadelphia, 1900-1940</t>
  </si>
  <si>
    <t>Schafer, James A.; Schafer, James</t>
  </si>
  <si>
    <t>Molecular Sensors and Nanodevices : Principles, Designs and Applications in Biomedical Engineering</t>
  </si>
  <si>
    <t>Zhang, John X. J.; Hoshino, Kazunori</t>
  </si>
  <si>
    <t>Plastics in Medical Devices : Properties, Requirements, and Applications</t>
  </si>
  <si>
    <t>Sastri, Vinny R.</t>
  </si>
  <si>
    <t>The Topic of Cancer : New Perspectives on the Emotional Experience of Cancer</t>
  </si>
  <si>
    <t>Burke, Jonathan</t>
  </si>
  <si>
    <t>Animal Killer : Transmission of War Trauma From One Generation to the Next</t>
  </si>
  <si>
    <t>Volkan, Vamik D.</t>
  </si>
  <si>
    <t>Atlas of Male Genitourethral Surgery : The Illustrated Guide</t>
  </si>
  <si>
    <t>Muneer, Asif; Arya, Manit; Jordan, Gerald H.</t>
  </si>
  <si>
    <t>Guide to Hypertrophic Cardiomyopathy : For Patients, Their Families and Interested Physicians</t>
  </si>
  <si>
    <t>Maron, Barry J.; Braunwald, Eugene; Braunwald, Eugene</t>
  </si>
  <si>
    <t>The Distracted Couple : The impact of ADHD on adult relationships</t>
  </si>
  <si>
    <t>Maucieri, Larry; Carlson, Jon</t>
  </si>
  <si>
    <t>Oxford Handbook of Emergency Medicine</t>
  </si>
  <si>
    <t>Wyatt, Jonathan P.; Illingworth, Robin N.; Graham, Colin A.; Hogg, Kerstin</t>
  </si>
  <si>
    <t>Teaching in Nursing and Role of the Educator : The Complete Guide to Best Practice in Teaching, Evaluation and Curriculum Development</t>
  </si>
  <si>
    <t>Oermann, Marilyn H., PhD, RN, FAAN, ANEF</t>
  </si>
  <si>
    <t>Health Policy and Advanced Practice Nursing : Impact and Implications</t>
  </si>
  <si>
    <t>Goudreau, Kelly A., PhD, RN, ACNS-BC, FAAN; Smolenski, Mary, EdD, MS, FNP, FAANP, CAE</t>
  </si>
  <si>
    <t>Depression 101</t>
  </si>
  <si>
    <t>Durbin, C. Emily, PhD</t>
  </si>
  <si>
    <t>Diagnostic Ultrasound Imaging: Inside Out</t>
  </si>
  <si>
    <t>Handbook of Polymer Applications in Medicine and Medical Devices</t>
  </si>
  <si>
    <t>Ebnesajjad, Sina; Modjarrad, Kayvon</t>
  </si>
  <si>
    <t>GI Epidemiology : Diseases and Clinical Methodology</t>
  </si>
  <si>
    <t>Talley, Nicholas J.; Locke, G. Richard; Moayyedi, Paul; West, Joseph J.; Ford, Alexander C.; Saito, Yuri A.</t>
  </si>
  <si>
    <t>Statistical Models and Methods for Reliability and Survival Analysis</t>
  </si>
  <si>
    <t>Couallier, Vincent; Gerville-RÃ©ache, LÃ©o; Huber-Carol, Catherine; Limnios, Nikolaos; Mesbah, Mounir; Huber -Carol, Catherine; Limnios, Nikolaos; Mesbah, Mounir; Gerville-Reache, Leo</t>
  </si>
  <si>
    <t>Medicine; Mathematics</t>
  </si>
  <si>
    <t>Mutuality, Recognition, and the Self : Psychoanalytic Reflections</t>
  </si>
  <si>
    <t>C. Kieffer, Christine</t>
  </si>
  <si>
    <t>Health Care Quality Management : Tools and Applications</t>
  </si>
  <si>
    <t>Ross, Thomas K.</t>
  </si>
  <si>
    <t>Manual of Temporomandibular Disorders</t>
  </si>
  <si>
    <t>Wright, Edward F.</t>
  </si>
  <si>
    <t>Sexuality and Dementia : Compassionate and Practical Strategies for Dealing with Unexpected or Inappropriate Behaviors</t>
  </si>
  <si>
    <t>Wornell, Douglas</t>
  </si>
  <si>
    <t>Integrating Clinical Hypnosis and Cbt : Treating Depression, Anxiety, and Fears</t>
  </si>
  <si>
    <t>Chapman, Robin A., PsyD, ABPP; Robin a Chapman Psyd, Abpp</t>
  </si>
  <si>
    <t>Scholarly Inquiry and the DNP Capstone</t>
  </si>
  <si>
    <t>Holly, Cheryl, EdD, RN, ANEF; Holly, Cheryl</t>
  </si>
  <si>
    <t>Psychotherapy for the Advanced Practice Psychiatric Nurse, Second Edition : A How-To Guide for Evidence-Based Practice</t>
  </si>
  <si>
    <t>Wheeler, Kathleen, PhD, APRN-BC, FAAN</t>
  </si>
  <si>
    <t>Diet, Immunity and Inflammation</t>
  </si>
  <si>
    <t>Calder, Philip C.; Yaqoob, Parveen</t>
  </si>
  <si>
    <t>Manual of Research Techniques in Cardiovascular Medicine</t>
  </si>
  <si>
    <t>Ardehali, Hossein; Bolli, Roberto; Losordo, Douglas W.</t>
  </si>
  <si>
    <t>ACT and RFT in Relationships : Helping Clients Deepen Intimacy and Maintain Healthy Commitments Using Acceptance and Commitment Therapy and Relational Frame Theory</t>
  </si>
  <si>
    <t>Dahl, JoAnne; Stewart, Ian; Martell, Christopher; Kaplan, Jonathan S.; Walser, Robyn D.</t>
  </si>
  <si>
    <t>Life Writing and Schizophrenia : Encounters at the Edge of Meaning</t>
  </si>
  <si>
    <t>Wood, Mary Elene</t>
  </si>
  <si>
    <t>Divine Doctors and Dreadful Distempers : How Practicing Medicine Became a Respectable Profession</t>
  </si>
  <si>
    <t>Sumich, Christi</t>
  </si>
  <si>
    <t>Representing Argentinian Mothers : Medicine, Ideas and Culture in the Modern ERA, 1900-1946</t>
  </si>
  <si>
    <t>Eraso, Yolanda</t>
  </si>
  <si>
    <t>Looking Beneath the Surface : Medical Ethics from Islamic and Western Perspectives</t>
  </si>
  <si>
    <t>Vroom, Hendrik M.; Verdonk, Petra; Abdellah, Marzouk Aulad</t>
  </si>
  <si>
    <t>Caesarean Birth : The Work of François Rousset in Renaissance France - A New Treatise on Hysterotomotokie or Caesarian Childbirth</t>
  </si>
  <si>
    <t>Royal College of Obstetricians and Gynaecologists (RCOG)</t>
  </si>
  <si>
    <t>Baskett, Thomas; Cyr, Ronald</t>
  </si>
  <si>
    <t>Zelman, William N.; McCue, Michael J.; Glick, Noah D.; Thomas, Marci</t>
  </si>
  <si>
    <t>Essentials of Spinal Cord Medicine</t>
  </si>
  <si>
    <t>Sabharwal, Sunil</t>
  </si>
  <si>
    <t>Dawson, Julie; Hennell, Sheena; Shepton, Ruth</t>
  </si>
  <si>
    <t>Propagation Dynamics on Complex Networks : Models, Methods and Stability Analysis</t>
  </si>
  <si>
    <t>Fu, Xinchu; Small, Michael; Chen, Guanrong</t>
  </si>
  <si>
    <t>Therapeutic Fc-Fusion Proteins</t>
  </si>
  <si>
    <t>Chamow, Steven M.; Ryll, Thomas; Lowman, Henry B.; Farson, Deborah; Farson, Deborah</t>
  </si>
  <si>
    <t>Radiation Biology of Medical Imaging</t>
  </si>
  <si>
    <t>Kelsey, Charles A.; Heintz, Philip H.; Chambers, Gregory D.; Sandoval, Daniel J.; Adolphi, Natalie L.; Paffett, Kimberly S.</t>
  </si>
  <si>
    <t>Practical Pharmacology for the Pharmaceutical Sciences</t>
  </si>
  <si>
    <t>Salmon, D. Michael; Salmon, D Michael</t>
  </si>
  <si>
    <t>Selecting Effective Treatments : A Comprehensive Systematic Guide to Treating Mental Disorders, Includes DSM-5 Update Chapter</t>
  </si>
  <si>
    <t>Seligman, Linda; Reichenberg, Lourie W.</t>
  </si>
  <si>
    <t>Medical Sciences at a Glance</t>
  </si>
  <si>
    <t>Randall, Michael D.</t>
  </si>
  <si>
    <t>Nanomedicine : Technologies and Applications</t>
  </si>
  <si>
    <t>Webster, T. J.</t>
  </si>
  <si>
    <t>Medical and Healthcare Textiles</t>
  </si>
  <si>
    <t>Textile Institute (Manchester; Anand, Subhash C.; Kennedy, J. F.; Miraftab, M.; Rajendran, Subbiyan</t>
  </si>
  <si>
    <t>Prostate Cancer : Diagnosis and Clinical Management</t>
  </si>
  <si>
    <t>Whelan, Peter; Tewari, Ashutosh K.; Graham, John D.</t>
  </si>
  <si>
    <t>Miller, John W.; Goodkin, Howard P.</t>
  </si>
  <si>
    <t>Food Allergen Testing : Molecular, Immunochemical and Chromatographic Techniques</t>
  </si>
  <si>
    <t>Siragakis, George; Kizis, Dimosthenis; Siragakis, George; Kizis, Dimosthenis</t>
  </si>
  <si>
    <t>Dialectical Behavior Therapy for At-Risk Adolescents : A Practitioner's Guide to Treating Challenging Behavior Problems</t>
  </si>
  <si>
    <t>Harvey, Pat; Rathbone, Britt H.</t>
  </si>
  <si>
    <t>Women's Global Health : Norms and State Policies</t>
  </si>
  <si>
    <t>Baird, Karen L.; Ba Thike, Katherine; James, Patrick; Boyd-Judson, Lyn; Gummadi, Ayushi; Marinova, Nadejda; Perlman, Leah R.; Roberts, Kathryn; Boyd-Judson, Lyn; James, Patrick</t>
  </si>
  <si>
    <t>Mathematical and Statistical Methods in Food Science and Technology</t>
  </si>
  <si>
    <t>Granato, Daniel; Ares, Gastón; Granato, Daniel; Granato, Daniel; Ares, Gast?n; Ares, Gaston</t>
  </si>
  <si>
    <t>Sexual Attraction in Therapy : Clinical Perspectives on Moving Beyond the Taboo - a Guide for Training and Practice</t>
  </si>
  <si>
    <t>Luca, Maria</t>
  </si>
  <si>
    <t>Measuring ROI in Environment, Health, and Safety</t>
  </si>
  <si>
    <t>Phillips, Jack J.; Phillips, Patricia P.; Pulliam, Al</t>
  </si>
  <si>
    <t>Beyond Post-Traumatic Stress : Homefront Struggles with the Wars on Terror</t>
  </si>
  <si>
    <t>Scandlyn, Jean; Scandlyn, Jean N.; Hautzinger, Sarah J.</t>
  </si>
  <si>
    <t>The Interpersonal Unconscious</t>
  </si>
  <si>
    <t>Scharff, David E.,; Scharff, Jill Savege</t>
  </si>
  <si>
    <t>Lecture Notes: Paediatrics</t>
  </si>
  <si>
    <t>Newell, Simon J.; Darling, Jonathan C.</t>
  </si>
  <si>
    <t>Mental Health Practice with Children and Youth : A Strengths and Well-Being Model</t>
  </si>
  <si>
    <t>Helton, Lonnie R.; Smith, Mieko Kotake; Helton, Lonnie R.</t>
  </si>
  <si>
    <t>A Psychoanalytic Odyssey : Painted Guinea Pigs, Dreams, and Other Realities</t>
  </si>
  <si>
    <t>J. Mahon, Eugene</t>
  </si>
  <si>
    <t>Psychoanalytic Couple Therapy : Foundations of Theory and Practice</t>
  </si>
  <si>
    <t>E. Scharff, David; Scharff, Jill Savege</t>
  </si>
  <si>
    <t>Pioneers of Child Psychoanalysis : Influential Theories and Practices in Healthy Child Development</t>
  </si>
  <si>
    <t>Markman Reubins, Beatriz; Reubins, Marc Stephan</t>
  </si>
  <si>
    <t>Siblings in the Unconscious and Psychopathology : Womb Fantasies, Claustrophobias, Fear of Pregnancy, Murderous Rage, Animal Symbolism, Christmas and Easter Neuroses , and Twinnings or Identifications with Sisters and Brothers</t>
  </si>
  <si>
    <t>Ast, Gabriele; Volkan, Vamik D.</t>
  </si>
  <si>
    <t>The Child Psychotherapy Treatment Planner : Includes DSM-5 Updates</t>
  </si>
  <si>
    <t>Jongsma, Arthur E., Jr.; Peterson, L. Mark; McInnis, William P.; Bruce, Timothy J.</t>
  </si>
  <si>
    <t>The Adolescent Psychotherapy Treatment Planner : Includes DSM-5 Updates</t>
  </si>
  <si>
    <t>The Work of Play : Child Psychotherapy in Contemporary Korea</t>
  </si>
  <si>
    <t>Nahm , Sheena,</t>
  </si>
  <si>
    <t>How to Build a Better Human : An Ethical Blueprint</t>
  </si>
  <si>
    <t>Pence, Gregory E.</t>
  </si>
  <si>
    <t>Texas Almanac 2014–2015</t>
  </si>
  <si>
    <t>Texas State Historical Assn Press</t>
  </si>
  <si>
    <t>Alvarez, Elizabeth Cruce; Plocheck, Robert</t>
  </si>
  <si>
    <t>Stroke : Stroke</t>
  </si>
  <si>
    <t>Hennerici, Michael G.; Binder, Johannes; Szabo, Kristina; Kern, Rolf</t>
  </si>
  <si>
    <t>Rheumatoid Arthritis</t>
  </si>
  <si>
    <t>Oxford Handbook of Medical Imaging : Oxford Handbook of Medical Imaging</t>
  </si>
  <si>
    <t>Darby, M. J.; Barron, D; Hyland, R E</t>
  </si>
  <si>
    <t>Healthcare Sterilisation : Introduction &amp; Standard Practices, Volume 1</t>
  </si>
  <si>
    <t>Rogers, Wayne J.</t>
  </si>
  <si>
    <t>Clinical Examination Skills for Healthcare Professionals</t>
  </si>
  <si>
    <t>Ranson, Mark; Abbot, Hannah; Braithwaite, Wendy</t>
  </si>
  <si>
    <t>Compact Clinical Guide to Mechanical Ventilation : Foundations of Practice for Critical Care Nurses</t>
  </si>
  <si>
    <t>Goldsworthy, Sandra; Graham, Leslie</t>
  </si>
  <si>
    <t>Uncertain Suffering : Racial Health Care Disparities and Sickle Cell Disease</t>
  </si>
  <si>
    <t>Rouse, Carolyn</t>
  </si>
  <si>
    <t>The Bipolar II Disorder Workbook : Managing Recurring Depression, Hypomania, and Anxiety</t>
  </si>
  <si>
    <t>Roberts, Stephanie McMurrich; Sylvia, Louisa Grandin; Reilly-Harrington, Noreen A.; Miklowitz, David J.</t>
  </si>
  <si>
    <t>Mindfulness-Based Sobriety : A Clinician's Treatment Guide for Addiction Recovery Using Relapse Prevention Therapy, Acceptance and Commitment Therapy, and Motivational Interviewing</t>
  </si>
  <si>
    <t>Turner, Nick; Welches, Phil; Conti, Sandra</t>
  </si>
  <si>
    <t>Pocket Guide to GastrointestinaI Drugs</t>
  </si>
  <si>
    <t>Wolfe, M. Michael; Lowe, Robert C.</t>
  </si>
  <si>
    <t>Evidence-Based Occlusal Management for Temporomandibular Disorders</t>
  </si>
  <si>
    <t>Torii, Kengo</t>
  </si>
  <si>
    <t>Theory and Practice of Logic-Based Therapy : Integrating Critical Thinking and Philosophy into Psychotherapy</t>
  </si>
  <si>
    <t>Cohen, Dr. Elliot D.</t>
  </si>
  <si>
    <t>Promoting Healthy Living in Latin America and the Caribbean : Governance of Multisectoral Activities to Prevent Risk Factors for Noncommunicable Diseases</t>
  </si>
  <si>
    <t>Bonilla-Chacín, María Eugenia; World Bank,</t>
  </si>
  <si>
    <t>The Blue Man and Other Stories of the Skin</t>
  </si>
  <si>
    <t>Norman, Robert A.</t>
  </si>
  <si>
    <t>Mentorship in Academic Medicine</t>
  </si>
  <si>
    <t>Straus, Sharon; Sackett, David; Straus, Sharon</t>
  </si>
  <si>
    <t>Medical Physics : Exercises and Examples</t>
  </si>
  <si>
    <t>Worthoff, Wieland Alexander; Krojanski, Hans Georg; Suter, Dieter</t>
  </si>
  <si>
    <t>Women Physicians and Professional Ethos in Nineteenth-Century America</t>
  </si>
  <si>
    <t>Skinner, Carolyn</t>
  </si>
  <si>
    <t>The Complete Adult Psychotherapy Treatment Planner : Includes DSM-5 Updates</t>
  </si>
  <si>
    <t>Jongsma, Arthur E., Jr.; Peterson, L. Mark; Bruce, Timothy J.</t>
  </si>
  <si>
    <t>Performance Standards for Restaurants : A New Approach to Addressing the Obesity Epidemic</t>
  </si>
  <si>
    <t>Cohen, Deborah; Bhatia, Rajiv; Story, Mary T.</t>
  </si>
  <si>
    <t>Food Safety and Food Security</t>
  </si>
  <si>
    <t>Voeller, John G.</t>
  </si>
  <si>
    <t>Medical Sciences at a Glance : Practice Workbook</t>
  </si>
  <si>
    <t>Scaber, Jakub; Rahman, Faisal; Abrahams, Peter</t>
  </si>
  <si>
    <t>Engineering Polymer Systems for Improved Drug Delivery</t>
  </si>
  <si>
    <t>Bader, Rebecca A.; Putnam, David A.</t>
  </si>
  <si>
    <t>Micro-and Nanoelectromechanical Biosensors</t>
  </si>
  <si>
    <t>Nicu, Liviu; Leïchlé, Thierry</t>
  </si>
  <si>
    <t>Clinical Laboratory Management</t>
  </si>
  <si>
    <t>Forgotten People, Forgotten Diseases : the Neglected Tropical Diseases and their Impact on Global Health and Development</t>
  </si>
  <si>
    <t>Hotez, Peter J.; American Society for Microbiology Staff</t>
  </si>
  <si>
    <t>To Catch a Virus</t>
  </si>
  <si>
    <t>Booss, John; August, Marilyn J.; American Society for Microbiology Staff</t>
  </si>
  <si>
    <t>Cholesteatoma and Ear Surgery : An Update</t>
  </si>
  <si>
    <t>Takahashi, H.</t>
  </si>
  <si>
    <t>Corneal Topography : From Theory to Practice</t>
  </si>
  <si>
    <t>Kilic, A.; Roberts, CJ</t>
  </si>
  <si>
    <t>Childhood Glaucoma</t>
  </si>
  <si>
    <t>Weinreb, R. N.; Grajewski, A. J.; Papoudopoulos, M.</t>
  </si>
  <si>
    <t>Health Care System Transformation for Nursing and Health Care Leaders : Implementing a Culture of Caring</t>
  </si>
  <si>
    <t>Boykin, Anne; Schoenhofer, Savina; Valentine, Kathleen; Anne Boykin Phd, Mn; Savina Schoenhofer Phd, Bsn</t>
  </si>
  <si>
    <t>Caring Science, Mindful Practice : Implementing Watson's Human Caring Theory</t>
  </si>
  <si>
    <t>Sitzman, Kathleen; Watson, Jean; Kathleen Sitzman Phd, Rn; Jean Watson Phd, Rn</t>
  </si>
  <si>
    <t>Rural Public Health : Best Practices and Preventive Models</t>
  </si>
  <si>
    <t>Smalley, K. Bryant; Warren, Jacob; K Bryant Smalley Ph D, Psy D; D, Jacob Warren Ph</t>
  </si>
  <si>
    <t>Blood : The Stuff of Life</t>
  </si>
  <si>
    <t>Hill, Lawrence</t>
  </si>
  <si>
    <t>WHO Expert Committee on Biological Standardization : Sixtieth Report</t>
  </si>
  <si>
    <t>WHO Expert Committee on Biological Standardization : Sixty-first Report</t>
  </si>
  <si>
    <t>Social Science; Pharmacy; Medicine; Health</t>
  </si>
  <si>
    <t>WHO Expert Consultation on Rabies : Second Report</t>
  </si>
  <si>
    <t>The Addiction Treatment Planner : Includes DSM-5 Updates</t>
  </si>
  <si>
    <t>Perkinson, Robert R.; Jongsma, Arthur E., Jr.; Bruce, Timothy J.</t>
  </si>
  <si>
    <t>Health and Inequality</t>
  </si>
  <si>
    <t>O'Donnell, Owen; Dias, Pedro Rosa; Bishop, John A.; Rodriguez, Juan Gabriel</t>
  </si>
  <si>
    <t>Annual Review of Health Care Management : Revisiting the Evolution of Health Systems Organization</t>
  </si>
  <si>
    <t>Friedman, Leonard H.; Goes, Jim; Savage, Grant T.</t>
  </si>
  <si>
    <t>Wpa Series in Evidence and Experience in Psychiatry : Hiv and Psychiatry</t>
  </si>
  <si>
    <t>Joska, John A.; Stein, Dan J.; Grant, Igor</t>
  </si>
  <si>
    <t>Behavior Management in Dentistry for Children</t>
  </si>
  <si>
    <t>Wright, Gerald Z.; Kupietzky, Ari</t>
  </si>
  <si>
    <t>Cancer Stem Cells</t>
  </si>
  <si>
    <t>Rajasekhar, Vinagolu K.; Rajasekhar, Vinagolu K</t>
  </si>
  <si>
    <t>Mount Sinai Expert Guides : Hepatology</t>
  </si>
  <si>
    <t>Ahmad, Jawad; Friedman, Scott L.; Dancygier, Henryk</t>
  </si>
  <si>
    <t>The ACT Matrix : A New Approach to Building Psychological Flexibility Across Settings and Populations</t>
  </si>
  <si>
    <t>Polk, Kevin L.; Schoendorff, Benjamin; Wilson, Kelly G.</t>
  </si>
  <si>
    <t>The Ethos of Medicine in Postmodern America : Philosophical, Cultural, and Social Considerations</t>
  </si>
  <si>
    <t>Eiser, Arnold R.</t>
  </si>
  <si>
    <t>Minor Injury and Minor Illness at a Glance</t>
  </si>
  <si>
    <t>Morris, Francis; Ramlakhan, Shammi; Wardrope, Jim; Ramlakhan, Shammi</t>
  </si>
  <si>
    <t>The Adult Psychotherapy Progress Notes Planner</t>
  </si>
  <si>
    <t>Jongsma, Arthur E., Jr.; Berghuis, David J.</t>
  </si>
  <si>
    <t>Current Psychopharmacology for Psychiatric Disorders in Adolescents : Stars, Volume 24, Number 2: Current Psychopharmacology for Psychiatric Disorders in Adolescents</t>
  </si>
  <si>
    <t>Reeve, Alya; Reeve, Alya; Reeve, Alya</t>
  </si>
  <si>
    <t>Adult Psychotherapy Homework Planner</t>
  </si>
  <si>
    <t>Jongsma, Arthur E.</t>
  </si>
  <si>
    <t>Government Spending on Health Care and Education in Croatia : Efficiency and Reform Options</t>
  </si>
  <si>
    <t>International Monetary Fund</t>
  </si>
  <si>
    <t>Gunnarsson, Victoria; Jafarov, Etibar</t>
  </si>
  <si>
    <t>Universal Health Care 101 : Lessons for the Eastern Caribbean and Beyond</t>
  </si>
  <si>
    <t>Tsounta, Evridiki</t>
  </si>
  <si>
    <t>Economics; Health; Social Science</t>
  </si>
  <si>
    <t>What Is Medicine? : Western and Eastern Approaches to Healing</t>
  </si>
  <si>
    <t>Unschuld, Paul U.; Reimers, Karen</t>
  </si>
  <si>
    <t>Information Technology for Patient Empowerment in Healthcare</t>
  </si>
  <si>
    <t>Adnan, Mehnaz; Bajwa, Wajeeh; Ball, Marion J.; Ballen, Sasha; Baur, Cynthia; Bitton, Asaf; Carr, John Jeffrey; Grando, Maria Adela; Rozenblum, Ronen; Bates, David</t>
  </si>
  <si>
    <t>Speech and Automata in Healthcare</t>
  </si>
  <si>
    <t>Beer, Jenay M.; Bzura, Conrad; Cosi, Piero; Im, Hosung; Kaber, David B.; Kulyukin, Vladimir; Linton, R. J.; Liu, Tammy; Malehorn, Kevin; Neustein, Amy</t>
  </si>
  <si>
    <t>Computer Science/IT; Medicine</t>
  </si>
  <si>
    <t>10-minute consultation : cardiovascular risk</t>
  </si>
  <si>
    <t>Cedilla Publishing</t>
  </si>
  <si>
    <t>Aldegather, Jehad; De Backer, Guy; Fox, Allan; Kirby, M. ; O'Gara, M. G.</t>
  </si>
  <si>
    <t>WHO Expert Committee on Biological Standardization : Sixty-second Report</t>
  </si>
  <si>
    <t>Control and Surveillance of Human African Trypanosomiasis : Report of a WHO Expert Committee</t>
  </si>
  <si>
    <t>Economics of the Social Determinants of Health and Health Inequalities (The) : A Resource Book</t>
  </si>
  <si>
    <t>Malaria Control in Humanitarian Emergencies. : An Inter-Agency Field Handbook</t>
  </si>
  <si>
    <t>Imagining Animals : Art, Psychotherapy and Primitive States of Mind</t>
  </si>
  <si>
    <t>Case, Caroline</t>
  </si>
  <si>
    <t>Long-Term Care Administration and Management : Effective Practices and Quality Programs in Eldercare</t>
  </si>
  <si>
    <t>Yee-Melichar, Darlene; Flores, Cristina; Cabigao, Edwin</t>
  </si>
  <si>
    <t>Transformative Nursing in the Nicu : Trauma-Informed Age-Appropriate Care</t>
  </si>
  <si>
    <t>Coughlin, Mary; Mary Coughlin Rn, MS</t>
  </si>
  <si>
    <t>Transplant Administration</t>
  </si>
  <si>
    <t>Norris, Lisa</t>
  </si>
  <si>
    <t>Smart but Stuck : Emotions in Teens and Adults with ADHD</t>
  </si>
  <si>
    <t>Brown, T. E.; Brown, Dr Thomas E</t>
  </si>
  <si>
    <t>The Hands-On Guide to Practical Paediatrics</t>
  </si>
  <si>
    <t>Hewitson, Rebecca; Fertleman, Caroline</t>
  </si>
  <si>
    <t>Melanocytic Proliferations : A Comprehensive Textbook of Pigmented Lesions</t>
  </si>
  <si>
    <t>Crowson, A. Neil; Magro, Cynthia M.; Mihm, Martin C.</t>
  </si>
  <si>
    <t>Implant Restorations : A Step-by-Step Guide</t>
  </si>
  <si>
    <t>Drago, Carl</t>
  </si>
  <si>
    <t>The Welfare of Animals Used in Research : Practice and Ethics</t>
  </si>
  <si>
    <t>Hubrecht, Robert C.; Hubrecht, Robert C</t>
  </si>
  <si>
    <t>Effective Exhibit Interpretation and Design</t>
  </si>
  <si>
    <t>Bridal, Tessa</t>
  </si>
  <si>
    <t>The Quality Cure : How Focusing on Health Care Quality Can Save Your Life and Lower Spending Too</t>
  </si>
  <si>
    <t>Cutler, David</t>
  </si>
  <si>
    <t>Ethical Eating in the Postsocialist and Socialist World</t>
  </si>
  <si>
    <t>Jung, Yuson; Klein, Jakob A.; Caldwell, Melissa L.</t>
  </si>
  <si>
    <t>Wellbeing: a Complete Reference Guide, Interventions and Policies to Enhance Wellbeing</t>
  </si>
  <si>
    <t>Huppert, Felicia A.; Cooper, Cary L.</t>
  </si>
  <si>
    <t>Wellbeing: a Complete Reference Guide, Economics of Wellbeing</t>
  </si>
  <si>
    <t>McDaid, David; Cooper, Cary L.</t>
  </si>
  <si>
    <t>Hemostasis and Thrombosis : Practical Guidelines in Clinical Management</t>
  </si>
  <si>
    <t>Saba, Hussain I.; Roberts, Harold R.</t>
  </si>
  <si>
    <t>Pediatric Cardiology : The Essential Pocket Guide</t>
  </si>
  <si>
    <t>Johnson, Walter H.; Moller, James H.</t>
  </si>
  <si>
    <t>Am : Stars, Volume 24, Number 3: Young Adult Health</t>
  </si>
  <si>
    <t>Joffe, Alain; American Academy of Pediatrics Section on Adolescent Health,; Joffe, Alain; Alain Joffe, MD</t>
  </si>
  <si>
    <t>Pocket Handbook of Spinal Injections</t>
  </si>
  <si>
    <t>Sinha, Anupam; Kothari, Gautam</t>
  </si>
  <si>
    <t>Breaking Ground : My Life in Medicine</t>
  </si>
  <si>
    <t>Sullivan, Louis W.; Chanoff, David</t>
  </si>
  <si>
    <t>Surgical Simulation</t>
  </si>
  <si>
    <t>Dasgupta, Prokar; Ahmed, Kamran; Jaye, Peter; Khan, Mohammed Shamim</t>
  </si>
  <si>
    <t>Zoonotic Tuberculosis : I Mycobacterium Bovis/i and Other Pathogenic Mycobacteria</t>
  </si>
  <si>
    <t>Thoen, Charles O.; Steele, James H.; Kaneene, John B.</t>
  </si>
  <si>
    <t>The History of Otosclerosis Treatment : A survey of more than a century's search for the best treatment of the disease</t>
  </si>
  <si>
    <t>Tange, R.A.</t>
  </si>
  <si>
    <t>Colorectal Cancer : Diagnosis and Clinical Management</t>
  </si>
  <si>
    <t>Scholefield, John H.; Eng, Cathy</t>
  </si>
  <si>
    <t>Enigmas of Health and Disease : How Epidemiology Helps Unravel Scientific Mysteries</t>
  </si>
  <si>
    <t>Morabia, Alfredo</t>
  </si>
  <si>
    <t>World Cancer Report 2014</t>
  </si>
  <si>
    <t>Stewart W.B.,; Wild P.C.,; International Agency for Research on Cancer,</t>
  </si>
  <si>
    <t>Clinical Trials with Missing Data : A Guide for Practitioners</t>
  </si>
  <si>
    <t>O'Kelly, Michael; Ratitch, Bohdana</t>
  </si>
  <si>
    <t>Methods for Community Public Health Research : Integrated and Engaged Approaches</t>
  </si>
  <si>
    <t>Albert, Steven M., PhD, MSc, MSPH; Burke, Jessica G., PhD, MHS; Albert, Steven M., PhD, MSPH; Steven Albert Phd, Msph</t>
  </si>
  <si>
    <t>Early Parenting and Prevention of Disorder : Psychoanalytic Research at Interdisciplinary Frontiers</t>
  </si>
  <si>
    <t>N. Emde, Robert; Leuzinger-Bohleber, Marianne</t>
  </si>
  <si>
    <t>The Ethical Seduction of the Analytic Situation : The Feminine-Maternal Origins of Responsibility for the Other</t>
  </si>
  <si>
    <t>Chetrit-Vatine, Viviane</t>
  </si>
  <si>
    <t>Touching the Relational Edge : Body Psychotherapy</t>
  </si>
  <si>
    <t>Rolef Ben-Shahar, Asaf</t>
  </si>
  <si>
    <t>Breathing Race into the Machine : The Surprising Career of the Spirometer from Plantation to Genetics</t>
  </si>
  <si>
    <t>Braun, Lundy</t>
  </si>
  <si>
    <t>Urinary Stones : Medical and Surgical Management</t>
  </si>
  <si>
    <t>Grasso, Michael; Goldfarb, David; Grasso, Michael , III; Goldfarb, David</t>
  </si>
  <si>
    <t>The Case of the Frozen Addicts : How the Solution of a Medical Mystery Revolutionized the Understanding of Parkinson’s Disease</t>
  </si>
  <si>
    <t>Langston, J.W.; Palfreman, J.</t>
  </si>
  <si>
    <t>Medicine Meets Virtual Reality 21 : NextMed / MMVR21</t>
  </si>
  <si>
    <t>Westwood, J.D.; Westwood, S.W.; Felländer-Tsai, L.; Fidopiastis, C.M. ; Haluck, R. S. ; Robb, R.A. ; Senger, S. ; Vosburgh, K. G.</t>
  </si>
  <si>
    <t>Differential Equation Analysis in Biomedical Science and Engineering : Ordinary Differential Equation Applications with R</t>
  </si>
  <si>
    <t>Schiesser, William E.; Schiesser, William E</t>
  </si>
  <si>
    <t>Nosocomial Pneumonia</t>
  </si>
  <si>
    <t>Jarvis, William R.</t>
  </si>
  <si>
    <t>Molecular Imaging in Nano MRI</t>
  </si>
  <si>
    <t>Ting, Michael</t>
  </si>
  <si>
    <t>Predictive ADMET : Integrated Approaches in Drug Discovery and Development</t>
  </si>
  <si>
    <t>Wang, Jianling; Urban, Laszlo</t>
  </si>
  <si>
    <t>Reconstructive Conundrums in Dermatologic Surgery : The Nose</t>
  </si>
  <si>
    <t>Ratner, Desiree S.; Cohen, Joel L.; Brodland, David</t>
  </si>
  <si>
    <t>Cancer Gene Therapy by Viral and Non-viral Vectors</t>
  </si>
  <si>
    <t>Brenner, Malcolm; Hung, Mien-Chie; Brenner, Malcolm; Hung, Mien-Chie</t>
  </si>
  <si>
    <t>Current Clinical Imaging : Women's Imaging: Mri with Multimodality Correlation</t>
  </si>
  <si>
    <t>Brown, Michele A.; Ojeda-Fournier, Haydee; Djilas, Dragana; El-Azzazi, Mohamed; Semelka, Richard C.</t>
  </si>
  <si>
    <t>Drugs of Abuse : Pharmacology and Molecular Mechanisms</t>
  </si>
  <si>
    <t>Howard, Sherrel; Howard, Sherrel G</t>
  </si>
  <si>
    <t>Managing Madness in the Community : The Challenge of Contemporary Mental Health Care</t>
  </si>
  <si>
    <t>Dobransky, Kerry Michael</t>
  </si>
  <si>
    <t>Involving Children For Hand Washing Behavior Change: Repeated Message Delivery to Foster Action</t>
  </si>
  <si>
    <t>Eshetu, Getnet</t>
  </si>
  <si>
    <t>Rift-lines within european regulatory framework for biosimilars when taking heterogeneity and variation during lifecycle of the reference biologic and the biosimilar into account</t>
  </si>
  <si>
    <t>Osmane, Malik</t>
  </si>
  <si>
    <t>Human Exposure to Arsenic and Other Potentially Toxic Metals in Some Waters of Biu Volcanic Province, North-Eastern Nigeria: The effect of leaching from rocks into surrounding waters</t>
  </si>
  <si>
    <t>Usman, Mohammed Adamu; Mohammed, Adamu Usman</t>
  </si>
  <si>
    <t>CRO – Contract Research Organization: How Drug Research is Evolving</t>
  </si>
  <si>
    <t>Miera, Jakob</t>
  </si>
  <si>
    <t>Group Dynamics: The Nature of Groups as well as Dynamics of Informal Groups and Dysfunctions</t>
  </si>
  <si>
    <t>Bußmann, Uwe</t>
  </si>
  <si>
    <t>Fast Facts: Diabetes Mellitus</t>
  </si>
  <si>
    <t>Coping with Posttraumatic Stress Disorder in Returning Troops : Wounds of War II</t>
  </si>
  <si>
    <t>Protocol for Treatment of Post Traumatic Stress Disorder : See Far CBT Model: Beyond Cognitive Behavior Therapy</t>
  </si>
  <si>
    <t>Lahad, M.; Doron, M.</t>
  </si>
  <si>
    <t>Practical Psychodermatology</t>
  </si>
  <si>
    <t>Bewley, Anthony; Taylor, Ruth E.; Reichenberg, Jason S.; Magid, Michelle</t>
  </si>
  <si>
    <t>Food Chemical Hazard Detection : Development and Application of New Technologies</t>
  </si>
  <si>
    <t>Wang, Shuo; Wang, Professor Shuo</t>
  </si>
  <si>
    <t>Tnm Atlas</t>
  </si>
  <si>
    <t>Wittekind, Christian; Asamura, H.; Sobin, Leslie H.</t>
  </si>
  <si>
    <t>Mindfulness and Acceptance in Multicultural Competency : A Contextual Approach to Sociocultural Diversity in Theory and Practice</t>
  </si>
  <si>
    <t>Masuda, Akihiko</t>
  </si>
  <si>
    <t>Biophysical Methods for Biotherapeutics : Discovery and Development Applications</t>
  </si>
  <si>
    <t>Das, Tapan K.; Das, Tapan K</t>
  </si>
  <si>
    <t>A Personal Journey Through Psychotherapy : A Case Study Revisited</t>
  </si>
  <si>
    <t>M. Fereday, Susan</t>
  </si>
  <si>
    <t>Mental Zoo : Animals in the Human Mind and Its Pathology</t>
  </si>
  <si>
    <t>Akhtar, Salman; Volkan, Vamik D.</t>
  </si>
  <si>
    <t>Modern Environments and Human Health : Revisiting the Second Epidemiological Transition</t>
  </si>
  <si>
    <t>Zuckerman, Molly K.</t>
  </si>
  <si>
    <t>The Professional Responsibility Model of Perinatal Ethics</t>
  </si>
  <si>
    <t>Chervenak, Frank A.; McCullough, Laurence B.</t>
  </si>
  <si>
    <t>Basic Guide to Medical Emergencies in the Dental Practice</t>
  </si>
  <si>
    <t>The Wiley Blackwell Handbook of Social Anxiety Disorder</t>
  </si>
  <si>
    <t>Weeks, Justin W.; Weeks, Justin W</t>
  </si>
  <si>
    <t>Geriatric Neurology</t>
  </si>
  <si>
    <t>Nair, Anil K.; Sabbagh, Marwan N.</t>
  </si>
  <si>
    <t>Clinical Trials : Planning, Analysis, and Inferential Methods</t>
  </si>
  <si>
    <t>Balakrishnan, N.; Balakrishnan, N</t>
  </si>
  <si>
    <t>Biomedical Informatics in Translational Research</t>
  </si>
  <si>
    <t>Hu, Hai; Liebman, Michael</t>
  </si>
  <si>
    <t>Anatomy for problem solving in sports medicine : The Knee</t>
  </si>
  <si>
    <t>Harris, Philip F.; Ranson, Craig; Robertson, Angus</t>
  </si>
  <si>
    <t>Clinical Teaching Strategies in Nursing, Fourth Edition</t>
  </si>
  <si>
    <t>Kathleen Gaberson PhD, RN; Marilyn Oermann PhD, RN; Shellenbarger, Teresa; Kathleen Gaberson Phd, Rn; Marilyn Oermann Phd, Rn</t>
  </si>
  <si>
    <t>Intravitreal Injections : A Handbook for Ophthalmic Nurse Practitioners and Trainee Ophthalmologists</t>
  </si>
  <si>
    <t>Waqar, Salman; Cole, Michael D.; Park, Jonathan C.</t>
  </si>
  <si>
    <t>Tissue Regeneration : Where Nano-Structure Meets Biology</t>
  </si>
  <si>
    <t>Liu, Qing; Wang, Hongjun</t>
  </si>
  <si>
    <t>Psychoanalytic Psychotherapy : A Handbook</t>
  </si>
  <si>
    <t>Elzer, Matthias; Gerlach, Alf</t>
  </si>
  <si>
    <t>Our Responses to a Deadly Virus : The Group-Analytic Approach</t>
  </si>
  <si>
    <t>Molnos, Angela; Institute of Group Analysis,</t>
  </si>
  <si>
    <t>Medical Empiricism and Philosophy of Human Nature in the 17th and 18th Century</t>
  </si>
  <si>
    <t>Crignon, Claire; Allocca, Nunzio; Zelle, Carsten</t>
  </si>
  <si>
    <t>Echocardiography Board Review : 500 Multiple Choice Questions with Discussion</t>
  </si>
  <si>
    <t>Pai, Ramdas G.; Varadarajan, Padmini</t>
  </si>
  <si>
    <t>Collaborative Helping : A Strengths Framework for Home-Based Services</t>
  </si>
  <si>
    <t>Madsen, William C.; Gillespie, Kevin</t>
  </si>
  <si>
    <t>Complications of Dialysis</t>
  </si>
  <si>
    <t>Lameire, Norbert; Mehta, Ravindra</t>
  </si>
  <si>
    <t>Allogeneic Immunotherapy for Malignant Diseases</t>
  </si>
  <si>
    <t>Barrett, John; Jiang, Yin-Zheng</t>
  </si>
  <si>
    <t>Emergency Asthma</t>
  </si>
  <si>
    <t>Brenner, Barry E.</t>
  </si>
  <si>
    <t>Metals and the Skin : Topical Effects and Systemic Absorption</t>
  </si>
  <si>
    <t>Guy, Richard H.; Hinz, Robert S.; Hostynek, Jurij J.</t>
  </si>
  <si>
    <t>Drug Therapy in Dermatology</t>
  </si>
  <si>
    <t>Millikan, Larry E.</t>
  </si>
  <si>
    <t>Five-Lipoxygenase Products in Asthma</t>
  </si>
  <si>
    <t>Dahl, Sven-Erik; Drazen, Jeffrey</t>
  </si>
  <si>
    <t>Integrated Cancer Management : Surgery, Medical Oncology, and Radiation Oncology</t>
  </si>
  <si>
    <t>Torosian, Michael H.</t>
  </si>
  <si>
    <t>Supportive Care in Cancer : A Handbook For Oncologists</t>
  </si>
  <si>
    <t>Klastersky, Jean; Senn, Hans-Jorg; Schimpff, Stephen C.</t>
  </si>
  <si>
    <t>Cardiovascular Drug Development : Protocol Design and Methodology</t>
  </si>
  <si>
    <t>Borer, Jeffrey S.; Somberg, John C.</t>
  </si>
  <si>
    <t>Tickborne Infectious Diseases : Diagnosis and Management</t>
  </si>
  <si>
    <t>Cunha, Burke A.</t>
  </si>
  <si>
    <t>Clinical Neurocardiology : Fundamentals and Clinical Cardiology</t>
  </si>
  <si>
    <t>Caplan, Louis R.; Hurst, J. Willis; Chimowitz, Marc I.</t>
  </si>
  <si>
    <t>Hematology and Immunology : Diagnostic Standards of Care</t>
  </si>
  <si>
    <t>Seegmiller, Adam; Thompson, Mary Ann; Laposata, Michael</t>
  </si>
  <si>
    <t>Breast Pathology</t>
  </si>
  <si>
    <t>Sanders, Melinda; Simpson, Jean; Elder, David</t>
  </si>
  <si>
    <t>Performance-Based Financing Toolkit</t>
  </si>
  <si>
    <t>Fritsche, György Bèla; Soeters, Robert; Meessen, Bruno</t>
  </si>
  <si>
    <t>The Untold History of Ramen : How Political Crisis in Japan Spawned a Global Food Craze</t>
  </si>
  <si>
    <t>Solt, George</t>
  </si>
  <si>
    <t>Cardiac Pacing and Icds</t>
  </si>
  <si>
    <t>Ellenbogen, Kenneth A.; Kaszala, Karoly</t>
  </si>
  <si>
    <t>Medical Imaging Based on Magnetic Fields and Ultrasounds</t>
  </si>
  <si>
    <t>Fanet, Herv?</t>
  </si>
  <si>
    <t>Natural Products : Discourse, Diversity, and Design</t>
  </si>
  <si>
    <t>Osbourn, Anne; Goss, Rebecca; Carter, Guy T.</t>
  </si>
  <si>
    <t>Pharmacy; Science: Chemistry; Medicine; Science</t>
  </si>
  <si>
    <t>Essentials of ADHD Assessment for Children and Adolescents</t>
  </si>
  <si>
    <t>Sparrow, Elizabeth P.; Erhardt, Drew</t>
  </si>
  <si>
    <t>Cancer and Inflammation Mechanisms : Chemical, Biological, and Clinical Aspects</t>
  </si>
  <si>
    <t>Hiraku, Yusuke; Kawanishi, Shosuke; Ohshima, Hiroshi; Hiraku, Yusuke; Kawanishi, Shosuke; Ohshima, Hiroshi</t>
  </si>
  <si>
    <t>Mental (Dis)Order in Later Medieval Europe : Mental (Dis)Order in Later Medieval Europe</t>
  </si>
  <si>
    <t>Katajala-Peltomaa, Sari; Niiranen, Susanna</t>
  </si>
  <si>
    <t>A Practical Guide to Designing Phase II Trials in Oncology</t>
  </si>
  <si>
    <t>Brown, Sarah R.; Gregory, Walter M.; Twelves, Christopher J.; Brown, Julia M.; Parmar, Mahesh K. B.; Seymour, Matthew T.; Brown, Julia M.</t>
  </si>
  <si>
    <t>Essentials of Oral and Maxillofacial Surgery</t>
  </si>
  <si>
    <t>Pogrel, M. Anthony; Kahnberg, Karl-Erik; Andersson, Lars</t>
  </si>
  <si>
    <t>Antiplatelet Therapy in Cardiovascular Disease</t>
  </si>
  <si>
    <t>Waksman, Ron; Gurbel, Paul A.; Gaglia, Michael A., Jr.</t>
  </si>
  <si>
    <t>Clinician's Guide to Self-Renewal : Essential Advice from the Field</t>
  </si>
  <si>
    <t>Wicks, Robert J.; Maynard, Elizabeth A.</t>
  </si>
  <si>
    <t>Outstanding Marine Molecules</t>
  </si>
  <si>
    <t>La Barre, Stephane; Kornprobst, Jean-Michel</t>
  </si>
  <si>
    <t>Addiction Treatment Homework Planner</t>
  </si>
  <si>
    <t>Finley, James R.; Lenz, Brenda S.</t>
  </si>
  <si>
    <t>Adolescent Psychotherapy Homework Planner</t>
  </si>
  <si>
    <t>Jongsma, Arthur E.; Peterson, L. Mark; McInnis, William P.</t>
  </si>
  <si>
    <t>Melothesia in Babylonia : Medicine, Magic, and Astrology in the Ancient near East</t>
  </si>
  <si>
    <t>Geller, Markham Judah</t>
  </si>
  <si>
    <t>Expert Report Writing in Toxicology : Forensic, Scientific and Legal Aspects</t>
  </si>
  <si>
    <t>Coleman, Michael D.</t>
  </si>
  <si>
    <t>Diabetes Mellitus and Oral Health : An Interprofessional Approach</t>
  </si>
  <si>
    <t>Lamster, Ira B.</t>
  </si>
  <si>
    <t>Introduction to Quality and Safety Education for Nurses : Core Competencies</t>
  </si>
  <si>
    <t>Kelly, Patricia; Vottero, Beth A.; Christie-McAuliffe, Carolyn</t>
  </si>
  <si>
    <t>Managing Cardiovascular Complications in Diabetes</t>
  </si>
  <si>
    <t>Betteridge, D. John; Nicholls, Stephen</t>
  </si>
  <si>
    <t>Peptidomimetics in Organic and Medicinal Chemistry</t>
  </si>
  <si>
    <t>Guarna, Antonio; Trabocchi, Andrea</t>
  </si>
  <si>
    <t>Ex-Vivo and in-vivo Optical Molecular Pathology</t>
  </si>
  <si>
    <t>Popp, Jürgen</t>
  </si>
  <si>
    <t>Rhetoric of a Global Epidemic : Transcultural Communication about SARS</t>
  </si>
  <si>
    <t>Ding, Huiling</t>
  </si>
  <si>
    <t>Practical Food Safety : Contemporary Issues and Future Directions</t>
  </si>
  <si>
    <t>Bhat, Rajeev; Gomez-Lopez, Vicente M.</t>
  </si>
  <si>
    <t>Clinical Maxillary Sinus Elevation Surgery</t>
  </si>
  <si>
    <t>Kao, Daniel W. K.</t>
  </si>
  <si>
    <t>The Big Book of Act Metaphors : A Practitioner's Guide to Experiential Exercises and Metaphors in Acceptance and Commitment Therapy</t>
  </si>
  <si>
    <t>Stoddard, Jill A.; Afari, Niloofar; Hayes, Steven C.</t>
  </si>
  <si>
    <t>Treating Co-Occurring Disorders : A Handbook for Mental Health and Substance Abuse Professionals</t>
  </si>
  <si>
    <t>Ekleberry, Sharon; Schmal, Marilyn S.; Ekleberry, Sharon C.</t>
  </si>
  <si>
    <t>Alcohol Problems in the United States : Twenty Years of Treatment Perspective</t>
  </si>
  <si>
    <t>Mcgovern, Thomas F.; White, William</t>
  </si>
  <si>
    <t>The ADA Practical Guide to Soft Tissue Oral Disease</t>
  </si>
  <si>
    <t>Kahn, Michael A.; Hall, J. Michael</t>
  </si>
  <si>
    <t>Clinical Supervision Activities for Increasing Competence and Self-Awareness</t>
  </si>
  <si>
    <t>Bean, Roy A.; Davis, Sean D.; Davey, Maureen P.</t>
  </si>
  <si>
    <t>Haematology in Critical Care</t>
  </si>
  <si>
    <t>Thachil, Jecko; Hill, Quentin</t>
  </si>
  <si>
    <t>I See Me, You See Me : Inferring Cognitive and Emotional Processes from Gazing Behaviour</t>
  </si>
  <si>
    <t>Rosa, Pedro Joel; Gamito, Pedro Santos Pinto; Gamito, Pedro Santos Pinto</t>
  </si>
  <si>
    <t>Tatum, William; Tatum IV, William</t>
  </si>
  <si>
    <t>Roth, Jack A.; Hong, Waun Ki; Komaki, Ritsuko U.</t>
  </si>
  <si>
    <t>ABC of Dermatology</t>
  </si>
  <si>
    <t>Morris-Jones, Rachael</t>
  </si>
  <si>
    <t>Healthcare Valuation, the Financial Appraisal of Enterprises, Assets, and Services</t>
  </si>
  <si>
    <t>Cimasi, Robert James</t>
  </si>
  <si>
    <t>Creative Positions in Adult Mental Health : Outside In-Inside Out</t>
  </si>
  <si>
    <t>McNab, Sue; Partridge, Karen</t>
  </si>
  <si>
    <t>The Art of Group Analysis in Organisations : The Use of Intuitive and Experiential Knowledge</t>
  </si>
  <si>
    <t>Wilke, Gerhard</t>
  </si>
  <si>
    <t>Being Taken In : The Framing Relationship</t>
  </si>
  <si>
    <t>Sutton, Sarah</t>
  </si>
  <si>
    <t>Psychotherapy 2.0 : Where Psychotherapy and Technology Meet</t>
  </si>
  <si>
    <t>Selling Our Souls : The Commodification of Hospital Care in the United States</t>
  </si>
  <si>
    <t>Reich, Adam Dalton</t>
  </si>
  <si>
    <t>Lupus : The Essential Clinician's Guide</t>
  </si>
  <si>
    <t>Molecular and Cellular Toxicology : An Introduction</t>
  </si>
  <si>
    <t>Stanley, Lesley</t>
  </si>
  <si>
    <t>Collaborative Innovation in Drug Discovery : Strategies for Public and Private Partnerships</t>
  </si>
  <si>
    <t>Chaguturu, Rathnam; Murad, Ferid</t>
  </si>
  <si>
    <t>Handbook for DNA-Encoded Chemistry : Theory and Applications for Exploring Chemical Space and Drug Discovery</t>
  </si>
  <si>
    <t>Goodnow, Robert A.</t>
  </si>
  <si>
    <t>Child Psychotherapy Homework Planner</t>
  </si>
  <si>
    <t>The Handbook of Behavioral Medicine</t>
  </si>
  <si>
    <t>Mostofsky, David I.</t>
  </si>
  <si>
    <t>Mann's Pharmacovigilance</t>
  </si>
  <si>
    <t>Andrews, Elizabeth B.; Moore, Nicholas</t>
  </si>
  <si>
    <t>Medicine; Pharmacy; Social Science</t>
  </si>
  <si>
    <t>Bio-Inspired Materials for Biomedical Engineering</t>
  </si>
  <si>
    <t>Brennan, Anthony B.; Kirschner, Chelsea M.; Kirschner, Chelsea M</t>
  </si>
  <si>
    <t>Differential Equation Analysis in Biomedical Science and Engineering : Partial Differential Equation Applications with R</t>
  </si>
  <si>
    <t>Gandy, Joan</t>
  </si>
  <si>
    <t>How to Design, Analyse and Report Cluster Randomised Trials in Medicine and Health Related Research</t>
  </si>
  <si>
    <t>Campbell, Michael J.; Walters, Stephen J.</t>
  </si>
  <si>
    <t>Food Texture Design and Optimization</t>
  </si>
  <si>
    <t>Dar, Yadunandan Lal; Light, Joseph M.; Lal, Yadunandan; Dar, Yadunandan Lal; Light, Joseph M</t>
  </si>
  <si>
    <t>Criticality in Neural Systems</t>
  </si>
  <si>
    <t>Plenz, Dietmar; Niebur, Ernst; Schuster, Heinz Georg</t>
  </si>
  <si>
    <t>Therapeutic Revolution : The History of Medical Oncology from Early Days to the Creation of the Subspecialty</t>
  </si>
  <si>
    <t>Band, Pierre R.</t>
  </si>
  <si>
    <t>Health Care Disparities and the LGBT Population</t>
  </si>
  <si>
    <t>Kreps, Gary L.; Peterkin, Allan D.; Willes, Karina; Allen, Mike; Manning, Jimmie; Ross, Katy; Scholl, Juliann C.; Bell, Gina Castle; Harvey, Vickie L.; Housel, Teresa Heinz</t>
  </si>
  <si>
    <t>Post-Autism : A Psychoanalytical Narrative, with Supervisions by Donald Meltzer</t>
  </si>
  <si>
    <t>Melega, Marisa Pelella</t>
  </si>
  <si>
    <t>Surgeon General's Warning : How Politics Crippled the Nation's Doctor</t>
  </si>
  <si>
    <t>Stobbe, Mike</t>
  </si>
  <si>
    <t>I Am Special : Introducing Children and Young People to Their Autism Spectrum Disorder</t>
  </si>
  <si>
    <t>Vermeulen, Peter</t>
  </si>
  <si>
    <t>Hidden Heroes : America's Military Caregivers</t>
  </si>
  <si>
    <t>Ramchand, Rajeev; Tanielian, Terri; Fisher, Michael P.; Voorhies, Phoenix; Robbins, Michael William; Robinson, Eric; Ghosh-Dastidar, Bonnie; Vaughan, Christine Anne; Trail, Thomas E.; Epley, Caroline</t>
  </si>
  <si>
    <t>Nano- and Microencapsulation for Foods</t>
  </si>
  <si>
    <t>Kwak, Hae-Soo; Kwak, Hae-Soo</t>
  </si>
  <si>
    <t>The Handbook of Global Health Policy</t>
  </si>
  <si>
    <t>Brown, Garrett W.; Yamey, Gavin; Wamala, Sarah</t>
  </si>
  <si>
    <t>Emergency Care and the Public's Health</t>
  </si>
  <si>
    <t>Pines, Jesse M.; Abualenain, Jameel; Scott, James; Shesser, Robert</t>
  </si>
  <si>
    <t>Clinical Problems in Oncology : A Practical Guide to Management</t>
  </si>
  <si>
    <t>Moorcraft, Sing Yu; Lee, Daniel; Cunningham, David D.</t>
  </si>
  <si>
    <t>Evidence-Based CBT for Anxiety and Depression in Children and Adolescents : A Competencies Based Approach</t>
  </si>
  <si>
    <t>Sburlati, Elizabeth S.; Lyneham, Heidi J.; Schniering, Carolyn A.; Rapee, Ronald M.</t>
  </si>
  <si>
    <t>Memory and Healing : Neurocognitive and Psychodynamic Perspectives on How Patients and Psychotherapists Remember</t>
  </si>
  <si>
    <t>R. Ekstrom, Soren</t>
  </si>
  <si>
    <t>Advanced Acceptance and Commitment Therapy : The Experienced Practitioner's Guide to Optimizing Delivery</t>
  </si>
  <si>
    <t>Westrup, Darrah</t>
  </si>
  <si>
    <t>Neuroinflammation and CNS Disorders</t>
  </si>
  <si>
    <t>Woodroofe, Nicola; Amor, Sandra</t>
  </si>
  <si>
    <t>Neurorehabilitation of the Upper Limb Across the Lifespan : Managing Hypertonicity for Optimal Function</t>
  </si>
  <si>
    <t>Copley, Jodie; Kuipers, Kathy; Copley, Sue</t>
  </si>
  <si>
    <t>Foundations of Clinical Nurse Specialist Practice, Second Edition</t>
  </si>
  <si>
    <t>Janet S. Fulton PhD, RN; Lyon, Brenda L., PhD; Goudreau, Kelly; Janet Fulton Phd, Rn</t>
  </si>
  <si>
    <t>Family-Centered Care for the Newborn : The Delivery Room and Beyond</t>
  </si>
  <si>
    <t>Griffin, Terry; Celenza, Joanna; Terry Griffin MS, Nnp-Bc; Joanna Celenza Ma, Mba</t>
  </si>
  <si>
    <t>Fast Facts for the Neonatal Nurse : A Nursing Orientation and Care Guide in a Nutshell</t>
  </si>
  <si>
    <t>Davidson, Michele R.; Michele R Davidson Phd, Cfn Rn</t>
  </si>
  <si>
    <t>Transitioning From LPN/LVN to BSN</t>
  </si>
  <si>
    <t>Duphily, Nancy; Nancy Duphily Dnp, Rn-Bc</t>
  </si>
  <si>
    <t>This Man's Pill : Reflections on the 50th Birthday of the Pill</t>
  </si>
  <si>
    <t>Djerassi, Carl</t>
  </si>
  <si>
    <t>Fundamentals of Nursing Models, Theories and Practice with Wiley E-Text</t>
  </si>
  <si>
    <t>McKenna, Hugh; Pajnkihar, Majda; Murphy, Fiona</t>
  </si>
  <si>
    <t>Magnetic Resonance Imaging : Physical Principles and Sequence Design</t>
  </si>
  <si>
    <t>Brown, Robert W.; Cheng, Y.-C. Norman; Haacke, E. Mark; Thompson, Michael R.; Venkatesan, Ramesh; Cheng, Y -C Norman</t>
  </si>
  <si>
    <t>Global Health Nursing : Building and Sustaining Partnerships</t>
  </si>
  <si>
    <t>Upvall, Michele  J. , PhD, RN, CRNP; Leffers, Jeanne, PhD, RN; Michele Upvall Phd, Rn; Jeanne Leffers Phd, Rn</t>
  </si>
  <si>
    <t>Making Sense of Intersex : Changing Ethical Perspectives in Biomedicine</t>
  </si>
  <si>
    <t>Feder, Ellen K.</t>
  </si>
  <si>
    <t>How to Become a More Effective CBT Therapist : Mastering Metacompetence in Clinical Practice</t>
  </si>
  <si>
    <t>Whittington, Adrian; Grey, Nick</t>
  </si>
  <si>
    <t>The Schema Therapy Clinician's Guide : A Complete Resource for Building and Delivering Individual, Group and Integrated Schema Mode Treatment Programs</t>
  </si>
  <si>
    <t>Farrell, Joan M.; Reiss, Neele; Shaw, Ida A.</t>
  </si>
  <si>
    <t>Advanced Healthcare Materials</t>
  </si>
  <si>
    <t>Tiwari, Ashutosh; Tiwari, Ashutosh</t>
  </si>
  <si>
    <t>Handbook of Nanomedicine and Nanotoxicology</t>
  </si>
  <si>
    <t>Sahu, Saura C.; Casciano, Daniel A.; Sahu, Dr Saura C; Casciano, Daniel A</t>
  </si>
  <si>
    <t>Vascular and Endovascular Surgery at a Glance</t>
  </si>
  <si>
    <t>McMonagle, Morgan; Stephenson, Matthew</t>
  </si>
  <si>
    <t>CBT for Chronic Pain and Psychological Well-Being : A Skills Training Manual Integrating DBT, ACT, Behavioral Activation and Motivational Interviewing</t>
  </si>
  <si>
    <t>Carlson, Mark</t>
  </si>
  <si>
    <t>Practice Development Workbook for Nursing, Health and Social Care Teams</t>
  </si>
  <si>
    <t>Dewing, Jan; McCormack, Brendan; Titchen, Angie</t>
  </si>
  <si>
    <t>Lecture Notes: Tropical Medicine</t>
  </si>
  <si>
    <t>Beeching, Nick; Gill, Geoff</t>
  </si>
  <si>
    <t>Asperger Syndrome in the Family : Redefining Normal</t>
  </si>
  <si>
    <t>Willey, Liane Holliday; Tanguay, Pamela</t>
  </si>
  <si>
    <t>Healing Arts Therapies and Person-Centered Dementia Care</t>
  </si>
  <si>
    <t>Innes, Anthea; Hatfield, Karen</t>
  </si>
  <si>
    <t>Treating AIDS : Politics of Difference, Paradox of Prevention</t>
  </si>
  <si>
    <t>Sangaramoorthy, Thurka</t>
  </si>
  <si>
    <t>A Short History of Medical Genetics</t>
  </si>
  <si>
    <t>Harper, Peter S.</t>
  </si>
  <si>
    <t>Patient Safety : Perspectives on Evidence, Information and Knowledge Transfer</t>
  </si>
  <si>
    <t>Zipperer, Lorri</t>
  </si>
  <si>
    <t>One Health : People, Animals, and the Environment</t>
  </si>
  <si>
    <t>Atlas, Ronald M.; Maloy, Stanley</t>
  </si>
  <si>
    <t>Nearness of Others : Searching for Tact and Contact in the Age of HIV</t>
  </si>
  <si>
    <t>Caron, David</t>
  </si>
  <si>
    <t>The Scientific Basis of Tissue Transplantation</t>
  </si>
  <si>
    <t>Phillips, Glyn O.; Nather, Aziz</t>
  </si>
  <si>
    <t>Bone Morphogenetic Protein and Collagen : An Advances in Tissue Banking Specialist Publication</t>
  </si>
  <si>
    <t>Phillips, Glyn O.</t>
  </si>
  <si>
    <t>Current Review of Chinese Medicine : Quality Control of Herbs and Herbal Materials</t>
  </si>
  <si>
    <t>Leung, Ping-Chung; Fong, Harry Hong Sang; Xue, Charlie Changli</t>
  </si>
  <si>
    <t>Alternative Treatment for Cancer</t>
  </si>
  <si>
    <t>Leung, Ping-Chung; Fong, Harry Hong Sang</t>
  </si>
  <si>
    <t>Properties and Applications of Complex Intermetallics</t>
  </si>
  <si>
    <t>Belin-Ferre, Esther</t>
  </si>
  <si>
    <t>Fetal Electrocardiography</t>
  </si>
  <si>
    <t>Symonds, Malcolm E.; Sahota, Daljit; Chang, Allan</t>
  </si>
  <si>
    <t>International Collation of Traditional and Folk Medicine : Northeast Asia</t>
  </si>
  <si>
    <t>Guo, Ji-Xian; Kimura, Takeatsu; But, Paul P. H.; Sung, Chung Ki; Byung, Hoon Han</t>
  </si>
  <si>
    <t>Haptics for Teleoperated Surgical Robotic Systems</t>
  </si>
  <si>
    <t>Tavakoli, M; Patel, R. V.; Moallem, M.</t>
  </si>
  <si>
    <t>From Association to Rules : Connectionist Models of Behavior and Cognition - Proceedings of the Tenth Neural Computation and Psychology Workshop</t>
  </si>
  <si>
    <t>French, Robert M; Thomas, Elizabeth</t>
  </si>
  <si>
    <t>Basic Principles and Practical Applications in Epidemiological Research</t>
  </si>
  <si>
    <t>Wang, Jung-Der</t>
  </si>
  <si>
    <t>Proceedings of the 6th Asia-Pacific Bioinformatics Conference : Kyoto, Japan, 14-17 January 2008</t>
  </si>
  <si>
    <t>Brazma, Alvis; Miyano, Satoru; Akutsu, Tatsuya</t>
  </si>
  <si>
    <t>Vision : The Approach of Biophysics and Neurosciences - Proceedings of the International School of Biophysics, Casamicciola, Napoli, Italy, 11-16 October 1999</t>
  </si>
  <si>
    <t>Musio, C.</t>
  </si>
  <si>
    <t>Stochastic Models with Applications to Genetics, Cancers, AIDS and Other Biomedical Systems</t>
  </si>
  <si>
    <t>Tan, Wai-Yuan</t>
  </si>
  <si>
    <t>P. G. de Gennes' Impact on Science : Solid State and Liquid Crystals</t>
  </si>
  <si>
    <t>Brochard-Wyart, Francoise; Bok, Julien; Prost, Jacques</t>
  </si>
  <si>
    <t>Science: Physics; Science</t>
  </si>
  <si>
    <t>Human Reliability and Error in Medical System</t>
  </si>
  <si>
    <t>Dhillon, B. S.</t>
  </si>
  <si>
    <t>International Seminar on Nuclear War and Planetary Emergencies : 26th Session - E. Majorana Centre for Scientific Culture, Erice, Italy, 19-24 August 2001</t>
  </si>
  <si>
    <t>Ragaini, R.</t>
  </si>
  <si>
    <t>Science; Environmental Studies</t>
  </si>
  <si>
    <t>Linus Pauling : Selected Scientific Papers</t>
  </si>
  <si>
    <t>Pauling, Linus; Kamb, Barclay; Pauling, Peter Jeffress; Kamb, Linda Pauling; Pauling, Peter Jeffress; Kamb, Alexander; Pauling Jr., Linus</t>
  </si>
  <si>
    <t>Science; Science: Chemistry</t>
  </si>
  <si>
    <t>Pauling, Linus; Pauling, Peter Jeffress; Kamb, Barclay; Kamb, Linda Pauling; Pauling, Peter Jeffress; Kamb, Alexander; Pauling Jr., Linus</t>
  </si>
  <si>
    <t>What Will Influence the Future of Alternative Medicine? : A World Perspective</t>
  </si>
  <si>
    <t>Eskinazi, Daniel</t>
  </si>
  <si>
    <t>Future Medical Engineering Based on Bionanotechnology : Proceedings of the Final Symposium of the Tohoku University 21st Century Center of Excellence Program</t>
  </si>
  <si>
    <t>Esashi, Masayoshi; Ishii, Keizo; Yamaguchi, Takami</t>
  </si>
  <si>
    <t>Quick Review Cards for Medical Laboratory Science</t>
  </si>
  <si>
    <t>F. A. Davis Company</t>
  </si>
  <si>
    <t>Polansky, Valerie Dietz</t>
  </si>
  <si>
    <t>Guide to Culturally Competent Health Care</t>
  </si>
  <si>
    <t>Purnell, Larry</t>
  </si>
  <si>
    <t>Theories Guiding Nursing Research and Practice : Making Nursing Knowledge Development Explicit</t>
  </si>
  <si>
    <t>McCarthy, Geraldine; Fitzpatrick, Joyce; Geraldine McCarthy Phd, Rgn; Joyce Fitzpatrick Phd, Mba Rn , Faan</t>
  </si>
  <si>
    <t>Skin Lymphoma : The Illustrated Guide</t>
  </si>
  <si>
    <t>Cerroni, Lorenzo</t>
  </si>
  <si>
    <t>Immunology : Clinical Case Studies and Disease Pathophysiology</t>
  </si>
  <si>
    <t>Strober, Warren; Gottesman, Susan R.; Coico, Richard; Sunshine, Geoffrey</t>
  </si>
  <si>
    <t>Final Report : Evaluation of Tools and Metrics to Support Employer Selection of Health Plans</t>
  </si>
  <si>
    <t>Mattke, Soeren; Van Busum, Kristin R.; Martsolf, Grant</t>
  </si>
  <si>
    <t>How Will the Patient Protection and Affordable Care Act Affect Liability Insurance Costs?</t>
  </si>
  <si>
    <t>Auerbach, David I.; Heaton, Paul; Brantley, Ian</t>
  </si>
  <si>
    <t>Textbook of Hemophilia</t>
  </si>
  <si>
    <t>Lee, Christine A.; Berntorp, Erik E.; Hoots, W. Keith</t>
  </si>
  <si>
    <t>Mathematical Methods in Scattering Theory and Biomedical Engineering : Proceedings of the Seventh International Workshop</t>
  </si>
  <si>
    <t>Fotiadis, Dimitrios Ioannou; Massalas, Christos; Papageorgiou, Vicky</t>
  </si>
  <si>
    <t>Biomechanical Systems Technology : Cardiovascular Systems</t>
  </si>
  <si>
    <t>Evaluation of Certain Food Additives and Contaminants : Seventy-seventh Report of the Joint FAO/WHO Expert Committee on Food Additives</t>
  </si>
  <si>
    <t>Oral Health Surveys. : Basic Methods</t>
  </si>
  <si>
    <t>WHO Expert Committee on Biological Standardization : Sixty-third Report</t>
  </si>
  <si>
    <t>High-Resolution Ultrasonography for Peripheral Nerve Diagnostics : A Guide for Clinicians Involved in Diagnosis and Management of Peripheral Nerve Disorders</t>
  </si>
  <si>
    <t>Wilder-Smith, Einar P.; Rajendran, K.; Therimadasamy, Aravinda K.</t>
  </si>
  <si>
    <t>The Stroke Clinician's Handbook : A Practical Guide to the Care of Stroke Patients</t>
  </si>
  <si>
    <t>Gan, Robert N; Ramani, N. Venketasubramanian</t>
  </si>
  <si>
    <t>Corneal Transplantation : An Immunological Guide to the Clinical Problem</t>
  </si>
  <si>
    <t>Forrester, John V.; Kuffova, Lucia</t>
  </si>
  <si>
    <t>On the Contexts of Things Human : An Integrative View of Brain, Consciousness, and Freedom of Will</t>
  </si>
  <si>
    <t>MacGregor, Ronald J.</t>
  </si>
  <si>
    <t>Nonlinear Theory of Elasticity : Applications in Biomechanics</t>
  </si>
  <si>
    <t>Taber, Larry A.</t>
  </si>
  <si>
    <t>The Activities of Bacterial Pathogens in Vivo : Based on Contributions to a Royal Society Discussion Meeting</t>
  </si>
  <si>
    <t>Smith, H.; Dorman, C. J.; Dougan, Gordon; Holden, David W.</t>
  </si>
  <si>
    <t>Chemistry Versus Physics : Chemical Reactions near Critical Points</t>
  </si>
  <si>
    <t>Gitterman, Moshe</t>
  </si>
  <si>
    <t>Multiplicity Yours : Cloning, Stem Cell Research, and Regenerative Medicine</t>
  </si>
  <si>
    <t>Lim, Hwa A.</t>
  </si>
  <si>
    <t>Munchausen's Syndrome by Proxy : Current Issues in Assessment, Treatment, and Research</t>
  </si>
  <si>
    <t>Adshead, Gwen; Brooke, Deborah; Mitchell, Ian</t>
  </si>
  <si>
    <t>Dialysis Access : Current Practice</t>
  </si>
  <si>
    <t>Akoh, J. A.; Hakim, N. S.</t>
  </si>
  <si>
    <t>The Forensic Case Files : Diagnosing and Treating the Pathologies of the American Health System</t>
  </si>
  <si>
    <t>Smith, David Barton</t>
  </si>
  <si>
    <t>The Essential Biotech Investment Guide : How to Invest in the Healthcare Biotechnology and Life Sciences Sector</t>
  </si>
  <si>
    <t>Tang, C. Mark</t>
  </si>
  <si>
    <t>4D Electron Microscopy : Imaging in Space and Time</t>
  </si>
  <si>
    <t>Zewail, Ahmed H.; Thomas, John Meurig</t>
  </si>
  <si>
    <t>Reviews of Accelerator Science and Technology : Medical Applications of Accelerators</t>
  </si>
  <si>
    <t>Chao, Alexander W.; Chou, Weiren</t>
  </si>
  <si>
    <t>A Practical Manual of Renal Medicine : Nephrology, Dialysis and Transplantation</t>
  </si>
  <si>
    <t>1,1'-Binaphthyl-Based Chiral Materials : Our Journey</t>
  </si>
  <si>
    <t>Pu, Lin</t>
  </si>
  <si>
    <t>An Introduction to Medical Ethics : Patient's Interest First</t>
  </si>
  <si>
    <t>Lim, Arthur Siew Ming</t>
  </si>
  <si>
    <t>Traditional, Complementary and Alternative Medicine : Policy and Public Health Perspectives</t>
  </si>
  <si>
    <t>Bodeker, Gerard; Burford, Gemma; Kronenberg, Fredi</t>
  </si>
  <si>
    <t>Lysosomal Storage Disorders : Principles and Practice</t>
  </si>
  <si>
    <t>Pastores, Gregory M.</t>
  </si>
  <si>
    <t>Auditory Mechanisms : Processes and Models</t>
  </si>
  <si>
    <t>Nuttall, Alfred L; Ren, Tianying; Deboer, Egbert; Gillespie, Peter</t>
  </si>
  <si>
    <t>Recent Works on Microbes and Infections in China : Selected from the Journal of Microbes and Infections (China)</t>
  </si>
  <si>
    <t>Wen, Yu-Mei; Lu, Shan; Tang, Yi-Wei</t>
  </si>
  <si>
    <t>Slim Chance Fat Hope : Society's Obsession with Thinness</t>
  </si>
  <si>
    <t>Tay, Catherine Swee Kian</t>
  </si>
  <si>
    <t>Advances in Geosciences : Solar Terrestrial (ST)</t>
  </si>
  <si>
    <t>Duldig, Marc</t>
  </si>
  <si>
    <t>Science: Geology; Science: Astronomy; Science</t>
  </si>
  <si>
    <t>Twentieth Century Neurology : The British Contribution</t>
  </si>
  <si>
    <t>Rose, F. Clifford</t>
  </si>
  <si>
    <t>Six Countries, Six Reform Models : The Healthcare Reform Experience of Israel, the Netherlands, New Zealand, Singapore, Switzerland and Taiwan - Healthcare Reforms under the Radar Screen</t>
  </si>
  <si>
    <t>Okma, Kieke G.; Cheng, Tsung-Mei; Chinitz, David E.</t>
  </si>
  <si>
    <t>Molecular Theory of Water and Aqueous Solutions : Understanding Water</t>
  </si>
  <si>
    <t>Ben-Naim, Arieh</t>
  </si>
  <si>
    <t>A Comprehensive Guide to Chinese Medicine</t>
  </si>
  <si>
    <t>Leung, Ping-Chung; Cheng, Yung-Chi; Xue, Charlie Changli</t>
  </si>
  <si>
    <t>Atlas of Procedures in Surgical Oncology with Critical, Evidence-Based Commentary Notes</t>
  </si>
  <si>
    <t>Audisio, Riccardo A.; Audisio, Riccardo A</t>
  </si>
  <si>
    <t>Emerging Therapeutic Ultrasound</t>
  </si>
  <si>
    <t>Wu, Junru; Nyborg, Wesley Le Mars</t>
  </si>
  <si>
    <t>Human Oncogenic Viruses</t>
  </si>
  <si>
    <t>Ou, Jing-Hsiung James; Yen, T. S Benedict</t>
  </si>
  <si>
    <t>Inhibin, Activin, and Follistatin in Human Reproductive Physiology</t>
  </si>
  <si>
    <t>Ledger, William; Muttukrishna, Shanthi</t>
  </si>
  <si>
    <t>Magnetic Resonance Force Microscopy and a Single-Spin Measurement</t>
  </si>
  <si>
    <t>Berman, Gennady P; Borgonovi, Fausto; Gorshkov, Vyacheslav N.</t>
  </si>
  <si>
    <t>Metal Ions and Neurodegenerative Disorders</t>
  </si>
  <si>
    <t>Zatta, Paolo</t>
  </si>
  <si>
    <t>Modelling Biomedical Signals : Bari, Italy, 19-21 September 2001</t>
  </si>
  <si>
    <t>Nardulli, Giuseppe; Stramaglia, Sebastiano</t>
  </si>
  <si>
    <t>Nanoparticulates As Drug Carriers</t>
  </si>
  <si>
    <t>Torchilin, Vladimir P.</t>
  </si>
  <si>
    <t>Nanoscale Processes on Insulating Surfaces</t>
  </si>
  <si>
    <t>Gnecco, Enrico; Szymonski, Marek</t>
  </si>
  <si>
    <t>Science: Biology/Natural History; Engineering: General; Engineering; Science</t>
  </si>
  <si>
    <t>Nanotechnology for the Regeneration of Hard and Soft Tissues</t>
  </si>
  <si>
    <t>Webster, Thomas J</t>
  </si>
  <si>
    <t>Neuroscience for Neurologists</t>
  </si>
  <si>
    <t>Chinnery, Patrick F.</t>
  </si>
  <si>
    <t>Organophosphates and Health</t>
  </si>
  <si>
    <t>Karalliedde, Lakshman; Feldman, Stanley; Henry, John A.; Feldman, Stanley; Henry, John; Marrs, Timothy</t>
  </si>
  <si>
    <t>Oxidative Stress, Exercise and Aging</t>
  </si>
  <si>
    <t>Alessio, Helaine M.; Hagerman, Ann E.</t>
  </si>
  <si>
    <t>Perspectives on Vasopressin</t>
  </si>
  <si>
    <t>Laycock, John Francis</t>
  </si>
  <si>
    <t>Platelets in Cardiovascular Disease</t>
  </si>
  <si>
    <t>Bhatt, Deepak L.</t>
  </si>
  <si>
    <t>Population Dynamics and Infectious Diseases in Asia</t>
  </si>
  <si>
    <t>Sleigh, Adrian; Leng, Chee Heng; Yeoh, Brenda SA</t>
  </si>
  <si>
    <t>Practical Guide to Medical Student Assessment</t>
  </si>
  <si>
    <t>Amin, Zubair; Chong, Yap Seng; Khoo, Hoon Eng</t>
  </si>
  <si>
    <t>Proton Radiotherapy Accelerators</t>
  </si>
  <si>
    <t>Wieszczycka, Wioletta; Scharf, Waldemar H.</t>
  </si>
  <si>
    <t>Science, Faith and Ethics</t>
  </si>
  <si>
    <t>Hench, Larry L.</t>
  </si>
  <si>
    <t>Selected Papers on the Periodic Table by Eric Scerri</t>
  </si>
  <si>
    <t>Scerri, Eric</t>
  </si>
  <si>
    <t>Single-Electron Devices and Circuits in Silicon</t>
  </si>
  <si>
    <t>Durrani, Zahid Ali Khan</t>
  </si>
  <si>
    <t>Engineering: Electrical; Engineering</t>
  </si>
  <si>
    <t>Structure-Based Study of Viral Replication</t>
  </si>
  <si>
    <t>Cheng, R. Holland; Miyamura, Tatsuo</t>
  </si>
  <si>
    <t>The Principles and Practice of Contact and Occupational Dermatology in the Asia-Pacific Region</t>
  </si>
  <si>
    <t>Ng, See Ket; Goh, Chee Leok</t>
  </si>
  <si>
    <t>The Complete Systemic Supervisor : Context, Philosophy, and Pragmatics</t>
  </si>
  <si>
    <t>Todd, Thomas C.; Storm, Cheryl L.</t>
  </si>
  <si>
    <t>Diagnosing the Diagnostic and Statistical Manual of Mental Disorders : Fifth Edition</t>
  </si>
  <si>
    <t>Cooper, Rachel</t>
  </si>
  <si>
    <t>Redirecting Innovation in U.S. Health Care : Options to Decrease Spending and Increase Value</t>
  </si>
  <si>
    <t>Garber, Steven; Gates, Susan M.; Keeler, Emmett B.; Kellermann, Arthur L.; Vaiana, Mary E.; Mulcahy, Andrew W.; Lau, Christopher</t>
  </si>
  <si>
    <t>Launching and Leading Change Initiatives in Health Care Organizations : Managing Successful Projects</t>
  </si>
  <si>
    <t>Workplace Well-Being : How to Build Psychologically Healthy Workplaces</t>
  </si>
  <si>
    <t>Day, Arla; Kelloway, E. Kevin; Hurrell, Joseph J., Jr.</t>
  </si>
  <si>
    <t>Singer and Monaghan's Cervical and Lower Genital Tract Precancer : Diagnosis and Treatment</t>
  </si>
  <si>
    <t>Singer, Albert; Khan, Ashfaq; Deery, Alastair R. S.; Chong, Quek Swee</t>
  </si>
  <si>
    <t>Role of the Study Director in Nonclinical Studies : Pharmaceuticals, Chemicals, Medical Devices, and Pesticides</t>
  </si>
  <si>
    <t>Brock, William J.; Mounho, Barbara; Fu, Lijie; Mounho, Barbara</t>
  </si>
  <si>
    <t>Privacy Protection Practice in Clinical Research : Principles of Pseudonymization and Anonymization</t>
  </si>
  <si>
    <t>Schriever, Karl-Heinz; Schröder, Markus</t>
  </si>
  <si>
    <t>Neurobiology and Treatment of Traumatic Dissociation : Towards an Embodied Self</t>
  </si>
  <si>
    <t>Lanius, Ulrich F.; Paulsen, Sandra L.; Corrigan, Frank M.</t>
  </si>
  <si>
    <t>Applied Drama and Theatre as an Interdisciplinary Field in the Context of HIV/AIDS in Africa</t>
  </si>
  <si>
    <t>Barnes, Hazel</t>
  </si>
  <si>
    <t>The Medical Library Association Guide to Providing Consumer and Patient Health Information</t>
  </si>
  <si>
    <t>Spatz, Michele</t>
  </si>
  <si>
    <t>Prescribing Scenarios at a Glance</t>
  </si>
  <si>
    <t>Baker, Emma; Burrage, Daniel; Lonsdale, Dagan; Hitchings, Andrew</t>
  </si>
  <si>
    <t>Soccer Injury Prevention and Treatment : A Guide to Optimal Performance for Players, Parents, and Coaches</t>
  </si>
  <si>
    <t>Gallucci, John</t>
  </si>
  <si>
    <t>Complementary &amp; Alternative Therapies in Nursing : Seventh Edition</t>
  </si>
  <si>
    <t>Lindquist, Ruth, PhD, RN, FAAN; Snyder, Mariah, PhD, RN, FAAN; Tracy, Mary Frances, PhD, RN, CCNS, FAAN</t>
  </si>
  <si>
    <t>Clinical Analytics and Data Management for the DNP</t>
  </si>
  <si>
    <t>Sylvia, Martha; Terhaar, Mary</t>
  </si>
  <si>
    <t>Transcultural Nursing Education Strategies</t>
  </si>
  <si>
    <t>Sagar, Priscilla Limbo; Limbo Sagar, Priscilla; Priscilla Limbo Sagar Edd, Rn</t>
  </si>
  <si>
    <t>Fast Facts for Stroke Care Nursing : An Expert Guide in a Nutshell</t>
  </si>
  <si>
    <t>Morrison, Kathy; Kathy Morrison Msn, Rn</t>
  </si>
  <si>
    <t>The Child Psychotherapy Progress Notes Planner</t>
  </si>
  <si>
    <t>Jongsma, Arthur E., Jr.; Peterson, L. Mark; McInnis, William P.; Berghuis, David J.</t>
  </si>
  <si>
    <t>Fundamentals of Implant Dentistry</t>
  </si>
  <si>
    <t>Byrne, Gerard</t>
  </si>
  <si>
    <t>Dried Blood Spots : Applications and Techniques</t>
  </si>
  <si>
    <t>Li, Wenkui; Lee, Mike S.; Li, Wenkui; Lee, Mike S</t>
  </si>
  <si>
    <t>Applied Missing Data in the Health Sciences</t>
  </si>
  <si>
    <t>Zhou, Xiao-Hua (Andrew); Taylor, Leslie; Zhou, Chuan; Ding, Xaiobo; Lui, Danping</t>
  </si>
  <si>
    <t>Pipac : Pressurized IntraPeritoneal Aerosol Chemotherapy - Cancer under Pressure</t>
  </si>
  <si>
    <t>Reymond, Marc A.; Solass, Wiebke</t>
  </si>
  <si>
    <t>Oxford Handbook of Practical Drug Therapy</t>
  </si>
  <si>
    <t>Richards, Duncan; Aronson, Jeffrey; Reynolds, D. John; Coleman, Jamie</t>
  </si>
  <si>
    <t>Building Back Better: Sustainable Mental Health Care after Emergencies</t>
  </si>
  <si>
    <t>Fast Facts for the Clinical Nursing Instructor : Clinical Teaching in a Nutshell, Second Edition</t>
  </si>
  <si>
    <t>Eden Kan PhD, RN; Susan Stabler-Haas MSN, RN; Kan, Eden</t>
  </si>
  <si>
    <t>Partnering for Recovery in Mental Health : A Practical Guide to Person-Centered Planning</t>
  </si>
  <si>
    <t>Tondora, Janis; Miller, Rebecca; Slade, Mike; Davidson, Larry; Davidson, Dr Larry</t>
  </si>
  <si>
    <t>Precarious Prescriptions : Contested Histories of Race and Health in North America</t>
  </si>
  <si>
    <t>Green, Laurie B.; Mckiernan-González, John; Summers, Martin</t>
  </si>
  <si>
    <t>10-minute consultation : chronic obstructive pulmonary disease</t>
  </si>
  <si>
    <t>Gruffydd-Jones, Kevin; Levy, Mark; Price, David</t>
  </si>
  <si>
    <t>10-minute consultation : type 2 diabetes mellitus</t>
  </si>
  <si>
    <t>Gadsby, Roger; Haslam, David W.; Khunti, Kamlesh</t>
  </si>
  <si>
    <t>Medicine and the Law in the Middle Ages : Medicine and the Law in the Middle Ages</t>
  </si>
  <si>
    <t>Turner, Wendy J.; Butler, Sara M.</t>
  </si>
  <si>
    <t>Sexual Diversity and Sexual Offending : Research, Assessment, and Clinical Treatment in Psychosexual Therapy</t>
  </si>
  <si>
    <t>Hudson Allez, Glyn</t>
  </si>
  <si>
    <t>On Being a Master Therapist : Practicing What You Preach</t>
  </si>
  <si>
    <t>Kottler, Jeffrey A.; Carlson, Jon</t>
  </si>
  <si>
    <t>Endocrine Disruptors in the Environment</t>
  </si>
  <si>
    <t>Khetan, Sushil K.</t>
  </si>
  <si>
    <t>Medical Complications in Physical Medicine and Rehabilitation</t>
  </si>
  <si>
    <t>Cardenas, Diana; Hooton, Thomas</t>
  </si>
  <si>
    <t>Health Policy Analysis : Framework and Tools for Success</t>
  </si>
  <si>
    <t>John Seavey MPH, PhD; Grath, Robert Mc, PhD; Aytur, Semra; John Seavey Mph, Phd; Grath, Robert MC Phd</t>
  </si>
  <si>
    <t>Statistics for Advanced Practice Nurses and Health Professionals</t>
  </si>
  <si>
    <t>Stommel, Manfred, PhD; Dontje, Katherine J., PhD, FNP-BC; Katherine J Dontje Phd, Fnp-Bc</t>
  </si>
  <si>
    <t>Analyzing Food Security Using Household Survey Data : Streamlined Analysis with ADePT Software</t>
  </si>
  <si>
    <t>Moltedo, Ana; Troubat, Nathalie; Lokshin, Michael; Lokshin, Michael; Sajaia, Zurab</t>
  </si>
  <si>
    <t>Fast Facts: Multiple Sclerosis</t>
  </si>
  <si>
    <t>Malik, Omar; Donnelly, Ann; Barnett, Michael</t>
  </si>
  <si>
    <t>Methods and Applications of Statistics in Clinical Trials, Volume 2 : Planning, Analysis, and Inferential Methods</t>
  </si>
  <si>
    <t>Advancing Occupational Therapy in Mental Health Practice</t>
  </si>
  <si>
    <t>McKay, Elizabeth; Craik, Christine; Lim, Kee Hean; Richards, Gabrielle</t>
  </si>
  <si>
    <t>Health Rights Are Civil Rights : Peace and Justice Activism in Los Angeles, 1963–1978</t>
  </si>
  <si>
    <t>Loyd, Jenna M.</t>
  </si>
  <si>
    <t>Premium and Specialized Intraocular Lenses</t>
  </si>
  <si>
    <t>Kleinmann, Guy; Apple, David J.; Assia, Ehud I.</t>
  </si>
  <si>
    <t>Pocket EMG</t>
  </si>
  <si>
    <t>Wisotzky, Eric; Tseng, Victor; Pohlman, Dane; Pohlman, Dane</t>
  </si>
  <si>
    <t>Addiction and Performance</t>
  </si>
  <si>
    <t>Reynolds, James; Zontou,  Zoe</t>
  </si>
  <si>
    <t>Quantitative Microbial Risk Assessment</t>
  </si>
  <si>
    <t>Haas, Charles N.; Rose, Joan B.; Gerba, Charles P.</t>
  </si>
  <si>
    <t>Women, Gender and Disease in Eighteenth-Century England and France</t>
  </si>
  <si>
    <t>Doig, Ann Kathleen; Sturzer,  Felicia B.</t>
  </si>
  <si>
    <t>Barbecue : The History of an American Institution</t>
  </si>
  <si>
    <t>Moss, Robert F.</t>
  </si>
  <si>
    <t>Helping People with Eating Disorders : A Clinical Guide to Assessment and Treatment</t>
  </si>
  <si>
    <t>Palmer, Bob</t>
  </si>
  <si>
    <t>Shadow Medicine : The Placebo in Conventional and Alternative Therapies</t>
  </si>
  <si>
    <t>Evidence-Based Dermatology</t>
  </si>
  <si>
    <t>Bigby, Michael; Herxheimer, Andrew; Williams, Hywel; Naldi, Luigi; Rzany, Berthold; Dellavalle, Robert; Ran, Yuping; Furue, Masutaka</t>
  </si>
  <si>
    <t>Fast Facts on Adolescent Health for Nursing and Health Professionals : A Care Guide in a Nutshell</t>
  </si>
  <si>
    <t>Herrman, Judith; Judith Herrman Phd, Rn</t>
  </si>
  <si>
    <t>Leading Public Health : A Competency Framework</t>
  </si>
  <si>
    <t>Begun, James W., Ph.D.; Malcolm, Jan K.; D, James Begun Ph</t>
  </si>
  <si>
    <t>Neonatal and Pediatric Respiratory Care : A Patient Case Method</t>
  </si>
  <si>
    <t>Perretta, Julianne</t>
  </si>
  <si>
    <t>Psychosocial Strategies for Athletic Training</t>
  </si>
  <si>
    <t>Granquist, Megan; Hamson-Utley, Jennifer; Kenow, Laura; Stiller-Ostrowski, Jennifer</t>
  </si>
  <si>
    <t>Fundamental Laboratory Mathematics : Required Calculations for the Medical Laboratory Professional</t>
  </si>
  <si>
    <t>Buckingham, Lela</t>
  </si>
  <si>
    <t>Prioritization, Delegation, &amp; Management of Care for the NCLEX-RN® Exam</t>
  </si>
  <si>
    <t>Hargrove-Huttel, Ray; Colgrove, Kathryn Cadenhead</t>
  </si>
  <si>
    <t>Applications of Polymers in Drug Delivery</t>
  </si>
  <si>
    <t>Misra, Ambikanandan; Shahiwala, Aliasgar</t>
  </si>
  <si>
    <t>Fast Facts for the Radiology Nurse : An Orientation and Nursing Care Guide in a Nutshell</t>
  </si>
  <si>
    <t>Grossman, Valerie Aarne; Valerie Aarne Grossman Mals, Bsn Rn</t>
  </si>
  <si>
    <t>Migration and Health : A Research Methods Handbook</t>
  </si>
  <si>
    <t>Schenker, Marc B.; Castañeda, Xochitl; Rodriguez-Lainz, Alfonso</t>
  </si>
  <si>
    <t>Moral Laboratories : Family Peril and the Struggle for a Good Life</t>
  </si>
  <si>
    <t>Mosquito Trails : Ecology, Health, and the Politics of Entanglement</t>
  </si>
  <si>
    <t>Nading, Alex M.</t>
  </si>
  <si>
    <t>Toxic Injustice : A Transnational History of Exposure and Struggle</t>
  </si>
  <si>
    <t>Bohme, Susanna Rankin</t>
  </si>
  <si>
    <t>Social Science; Environmental Studies; Health</t>
  </si>
  <si>
    <t>Food in Time and Place : The American Historical Association Companion to Food History</t>
  </si>
  <si>
    <t>Freedman, Paul; Chaplin, Joyce E.; Albala, Ken</t>
  </si>
  <si>
    <t>Inventing Baby Food : Taste, Health, and the Industrialization of the American Diet</t>
  </si>
  <si>
    <t>Bentley, Amy</t>
  </si>
  <si>
    <t>Blind Spot : How Neoliberalism Infiltrated Global Health</t>
  </si>
  <si>
    <t>Keshavjee,  M.D., Salmaan; Farmer, Paul</t>
  </si>
  <si>
    <t>Life Beside Itself : Imagining Care in the Canadian Arctic</t>
  </si>
  <si>
    <t>Stevenson, Lisa; Stevenson, Lisa</t>
  </si>
  <si>
    <t>Leprosy and a Life in South India : Journeys with a Tamil Brahmin</t>
  </si>
  <si>
    <t>Staples, James</t>
  </si>
  <si>
    <t>Guide to Reference in Medicine and Health</t>
  </si>
  <si>
    <t>Modschiedler, Christa; Beaubien Bennett, Denise; Modshiedler, Christa</t>
  </si>
  <si>
    <t>General Works/Reference; Medicine</t>
  </si>
  <si>
    <t>Advanced Nutrition and Dietetics in Gastroenterology</t>
  </si>
  <si>
    <t>Lomer, Miranda</t>
  </si>
  <si>
    <t>Mapping Generations of Traumatic Memory in American Narratives</t>
  </si>
  <si>
    <t>Mihăilescu, Dana; Oltean,  Roxana; Precup,  Mihaela</t>
  </si>
  <si>
    <t>Bio-Ceramics with Clinical Applications</t>
  </si>
  <si>
    <t>Vallet-Regi, Maria</t>
  </si>
  <si>
    <t>Mucoadhesive Materials and Drug Delivery Systems</t>
  </si>
  <si>
    <t>Khutoryanskiy, Vitaliy V.</t>
  </si>
  <si>
    <t>A Different Kind of Boy : A Father's Memoir About Raising a Gifted Child with Autism</t>
  </si>
  <si>
    <t>Mont, Daniel; Mont, Dan</t>
  </si>
  <si>
    <t>Interceptive Orthodontics : A Practical Guide to Occlusal Management</t>
  </si>
  <si>
    <t>Noar, Joseph</t>
  </si>
  <si>
    <t>Health and Wellness Concerns for Racial, Ethnic, and Sexual Minorities : New Directions for Adult and Continuing Education, Number 142</t>
  </si>
  <si>
    <t>Collins, Joshua C.; Rocco, Tonette S.; Bryant, Lawrence O.</t>
  </si>
  <si>
    <t>The Beginnings of Perinatal Medicine</t>
  </si>
  <si>
    <t>International Academy of Perinatal Medicine Staff; Saling, Erich; äger, Monika; Stupin, Jens H.</t>
  </si>
  <si>
    <t>Essential Guide to Food Additives</t>
  </si>
  <si>
    <t>Saltmarsh, M.; Barlow, Sue; Richardson, Vanessa; Robin, Anne-Laure; Jukes, D.J.</t>
  </si>
  <si>
    <t>Gastroesophageal Reflux Disease</t>
  </si>
  <si>
    <t>Orlando, Roy C.</t>
  </si>
  <si>
    <t>Treating Psychosis : A Clinician's Guide to Integrating Acceptance and Commitment Therapy, Compassion-Focused Therapy, and Mindfulness Approaches Within the Cognitive Behavioral Therapy Tradition</t>
  </si>
  <si>
    <t>Kelly, Owen P.; Jacobs, Andrew M.; Wright, Nicola P.; Beck, Aaron T.; Turkington, Douglas; Davies, David; Hopton, Jennifer</t>
  </si>
  <si>
    <t>Fundamentals of Health Care Financial Management : A Practical Guide to Fiscal Issues and Activities, 4th Edition</t>
  </si>
  <si>
    <t>On Birth and Madness</t>
  </si>
  <si>
    <t>Eric Rhode Ebook</t>
  </si>
  <si>
    <t>Rhode, Eric</t>
  </si>
  <si>
    <t>On Hallucination, Intuition, and the Becoming of O</t>
  </si>
  <si>
    <t>Rhode, Eric; Nachmani, Gilead</t>
  </si>
  <si>
    <t>Davis's Drug Guide for Nurses</t>
  </si>
  <si>
    <t>Vallerand, April; Sanoski, Cynthia; Deglin, Judith Hopfer</t>
  </si>
  <si>
    <t>Patient Safety and Healthcare Improvement at a Glance</t>
  </si>
  <si>
    <t>Panesar, Sukhmeet; Carson-Stevens, Andrew; Salvilla, Sarah; Sheikh, Aziz</t>
  </si>
  <si>
    <t>Introduction to Population Pharmacokinetic / Pharmacodynamic Analysis with Nonlinear Mixed Effects Models</t>
  </si>
  <si>
    <t>Owen, Joel S.; Fiedler-Kelly, Jill</t>
  </si>
  <si>
    <t>Disinfection of Root Canal Systems : The Treatment of Apical Periodontitis</t>
  </si>
  <si>
    <t>Cohenca, Nestor</t>
  </si>
  <si>
    <t>Comprehensive Evidence Based Interventions for Children and Adolescents</t>
  </si>
  <si>
    <t>Alfano, Candice A.; Beidel, Deborah C.</t>
  </si>
  <si>
    <t>Truth About Opium : Being a Refutation of the Fallacies of the Anti-Opium Society and a Defence of the Indo-China Opium Trade</t>
  </si>
  <si>
    <t>The Floating Press</t>
  </si>
  <si>
    <t>Brereton, William H.</t>
  </si>
  <si>
    <t>Palliative Care Nursing, Fourth Edition : Quality Care to the End of Life</t>
  </si>
  <si>
    <t>Marianne Matzo PhD, FAAN; Deborah Witt Sherman PhD, FAAN; Marianne Matzo Phd, Faan; Deborah Witt Sherman Phd, Faan</t>
  </si>
  <si>
    <t>Advanced Biomaterials and Biodevices</t>
  </si>
  <si>
    <t>Tiwari, Ashutosh; Nordin, Anis N.; Nordin, Anis N</t>
  </si>
  <si>
    <t>Advances in Health Care Organization Theory</t>
  </si>
  <si>
    <t>Mick, Stephen S.; Shay, Patrick D.; Goldberg, Debora</t>
  </si>
  <si>
    <t>Mineral Trioxide Aggregate : Properties and Clinical Applications</t>
  </si>
  <si>
    <t>Torabinejad, Mahmoud</t>
  </si>
  <si>
    <t>Public Health Management of Disasters : The Practice Guide</t>
  </si>
  <si>
    <t>Landesman, Linda Young</t>
  </si>
  <si>
    <t>pHealth 2014 : Proceedings of the 11th International Conference on Wearable Micro and Nano Technologies for Personalized Health, 11–13 June 2014, Vienna, Austria</t>
  </si>
  <si>
    <t>Blobel, B.; Sauermann, S.; Mense, A.</t>
  </si>
  <si>
    <t>Annual Review of Cybertherapy and Telemedicine 2014 : Positive Change: Connecting the Virtual and the Real</t>
  </si>
  <si>
    <t>Traumatised and Non-Traumatised States of the Personality : A Clinical Understanding Using Bion's Approach</t>
  </si>
  <si>
    <t>Drug Metabolism Prediction</t>
  </si>
  <si>
    <t>Mannhold, Raimund; Kubinyi, Hugo; Folkers, Gerd; Kirchmair, Johannes</t>
  </si>
  <si>
    <t>Therapeutic Delivery Solutions</t>
  </si>
  <si>
    <t>Chan, Chung Chow; Chow, Kwok; McKay, Bill; Fung, Michelle</t>
  </si>
  <si>
    <t>Unseen Enemy : The English, Disease, and Medicine in Colonial Bengal, 1617 – 1847</t>
  </si>
  <si>
    <t>Bhattacharya, Sudip</t>
  </si>
  <si>
    <t>Information for Mental Health Providers working with Children who have chronic Illnesses</t>
  </si>
  <si>
    <t>Nabors, Laura</t>
  </si>
  <si>
    <t>Treating Addictions With EMDR Therapy and the Stages of Change</t>
  </si>
  <si>
    <t>Nancy Abel LCSW, LADC; O'Brien, John, PhD; Nancy Abel Lcsw, Ladc</t>
  </si>
  <si>
    <t>Spiritual Competency in Psychotherapy</t>
  </si>
  <si>
    <t>Brownell, Philip, Dr., M.Div., Psy.D.; Dr Philip Brownell M DIV, Psy D</t>
  </si>
  <si>
    <t>From Health Behaviours to Health Practices : Critical Perspectives</t>
  </si>
  <si>
    <t>Cohn, Simon</t>
  </si>
  <si>
    <t>Adult Psychopathology and Diagnosis</t>
  </si>
  <si>
    <t>Beidel, Deborah C.; Frueh, B. Christopher; Hersen, Michel</t>
  </si>
  <si>
    <t>Global New Drug Development : An Introduction</t>
  </si>
  <si>
    <t>Rosier, Jan A.; Martens, Mark A.; Thomas, Josse R.</t>
  </si>
  <si>
    <t>The Newborn in the Intensive Care Unit : A Neuropsychoanalytic Prevention Model: Revised Edition</t>
  </si>
  <si>
    <t>Negri, Romana</t>
  </si>
  <si>
    <t>Nursing Rural America : Perspectives From the Early 20th Century</t>
  </si>
  <si>
    <t>Kirchgessner, John; Keeling, Arlene; John Kirchgessner Phd, Rn; Arlene Keeling Phd, Rn</t>
  </si>
  <si>
    <t>Introduction to Public Health, Second Edition : Promises and Practice</t>
  </si>
  <si>
    <t>Goldsteen, Raymond L., DrPH; Goldsteen, Karen, PhD, MPH; Dwelle, Terry L; Drph, Raymond L Goldsteen; Karen Goldsteen Phd, Mph</t>
  </si>
  <si>
    <t>Dermatology for the Advanced Practice Nurse</t>
  </si>
  <si>
    <t>Lyons, Faye; Ousley, Lisa; Faye Lyons Dnp, Rn; Lisa Ousley Dnp, Rn</t>
  </si>
  <si>
    <t>Carers’ Stories : Walking Alongside a Person with Dementia</t>
  </si>
  <si>
    <t>Constable, Gill</t>
  </si>
  <si>
    <t>Analyzing Markets for Health Workers : Insights from Labor and Health Economics</t>
  </si>
  <si>
    <t>McPake, Barbara; Scott, Anthony; Edoka, Ijeoma; Edoka, Ijeoma</t>
  </si>
  <si>
    <t>Footprints of the Nursing Profession : Current Trends and Emerging Issues in Ghana</t>
  </si>
  <si>
    <t>Aziato, Lydia; Kwashie, Adzo; Korsah, Kwadwo Ameyaw</t>
  </si>
  <si>
    <t>Chronic Non-communicable Diseases in Ghana : Multidisciplinary Perspectives</t>
  </si>
  <si>
    <t>Aikins, de-Graft; Agyei-Mensah, Samuel</t>
  </si>
  <si>
    <t>Antiretroviral Treatment in Sub-Saharan Africa : Challenges and Prospects</t>
  </si>
  <si>
    <t>OSSREA</t>
  </si>
  <si>
    <t>Fetene, Tizazu; Mesfin, Rahel</t>
  </si>
  <si>
    <t>Evaluating Systems of Care : The Comprehensive Community Mental Health Services for Children and Their Families Program. A Special Issue of children's Services: Social Policy, Research, and Practice</t>
  </si>
  <si>
    <t>Holden, E. Wayne; Brannan, Ana Maria</t>
  </si>
  <si>
    <t>Critical Reflections on Health Services Development in India : The Teleology of Disorder</t>
  </si>
  <si>
    <t>Nayar, Kesavan Rajasekharan</t>
  </si>
  <si>
    <t>Racial Prescriptions : Pharmaceuticals, Difference, and the Politics of Life</t>
  </si>
  <si>
    <t>Inda, Jonathan Xavier</t>
  </si>
  <si>
    <t>Clinical and Laboratory Manual of Dental Implant Abutments</t>
  </si>
  <si>
    <t>Shafie, Hamid R.</t>
  </si>
  <si>
    <t>Psychoanalytic Aspects of Assisted Reproductive Technology</t>
  </si>
  <si>
    <t>Mann, Mali</t>
  </si>
  <si>
    <t>Workplace Mental Health Manual for Nurse Managers</t>
  </si>
  <si>
    <t>Adams, Lisa Y.; Lisa y Adams Phd, Msc Rn</t>
  </si>
  <si>
    <t>Fundamentals of Health Promotion for Nurses</t>
  </si>
  <si>
    <t>Wills, Jane; Leach, Richard M; Wills, Department of Geography Jane</t>
  </si>
  <si>
    <t>Nursing; Health</t>
  </si>
  <si>
    <t>Interpreting Lung Function Tests : A Step-By Step Guide</t>
  </si>
  <si>
    <t>Thompson, Bruce R.; Borg, Brigitte M.; O'Hehir, Robyn E.</t>
  </si>
  <si>
    <t>Orthopaedic and Trauma Nursing : An Evidence-based Approach to Musculoskeletal Care</t>
  </si>
  <si>
    <t>Clarke, Sonya; Santy-Tomlinson, Julie</t>
  </si>
  <si>
    <t>Older People with Visual Impairment  Clinical Management and Care</t>
  </si>
  <si>
    <t>Access to and Effects of Social Protection on Workers Living with HIV and Their Households : An Analytical Report</t>
  </si>
  <si>
    <t>ILO</t>
  </si>
  <si>
    <t>International Institute of Labour Studies</t>
  </si>
  <si>
    <t>Selection and Use of Essential Medicines : Report of the WHO Expert Committee 2013 (including the 18th WHO Model List of Essential Medicines and the 4th WHO Model List for Children)</t>
  </si>
  <si>
    <t>WHO Expert Committee on Specifications for Pharmaceutical Preparations : Forty-eighth Meeting Report</t>
  </si>
  <si>
    <t>Differential Diagnosis for the Advanced Practice Nurse</t>
  </si>
  <si>
    <t>Jensen, Marilee Murphy; Rhoads, Jacqueline</t>
  </si>
  <si>
    <t>Introduction to Reference Sources in the Health Sciences, Sixth Edition</t>
  </si>
  <si>
    <t>Huber, Jeffrey T.; Swogger, Susan</t>
  </si>
  <si>
    <t>Multiple Sclerosis and CNS Inflammatory Disorders</t>
  </si>
  <si>
    <t>Samkoff, Lawrence M.; Goodman, Andrew D.; Goodman, Andrew D</t>
  </si>
  <si>
    <t>Global Health in Africa : Historical Perspectives on Disease Control</t>
  </si>
  <si>
    <t>Ohio University Press</t>
  </si>
  <si>
    <t>Giles-Vernick, Tamara; Webb Jr., James L. A.</t>
  </si>
  <si>
    <t>The History of Blood Transfusion in Sub-Saharan Africa</t>
  </si>
  <si>
    <t>Black Skin, White Coats : Nigerian Psychiatrists, Decolonization, and the Globalization of Psychiatry</t>
  </si>
  <si>
    <t>Heaton, Matthew M.</t>
  </si>
  <si>
    <t>Healing Traditions : African Medicine, Cultural Exchange, and Competition in South Africa, 1820–1948</t>
  </si>
  <si>
    <t>Flint, Karen E.</t>
  </si>
  <si>
    <t>Making and Unmaking Public Health in Africa : Ethnographic and Historical Perspectives</t>
  </si>
  <si>
    <t>Prince, Ruth J.; Marsland, Rebecca</t>
  </si>
  <si>
    <t>Radiology Handbook : A Pocket Guide to Medical Imaging</t>
  </si>
  <si>
    <t>Benseler, J. S.; Brose, John A.</t>
  </si>
  <si>
    <t>Mad Dogs and Meerkats : A History of Resurgent Rabies in Southern Africa</t>
  </si>
  <si>
    <t>Brown, Karen</t>
  </si>
  <si>
    <t>Family Practice Stories : Memories, Reflections, and Stories of Hoosier Family Doctors of the Mid-Twentieth Century</t>
  </si>
  <si>
    <t>Indiana Historical Society</t>
  </si>
  <si>
    <t>Feldman, Richard; Feldman, Richard</t>
  </si>
  <si>
    <t>'Greek' and 'Roman' in Latin Medical Texts : Studies in Cultural Change and Exchange in Ancient Medicine</t>
  </si>
  <si>
    <t>Maire, Brigitte</t>
  </si>
  <si>
    <t>Structure-Based Design of Drugs and Other Bioactive Molecules : Tools and Strategies</t>
  </si>
  <si>
    <t>Ghosh, Arun K.; Gemma, Sandra</t>
  </si>
  <si>
    <t>Improving Dementia Long-Term Care : A Policy Blueprint</t>
  </si>
  <si>
    <t>Shih, Regina A.; Concannon, Thomas W.; Liu, Jodi L.; Friedman, Esther M.</t>
  </si>
  <si>
    <t>Suzanne NoÃ«l: Cosmetic Surgery, Feminism and Beauty in Early Twentieth-Century France</t>
  </si>
  <si>
    <t>Martin, Paula J.; Cunningham, Dr Andrew; Grell, Professor Ole Peter</t>
  </si>
  <si>
    <t>Nursing Research Using Grounded Theory : Qualitative Designs and Methods in Nursing</t>
  </si>
  <si>
    <t>De Chesnay, Mary; Mary De Chesnay Phd, Rn</t>
  </si>
  <si>
    <t>Nursing Research Using Ethnography : Qualitative Designs and Methods in Nursing</t>
  </si>
  <si>
    <t>De Chesnay, Mary</t>
  </si>
  <si>
    <t>Introduction to Community and Public Health</t>
  </si>
  <si>
    <t>Sharma, Manoj; Branscum, Paul W.; Atri, Ashutosh</t>
  </si>
  <si>
    <t>Textbook of Organ Transplantation Set</t>
  </si>
  <si>
    <t>Kirk, Allan D.; Knechtle, Stuart J.; Larsen, Christian P.; Madsen, Joren C.; Pearson, Thomas C.; Webber, Steven A.</t>
  </si>
  <si>
    <t>Health Promoting Schools  2, Africa</t>
  </si>
  <si>
    <t>Stewart, Donald; Macnab, Andrew; Gagnon, Faith</t>
  </si>
  <si>
    <t>Lean in Healthcare</t>
  </si>
  <si>
    <t>Radnor, Zoe; Robinson, Suzanne; Dickinson, Helen</t>
  </si>
  <si>
    <t>The Proceedings of the 19th Annual History of Medicine Days Conference 2010 : The University of Calgary Faculty of Medicine, Alberta, Canada</t>
  </si>
  <si>
    <t>Stahnisch, Frank W.; Lucyck,  Kelsey; Stahnisch, Frank W.</t>
  </si>
  <si>
    <t>Geriatric Dentistry : Caring for Our Aging Population</t>
  </si>
  <si>
    <t>Friedman, Paula K.</t>
  </si>
  <si>
    <t>Molecular Plasmonics</t>
  </si>
  <si>
    <t>Fritzsche, Wolfgang; de la Chapelle, Marc Lamy</t>
  </si>
  <si>
    <t>Science: Physics; Medicine; Science; Pharmacy</t>
  </si>
  <si>
    <t>Molecular Immunotoxicology</t>
  </si>
  <si>
    <t>Corsini, Emanuela; Van Loveren, Henk</t>
  </si>
  <si>
    <t>The Buddha and the Baby : Psychotherapy and Meditation in Working with Children and Adults</t>
  </si>
  <si>
    <t>Group Psychotherapy : The Psycho-Analytic Approach</t>
  </si>
  <si>
    <t>Anthony, E.J.; Foulkes, S.H.</t>
  </si>
  <si>
    <t>Vascular Function and Structure in the Rat Aorta</t>
  </si>
  <si>
    <t>Ng, Keith Wan Kee; Wan, Keith</t>
  </si>
  <si>
    <t>Achieving High Quality Care : Practical Experience from NICE</t>
  </si>
  <si>
    <t>Leng, Gillian; Moore, Val; Abraham, Sasha</t>
  </si>
  <si>
    <t>In and Out Anorexia : Story of Client Therapist and Recovery</t>
  </si>
  <si>
    <t>Ronen, Tammie; Polster, Ayelet; Ayelet,; Mahoney, Michael</t>
  </si>
  <si>
    <t>Nursing Research Using Life History : Qualitative Designs and Methods in Nursing</t>
  </si>
  <si>
    <t>Aboriginal and Torres Strait Islander Health</t>
  </si>
  <si>
    <t>In Vivo Models for Drug Discovery</t>
  </si>
  <si>
    <t>Maldonado, Rafael; Hamon, Michel; Vela, José Miguel; Mannhold, Raimund; Kubinyi, Hugo; Folkers, Gerd; Vela, Jose M; Maldonado, Rafael; Hamon, Michel; Mannhold, Raimund</t>
  </si>
  <si>
    <t>Vestibular Rehabilitation</t>
  </si>
  <si>
    <t>Herdman, Susan; Clendaniel, Richard; Steele, Rose</t>
  </si>
  <si>
    <t>Physical Agents : Theory and Practice</t>
  </si>
  <si>
    <t>Behrens, Barbara; Beinert, Holly</t>
  </si>
  <si>
    <t>Nutrition and Diet Therapy</t>
  </si>
  <si>
    <t>Lutz, Carol; Mazur, Erin; Litch, Nancy</t>
  </si>
  <si>
    <t>Moving toward Universal Coverage of Social Health Insurance in Vietnam : Assessment and Options</t>
  </si>
  <si>
    <t>Somanathan, Aparnaa; Tandon, Ajay; Dao, Huong Lan; Huong, Lan Dao; Hurt, Kari; Fuenzalida-Puelma, Hernan L.</t>
  </si>
  <si>
    <t>Universal Health Coverage for Inclusive and Sustainable Development : A Synthesis of 11 Country Case Studies</t>
  </si>
  <si>
    <t>Maeda, Akiko; Araujo, Edson; Cashin, Cheryl; Ikegami, Naoki; Reich, Michael</t>
  </si>
  <si>
    <t>Drug Discovery for the Treatment of Addiction : Medicinal Chemistry Strategies</t>
  </si>
  <si>
    <t>Fulton, Brian S.</t>
  </si>
  <si>
    <t>Occupational Therapy in Psychiatry and Mental Health</t>
  </si>
  <si>
    <t>Crouch, Rosemary; Alers, Vivyan</t>
  </si>
  <si>
    <t>From Broken Attachments to Earned Security : The Role of Empathy in Therapeutic Change</t>
  </si>
  <si>
    <t>Odgers, Andrew</t>
  </si>
  <si>
    <t>Good Shrink/Bad Shrink</t>
  </si>
  <si>
    <t>Kluft, Richard P.</t>
  </si>
  <si>
    <t>Peripheral Nerve Disorders : Pathology and Genetics</t>
  </si>
  <si>
    <t>Vallat, Jean-Michel; Weis, Joachim; Weis, Joachim; Vallat, Jean-Michel; Weis, Joachim</t>
  </si>
  <si>
    <t>Surviving Post-Natal Depression : At Home No One Hears You Scream</t>
  </si>
  <si>
    <t>Aiken, Cara; Brockington, Ian F.</t>
  </si>
  <si>
    <t>Raising a Child with Autism : A Guide to Applied Behavior Analysis for Parents</t>
  </si>
  <si>
    <t>Asperger Syndrome, the Universe and Everything : Kenneth's Book</t>
  </si>
  <si>
    <t>Hall, Kenneth; Kerr, Ken P.</t>
  </si>
  <si>
    <t>Transfusion-Free Medicine and Surgery</t>
  </si>
  <si>
    <t>Jabbour, Nicolas</t>
  </si>
  <si>
    <t>Curandero : A Life in Mexican Folk Healing</t>
  </si>
  <si>
    <t>Torres, Eliseo “Cheo”; Sawyer, Timothy L.</t>
  </si>
  <si>
    <t>Healing with Herbs and Rituals : A Mexican Tradition</t>
  </si>
  <si>
    <t>Tortillas : A Cultural History</t>
  </si>
  <si>
    <t>Morton, Paula E.</t>
  </si>
  <si>
    <t>Student Survival Skills : Study Skills for Nurses</t>
  </si>
  <si>
    <t>Handbook of Therapeutic Antibodies</t>
  </si>
  <si>
    <t>Dübel, Stefan; Reichert, Janice M.; D?bel, Stefan</t>
  </si>
  <si>
    <t>Evaluation Beyond Exams in Nursing Education : Designing Assignments and Evaluating With Rubrics</t>
  </si>
  <si>
    <t>Dennison, Robin Donohoe; Dempsey, Anita; Rosselli, John</t>
  </si>
  <si>
    <t>EMDR Toolbox : Theory and Treatment of Complex PTSD and Dissociation</t>
  </si>
  <si>
    <t>Knipe, James, PhD</t>
  </si>
  <si>
    <t>Nursing Diagnoses : Definitions and Classification, 2015-17</t>
  </si>
  <si>
    <t>NANDA International Staff</t>
  </si>
  <si>
    <t>Alternative Psychotherapies : Evaluating Unconventional Mental Health Treatments</t>
  </si>
  <si>
    <t>Mercer, Jean</t>
  </si>
  <si>
    <t>Medical Statistics : A Guide to SPSS, Data Analysis and Critical Appraisal</t>
  </si>
  <si>
    <t>Epidemics : The Story of South Africa’s Five Most Lethal Human Diseases</t>
  </si>
  <si>
    <t>Phillips, Howard</t>
  </si>
  <si>
    <t>The Enslaved Queen : A Memoir about Electricity and Mind Control</t>
  </si>
  <si>
    <t>Hoffman, Wendy</t>
  </si>
  <si>
    <t>Prostate Pathology</t>
  </si>
  <si>
    <t>Zynger, Debra; Parwani, Anil; Suster, Saul</t>
  </si>
  <si>
    <t>Health Literacy in Nursing : Providing Person-Centered Care</t>
  </si>
  <si>
    <t>Parnell, Terri</t>
  </si>
  <si>
    <t>Vital Conversations : Improving Communication Between Doctors and Patients</t>
  </si>
  <si>
    <t>Rosen, Dennis</t>
  </si>
  <si>
    <t>Prescribing at a Glance</t>
  </si>
  <si>
    <t>Ross, Sarah</t>
  </si>
  <si>
    <t>Critical Care Medicine at a Glance</t>
  </si>
  <si>
    <t>Leach, Richard M.</t>
  </si>
  <si>
    <t>Nursing Practice : Knowledge and Care</t>
  </si>
  <si>
    <t>Peate, Ian; Nair, Muralitharan; Wild, Karen; Peate, Ian; Wild, Karen; Nair, Muralitharan</t>
  </si>
  <si>
    <t>Communication Skills for Nurses</t>
  </si>
  <si>
    <t>Boyd, Claire; Dare, Janet</t>
  </si>
  <si>
    <t>High Throughput Analysis for Food Safety</t>
  </si>
  <si>
    <t>Wang, Perry G.; Vitha, Mark F.; Kay, Jack F.; Kay, Jack F</t>
  </si>
  <si>
    <t>Advanced Materials for Agriculture, Food and Environmental Safety</t>
  </si>
  <si>
    <t>Tiwari, Ashutosh; Syväjärvi, Mikael; Syvajarvi, Mikael</t>
  </si>
  <si>
    <t>Applied Biophysics of Activated Water : The Physical Properties, Biological Effects and Medical Applications of Mret Activated Water</t>
  </si>
  <si>
    <t>Vysotskii, Vladimir I.; Kornilova, Alla A.; Smirnov, Igor V.</t>
  </si>
  <si>
    <t>Novel Antimicrobial Agents and Strategies</t>
  </si>
  <si>
    <t>Phoenix, David A.; Harris, Frederick; Dennison, Sarah R.</t>
  </si>
  <si>
    <t>War Trauma and its Aftermath : An International Perspective on the Balkan and Gulf Wars</t>
  </si>
  <si>
    <t>French, Laurence Armand; Nikolic-Novakovic, Lidija</t>
  </si>
  <si>
    <t>Fundamentals of Palliative Care for Student Nurses</t>
  </si>
  <si>
    <t>Rosser, Megan; Walsh, Helen</t>
  </si>
  <si>
    <t>Introduction to Health Promotion</t>
  </si>
  <si>
    <t>Snelling, Anastasia M.</t>
  </si>
  <si>
    <t>Handbook of Treatment Planning in Radiation Oncology</t>
  </si>
  <si>
    <t>Videtic, Gregory; Woody, Neil; Woody, Neil</t>
  </si>
  <si>
    <t>Inorganic Biomaterials : Structure, Properties and Applications</t>
  </si>
  <si>
    <t>Zhang, Xiang C.</t>
  </si>
  <si>
    <t>WHO Recommendations for Augmentation of Labour</t>
  </si>
  <si>
    <t>Death, Dying and Bereavement : Issues for Practice</t>
  </si>
  <si>
    <t>Dunedin Academic Press</t>
  </si>
  <si>
    <t>Watts, Jacqueline H.</t>
  </si>
  <si>
    <t>Safe Management of Wastes from Health-care Activities : A Practical Guide</t>
  </si>
  <si>
    <t>Y., Chartier; J., Emmanuel; U., Pieper; World Health Organization, ; Pruss, A. ; Rushbrook, P. ; Stringer, R.</t>
  </si>
  <si>
    <t>Disabling Perversions : Forensic Psychotherapy with People with Intellectual Disabilities</t>
  </si>
  <si>
    <t>Corbett, Alan</t>
  </si>
  <si>
    <t>Time for Change : Tracking Transformations in Psychoanalysis - the Three-Level Model</t>
  </si>
  <si>
    <t>Altmann de Litvan, Marina</t>
  </si>
  <si>
    <t>DNA Methods in Food Safety : Molecular Typing of Foodborne and Waterborne Bacterial Pathogens</t>
  </si>
  <si>
    <t>Oyarzabal, Omar A.; Kathariou, Sophia</t>
  </si>
  <si>
    <t>Forensic Reports and Testimony : A Guide to Effective Communication for Psychologists and Psychiatrists</t>
  </si>
  <si>
    <t>Otto, Randy K.; DeMier, Richart; Boccaccini, Marcus</t>
  </si>
  <si>
    <t>Born to a Changing World : Childbirth in Nineteenth-Century New Zealand</t>
  </si>
  <si>
    <t>Bridget Williams Books</t>
  </si>
  <si>
    <t>Clarke, Alison</t>
  </si>
  <si>
    <t>Last of His Mind : A Year in the Shadow of Alzheimer's</t>
  </si>
  <si>
    <t>Swallow Press</t>
  </si>
  <si>
    <t>Thorndike, John</t>
  </si>
  <si>
    <t>Asylum on the Hill : History of A Healing Landscape</t>
  </si>
  <si>
    <t>Ziff, Katherine</t>
  </si>
  <si>
    <t>The Children of Africa Confront AIDS : From Vulnerability to Possibility</t>
  </si>
  <si>
    <t>Singhal, Arvind; Howard, W Stephen</t>
  </si>
  <si>
    <t>Building a Culture of Patient Safety Through Simulation : An Interprofessional Learning Model</t>
  </si>
  <si>
    <t>Gallo, Kathleen; Smith, Lawrence G.; Kathleen Gallo Phd, Mba Rn; Lawrence G Smith MD, Macp</t>
  </si>
  <si>
    <t>Medical Cultures of the Early Modern Spanish Empire</t>
  </si>
  <si>
    <t>Slater, John; LÃ³pez-Terrada, MarÃ­aluz; Pardo-TomÃ¡s, JosÃ©; Cruz, Dr Anne J</t>
  </si>
  <si>
    <t>Fast Facts for the Medical- Surgical Nurse : Clinical Orientation in a Nutshell</t>
  </si>
  <si>
    <t>Ciocco, Margaret</t>
  </si>
  <si>
    <t>Cognitive Behavioral Group Therapy : Challenges and Opportunities</t>
  </si>
  <si>
    <t>Sochting, Ingrid</t>
  </si>
  <si>
    <t>Concepts and Methods in Infectious Disease Surveillance</t>
  </si>
  <si>
    <t>M'ikanatha, Nkuchia M.; Iskander, John; M'Ikanatha, Nkuchia M; Iskander, John</t>
  </si>
  <si>
    <t>Living with the Reality of Dissociative Identity Disorder : Campaigning Voices</t>
  </si>
  <si>
    <t>Bowlby, Xenia; Briggs, Deborah</t>
  </si>
  <si>
    <t>Potential Not Pathology : Helping Your Clients Transform Using Ericksonian Psychotherapy</t>
  </si>
  <si>
    <t>J. Leslie, Paul</t>
  </si>
  <si>
    <t>The Body Speaks : Body Image Delusions and Hypochondria</t>
  </si>
  <si>
    <t>Psychiatric Nursing : Assessment, Care Plans, and Medications</t>
  </si>
  <si>
    <t>Townsend, Mary</t>
  </si>
  <si>
    <t>Psychiatric Mental Health Nursing : Concepts of Care in Evidence-Based Practice</t>
  </si>
  <si>
    <t>Surgical Notes : A Pocket Survival Guide to the Operating Room</t>
  </si>
  <si>
    <t>Sheets, Susan</t>
  </si>
  <si>
    <t>General and Oral Pathology for Dental Hygiene Practice</t>
  </si>
  <si>
    <t>Myers, Sandra; Curran, Alice</t>
  </si>
  <si>
    <t>How Talking Cures : Revealing Freud's Contributions to All Psychotherapies</t>
  </si>
  <si>
    <t>Jaffe, Lee</t>
  </si>
  <si>
    <t>Cone Beam Computed Tomography in Orthodontics : Indications, Insights, and Innovations</t>
  </si>
  <si>
    <t>Kapila, Sunil</t>
  </si>
  <si>
    <t>Warrior Renew : Healing From Military Sexual Trauma</t>
  </si>
  <si>
    <t>Katz, Lori; Hammerslough, Jane</t>
  </si>
  <si>
    <t>Starting Out in Statistics : An Introduction for Students of Human Health, Disease, and Psychology</t>
  </si>
  <si>
    <t>de Winter, Patricia; Cahusac, Peter M. B.</t>
  </si>
  <si>
    <t>Social Science; Health; General Works/Reference</t>
  </si>
  <si>
    <t>Great Myths of Aging</t>
  </si>
  <si>
    <t>Erber, Joan T.; Szuchman, Lenore T.</t>
  </si>
  <si>
    <t>Cancer Consult : Expertise for Clinical Practice</t>
  </si>
  <si>
    <t>Abutalib, Syed A.; Markman, MD, Maurie; Abutalib, Syed A; Markman, Dr Maurie</t>
  </si>
  <si>
    <t>Neonatal Formulary : Drug Use in Pregnancy and the First Year of Life (7th Edition)</t>
  </si>
  <si>
    <t>Ainsworth, Sean B.</t>
  </si>
  <si>
    <t>Introductory Lectures on Lacan</t>
  </si>
  <si>
    <t>Gessert, Astrid</t>
  </si>
  <si>
    <t>Ego Damage and Repair : Toward a Psychodynamic Neurology</t>
  </si>
  <si>
    <t>Allan Hobson, J.</t>
  </si>
  <si>
    <t>Downwind : A People's History of the Nuclear West</t>
  </si>
  <si>
    <t>UNP - Bison Books</t>
  </si>
  <si>
    <t>Fox, Sarah Alisabeth</t>
  </si>
  <si>
    <t>Health; Environmental Studies; Economics; Social Science</t>
  </si>
  <si>
    <t>Strength-Based Clinical Supervision : A Positive Psychology Approach to Clinical Training</t>
  </si>
  <si>
    <t>Wade, John; Jones, Janice</t>
  </si>
  <si>
    <t>Clinical Consult to Psychiatric Nursing for Advanced Practice</t>
  </si>
  <si>
    <t>Rhoads, Jacqueline; Murphy, Patrick</t>
  </si>
  <si>
    <t>Technology, Communication, Disparities and Government Options in Health and Health Care Services</t>
  </si>
  <si>
    <t>Learning the Language of Addiction Counseling</t>
  </si>
  <si>
    <t>Miller, Geri; Miller, Geraldine A</t>
  </si>
  <si>
    <t>Philanthropy for Health in China</t>
  </si>
  <si>
    <t>Ryan, Jennifer; C. Chen, Lincoln; Saich, Tony</t>
  </si>
  <si>
    <t>Histories of Health in Southeast Asia : Perspectives on the Long Twentieth Century</t>
  </si>
  <si>
    <t>Harper, Tim; S. Amrith, Sunil</t>
  </si>
  <si>
    <t>Medical Transitions in Twentieth-Century China</t>
  </si>
  <si>
    <t>Andrews, Bridie; Brown Bullock, Mary</t>
  </si>
  <si>
    <t>Health, Illness and Disease : Philosophical Essays</t>
  </si>
  <si>
    <t>Carel, Havi; Cooper, Rachel</t>
  </si>
  <si>
    <t>Careers in Health Information Technology</t>
  </si>
  <si>
    <t>Malec, Brian, Dr., PhD; Malec, Brian T., PhD; Wyant, David, PhD; Cortelyou-Ward, Kendall, PhD</t>
  </si>
  <si>
    <t>Curriculum Development and Evaluation in Nursing, Third Edition</t>
  </si>
  <si>
    <t>Keating, Sarah B., MPH, EdD, RN, C-PNP, FAAN</t>
  </si>
  <si>
    <t>Patient Safety Culture : Theory, Methods and Application</t>
  </si>
  <si>
    <t>Waterson, Patrick, Dr</t>
  </si>
  <si>
    <t>Practical Approach to Movement Disorders : Diagnosis and Management</t>
  </si>
  <si>
    <t>Fernandez, Hubert; Machado, Andre; Pandya, Mayur; Pandya, Mayur</t>
  </si>
  <si>
    <t>Pregnancy and Parenthood : The Views and Experiences of Young People in Public Care</t>
  </si>
  <si>
    <t>Corlyon, Judith; McGuire, Christine</t>
  </si>
  <si>
    <t>Involving Young People in Teenage Pregnancy and Sexual Health Work : A Practical Guide</t>
  </si>
  <si>
    <t>Lewis, Ellie</t>
  </si>
  <si>
    <t>Asperger Syndrome (Autism Spectrum Disorder) and Long-Term Relationships : Fully Revised and Updated with DSM-5® Criteria Second Edition</t>
  </si>
  <si>
    <t>Stanford, Ashley; Willey, Liane Holliday</t>
  </si>
  <si>
    <t>DNP Capstone Projects : Exemplars of Excellence in Practice</t>
  </si>
  <si>
    <t>Anderson, Barbara A.; Knestrick, Joyce M.; Barroso, Rebeca</t>
  </si>
  <si>
    <t>Solving Executive Function Challenges : Simple Ways to Get Kids with Autism Unstuck and on Target</t>
  </si>
  <si>
    <t>Brookes Publishing</t>
  </si>
  <si>
    <t>Kenworthy, Lauren; Anthony, Laura; Alexander, Katie; Werner, Monica; Cannon, Lynn; Greenman, Lisa</t>
  </si>
  <si>
    <t>Introduction to Clinical Methods in Communication Disorders, Third Edition</t>
  </si>
  <si>
    <t>Paul, Rhea; Paul, Rhea , PhD</t>
  </si>
  <si>
    <t>The Speech-Language Pathologist's Handbook for Inclusive School Practice</t>
  </si>
  <si>
    <t>Causton, Julie; Tracy-Bronson, Chelsea; Schwarz, Patrick</t>
  </si>
  <si>
    <t>Children with Disabilities, Seventh Edition</t>
  </si>
  <si>
    <t>Batshaw, Mark; Roizen, Nancy; Lotrecchiano, Gaetano</t>
  </si>
  <si>
    <t>Orthodontically Driven Corticotomy : Tissue Engineering to Enhance Orthodontic and Multidisciplinary Treatment</t>
  </si>
  <si>
    <t>Brugnami, Federico; Caiazzo, Alfonso</t>
  </si>
  <si>
    <t>Fast Facts for the Pediatric Nurse : An Orientation Guide in a Nutshell</t>
  </si>
  <si>
    <t>Rupert, Diana; Young, Kathleen; Diana Rupert Phd, Rn; Kathleen Young Msn, Rn</t>
  </si>
  <si>
    <t>Laryngology</t>
  </si>
  <si>
    <t>Bhattacharyya, Abir k; Nerurkar, Nupur Kapoor</t>
  </si>
  <si>
    <t>Passing the FRCR Part 1 : Cracking Anatomy</t>
  </si>
  <si>
    <t>Moore, Niall</t>
  </si>
  <si>
    <t>Liver Pathology</t>
  </si>
  <si>
    <t>Xiao, Shu-Yuan; Oshima, Kiyoko</t>
  </si>
  <si>
    <t>Physical Medicine and Rehabilitation Patient-Centered Care : Mastering the Competencies</t>
  </si>
  <si>
    <t>Cristian, Adrian; Batmangelich, Sorush; Batmangelich, Sorush</t>
  </si>
  <si>
    <t>Depression, Emotion and the Self : Philosophical and Interdisciplinary Perspectives</t>
  </si>
  <si>
    <t>Ratcliffe, Matthew; Stephan, Achim</t>
  </si>
  <si>
    <t>Pioneering Theories in Nursing</t>
  </si>
  <si>
    <t>Snowden, Austyn; Donnell, Allan; Duffy, Tim</t>
  </si>
  <si>
    <t>Reflection : Principles and Practices for Heathcare Professionals</t>
  </si>
  <si>
    <t>Ghaye, Tony; Lillyman, Sue</t>
  </si>
  <si>
    <t>The Complete Guide to Precision Reflexology 2nd Edition</t>
  </si>
  <si>
    <t>Williamson, Jan; Lamb, Peter</t>
  </si>
  <si>
    <t>Wilderness First Responder : How to Recognize, Treat, and Prevent Emergencies in the Backcountry</t>
  </si>
  <si>
    <t>Falcon Guides</t>
  </si>
  <si>
    <t>Tilton, Buck</t>
  </si>
  <si>
    <t>Wilderness Medicine : Beyond First Aid</t>
  </si>
  <si>
    <t>Forgey, William, M.D.; Forgey, William</t>
  </si>
  <si>
    <t>Health Program Management : From Development Through Evaluation</t>
  </si>
  <si>
    <t>Longest, Beaufort B., Jr.</t>
  </si>
  <si>
    <t>Ultrasonic Periodontal Debridement : Theory and Technique</t>
  </si>
  <si>
    <t>George, Marie D.; Preshaw, Phillip M.; Donley, Timothy G.; Preshaw, Philip M</t>
  </si>
  <si>
    <t>Misconception : Social Class and Infertility in America</t>
  </si>
  <si>
    <t>Bell, Ann V.</t>
  </si>
  <si>
    <t>ECG Workbook</t>
  </si>
  <si>
    <t>Rowlands, Angela; Sargent, Andrew</t>
  </si>
  <si>
    <t>Systematic Screening for Active Tuberculosis : Principles and Recommendations</t>
  </si>
  <si>
    <t>Data-Driven Healthcare : How Analytics and BI Are Transforming the Industry</t>
  </si>
  <si>
    <t>Madsen, Laura B.</t>
  </si>
  <si>
    <t>DSM-5 in Action</t>
  </si>
  <si>
    <t>To Improve Health and Health Care Vol XVI : The Robert Wood Johnson Foundation Anthology</t>
  </si>
  <si>
    <t>Isaacs, Stephen L.; Colby, David C.; Lavizzo-Mourey, Risa; Lavizzo-Mourey, Risa; Colby, Vice President of Policy David C</t>
  </si>
  <si>
    <t>Ethics and Neurodiversity</t>
  </si>
  <si>
    <t>Perry, Alexandra; Yankowski,  Anthony; Herrera, Chris</t>
  </si>
  <si>
    <t>Understanding Physiotherapy Research</t>
  </si>
  <si>
    <t>Littlewood, Chris; May, Stephen</t>
  </si>
  <si>
    <t>Nursing in Criminal Justice Services</t>
  </si>
  <si>
    <t>Norman, Ann; Walsh, Elizabeth</t>
  </si>
  <si>
    <t>Losing Tim : How Our Health and Education Systems Failed My Son with Schizophrenia</t>
  </si>
  <si>
    <t>Gionfriddo, Paul</t>
  </si>
  <si>
    <t>Early Intervention in Psychiatry : EI of Nearly Everything for Better Mental Health</t>
  </si>
  <si>
    <t>Byrne, Peter; Rosen, Alan; Byrne, Peter; Rosen, Alan</t>
  </si>
  <si>
    <t>Male Lower Urinary Tract Symptoms and Benign Prostatic Hyperplasia</t>
  </si>
  <si>
    <t>Kaplan, Steven A.; McVary, Kevin T.</t>
  </si>
  <si>
    <t>Pediatric Nursing : Content Review Plus Practice Questions:Content Review Plus Practice Questions</t>
  </si>
  <si>
    <t>Critical Care Notes : Clinical Pocket Guide</t>
  </si>
  <si>
    <t>Jones, Janice; Fix, Brenda</t>
  </si>
  <si>
    <t>12-Lead EKG Confidence, Third Edition : A Step-By-Step Guide</t>
  </si>
  <si>
    <t>Green, Jacqueline M., Ms., MS, RN, APN-C, CNS, CCRN; Chiaramida, Anthony J., Dr., MD, FACC; Jacqueline M Green MS, Rn; Anthony J Chiaramida MD, Facc</t>
  </si>
  <si>
    <t>Global Health Nursing : Narratives From the Field</t>
  </si>
  <si>
    <t>Harlan, Christina; Christina Harlan Ma, Rn</t>
  </si>
  <si>
    <t>Global Tuberculosis Report 2013</t>
  </si>
  <si>
    <t>Handbook on Health Inequality Monitoring : With a Special Focus on Low- and Middle-income Countries</t>
  </si>
  <si>
    <t>International Perspectives on Spinal Cord Injury</t>
  </si>
  <si>
    <t>World Health Organization; International Spinal Cord Society,</t>
  </si>
  <si>
    <t>Manual of Diagnostic Ultrasound Volume 2</t>
  </si>
  <si>
    <t>World Health Organization; World Federation for Ultrasound in Medicine and Biology,</t>
  </si>
  <si>
    <t>Safety Evaluation of Certain Food Additives and Contaminants : Seventy-seventh Meeting of the Joint FAO/WHO Expert Committee on Food Additives (JECFA)</t>
  </si>
  <si>
    <t>Trichiasis Surgery for Trachoma</t>
  </si>
  <si>
    <t>Textbook of Cortical Brain Stimulation</t>
  </si>
  <si>
    <t>Canavero, Sergio</t>
  </si>
  <si>
    <t>Psoriasis : Diagnosis and Management</t>
  </si>
  <si>
    <t>Sterry, Wolfram; Sabat, Robert; Philipp, Sandra</t>
  </si>
  <si>
    <t>Depression in the Elderly</t>
  </si>
  <si>
    <t>Runcan, Patricia-Luciana</t>
  </si>
  <si>
    <t>Psychology of Trauma 101</t>
  </si>
  <si>
    <t>Ruglass, Lesia, PhD; Kendall-Tackett, Kathleen, PhD</t>
  </si>
  <si>
    <t>Children's Speech Sound Disorders</t>
  </si>
  <si>
    <t>Bowen, Caroline</t>
  </si>
  <si>
    <t>Universal Health Coverage for Inclusive and Sustainable Development : Lessons from Japan</t>
  </si>
  <si>
    <t>Ikegami, Naoki; Ikegami, Naoki</t>
  </si>
  <si>
    <t>Key Notes on Plastic Surgery</t>
  </si>
  <si>
    <t>Richards, Adrian; Dafydd, Hywel; Dafydd, Hywel</t>
  </si>
  <si>
    <t>Art of Communication in Nursing and Health Care : An Interdisciplinary Approach</t>
  </si>
  <si>
    <t>Raphael-Grimm, Theresa</t>
  </si>
  <si>
    <t>Advanced Health Assessment of Women, Third Edition : Clinical Skills and Procedures</t>
  </si>
  <si>
    <t>Carcio, Helen, MS, MEd, ANP-BC; Secor, R. Mimi, MS, MEd, FNP-BC, NCMP, FAANP; Mimi Secor MS, Faanp; Helen Carcio MS, Anp-Bc; R Mimi Secor MS, Faanp</t>
  </si>
  <si>
    <t>Advancing Professional Nursing Practice : Relationship-Based Care and the ANA Standards of Professional Nursing Practice</t>
  </si>
  <si>
    <t>Glembocki, Margaret M; Fitzpatrick, Joyce J., PhD, MBA, RN, FAAN</t>
  </si>
  <si>
    <t>Cancer and its Management</t>
  </si>
  <si>
    <t>Hochhauser, Daniel</t>
  </si>
  <si>
    <t>Communication in Autism</t>
  </si>
  <si>
    <t>Arciuli, Joanne; Brock, Jon</t>
  </si>
  <si>
    <t>Handbook of Sports Medicine and Science, The Female Athlete : The Female Athlete</t>
  </si>
  <si>
    <t>Mountjoy, Margo</t>
  </si>
  <si>
    <t>Introduction to the US Food System : Public Health, Environment, and Equity</t>
  </si>
  <si>
    <t>Neff, Roni</t>
  </si>
  <si>
    <t>Substance Use and Older People</t>
  </si>
  <si>
    <t>Crome, Ilana; Crome, Peter; Rao, Tony; Crome, Peter; Rao, Rahul (Tony)</t>
  </si>
  <si>
    <t>Statistics with Confidence : Confidence Intervals and Statistical Guidelines</t>
  </si>
  <si>
    <t>Altman, Douglas; Machin, David; Bryant, Trevor; Gardner, Stephen; Gardner, Martin</t>
  </si>
  <si>
    <t>Children and Young People's Nursing at a Glance</t>
  </si>
  <si>
    <t>Glasper, Alan; Coad, Jane; Richardson, Jim; Coad, Jane</t>
  </si>
  <si>
    <t>Daily Practice of Compassion : A History of the University of New Mexico School of Medicine, Its People, and Its Mission, 1964-2014</t>
  </si>
  <si>
    <t>UNM School of Medicine</t>
  </si>
  <si>
    <t>Wang, Dora Calott; Carter, Shannan L.; University of New Mexico, School of Medicine Staff</t>
  </si>
  <si>
    <t>Biomaterials</t>
  </si>
  <si>
    <t>Migonney, Véronique; Migonney, Veronique; Migonney, Veronique</t>
  </si>
  <si>
    <t>Predictive Toxicology : From Vision to Reality, Volume 64</t>
  </si>
  <si>
    <t>Mannhold, Raimund; Kubinyi, Hugo; Folkers, Gerd; Pfannkuch, Friedlieb; Suter-Dick, Laura; Pfannkuch, Friedlieb; Suter-Dick, Laura; Mannhold, Raimund; Kubinyi, Hugo; Folkers, Gerd</t>
  </si>
  <si>
    <t>The Scourges of the South? Essays on “The Sickly South” in History, Literature, and Popular Culture</t>
  </si>
  <si>
    <t>Bjerre, Thomas Ærvold; Zawadka,  Beata</t>
  </si>
  <si>
    <t>Geographies of Health : An Introduction</t>
  </si>
  <si>
    <t>Gatrell, Anthony C.; Elliott, Susan J.</t>
  </si>
  <si>
    <t>Health, Communication and Multicultural Communities : Topics on Intercultural Communication for Healthcare Professionals</t>
  </si>
  <si>
    <t>Valero-Garcés, Carmen</t>
  </si>
  <si>
    <t>Critiquing Nursing Research</t>
  </si>
  <si>
    <t>Cutcliffe, John; Ward, Martin</t>
  </si>
  <si>
    <t>The Care Home Handbook</t>
  </si>
  <si>
    <t>Mulley, Graham; Bowman, Clive; Boyd, Michal; Stowe, Sarah</t>
  </si>
  <si>
    <t>Canine and Feline Anesthesia and Co-Existing Disease</t>
  </si>
  <si>
    <t>Snyder, Lindsey B.C.; Johnson, Rebecca A.; Snyder, Lindsey B C; Johnson, Rebecca A , PhD,</t>
  </si>
  <si>
    <t>Agriculture; Medicine</t>
  </si>
  <si>
    <t>Fish and Chips : A History</t>
  </si>
  <si>
    <t>Panayi, Panikos</t>
  </si>
  <si>
    <t>Statistical Thinking for Non-Statisticians in Drug Regulation</t>
  </si>
  <si>
    <t>Kay, Richard; Kay, R , Mbbs</t>
  </si>
  <si>
    <t>The Nurse Professional : Leveraging Your Education for Transition Into Practice</t>
  </si>
  <si>
    <t>Hunt, Deborah Dolan, PhD, MS, RN</t>
  </si>
  <si>
    <t>Neurocritical Care Monitoring</t>
  </si>
  <si>
    <t>Miller, Chad; Torbey, Michel; Wong, Nathan</t>
  </si>
  <si>
    <t>ASPC Manual of Preventive Cardiology</t>
  </si>
  <si>
    <t>Amsterdam, Ezra; Blumenthal, Roger; Wong, Nathan; Wong, Nathan</t>
  </si>
  <si>
    <t>Mental Health Nursing at a Glance</t>
  </si>
  <si>
    <t>Smith, Grahame</t>
  </si>
  <si>
    <t>Jones' Clinical Paediatric Surgery</t>
  </si>
  <si>
    <t>Hutson, John M.; O'Brien, Michael; Beasley, Spencer W.; Teague, Warwick J.; King, Sebastian K.</t>
  </si>
  <si>
    <t>Writing Skills in Practice : A Practical Guide for Health Professionals</t>
  </si>
  <si>
    <t>Williams, Diana; Williams, Dr D</t>
  </si>
  <si>
    <t>The Cognitive Behavioral Workbook for Anxiety : A Step-By-Step Program</t>
  </si>
  <si>
    <t>Knaus, William J.; Carlson, Jon</t>
  </si>
  <si>
    <t>Urgent Interventional Therapies</t>
  </si>
  <si>
    <t>Kipshidze, Nicholas; Fareed, Jawed; Rosen, Robert T.; Serruys, Patrick W.; Serruys, Patrick W.</t>
  </si>
  <si>
    <t>DSM-5 Learning Companion for Counselors</t>
  </si>
  <si>
    <t>American Counseling Association</t>
  </si>
  <si>
    <t>Dailey, Stephanie F.; Gill, Carmen S.; Karl, Shannon L.; Barrio Minton, Casey A.</t>
  </si>
  <si>
    <t>Global Health Watch 4 : An Alternative World Health Report</t>
  </si>
  <si>
    <t>People's Health Movement; Medact; Medico International; Third World Network; Health Action International; Asociación Latinoamericana de Medicina Social; Health Poverty Action</t>
  </si>
  <si>
    <t>Dr. John Harvey Kellogg and the Religion of Biologic Living</t>
  </si>
  <si>
    <t>Wilson, Brian C.</t>
  </si>
  <si>
    <t>Social Defences Against Anxiety : Explorations in a Paradigm</t>
  </si>
  <si>
    <t>Armstrong, David; Rustin, Michael</t>
  </si>
  <si>
    <t>Simulated Patient Methodology : Theory, Evidence and Practice</t>
  </si>
  <si>
    <t>Nestel, Debra; Bearman, Margaret</t>
  </si>
  <si>
    <t>Case Studies in Child, Adolescent, and Family Treatment</t>
  </si>
  <si>
    <t>LeCroy, Craig W.; Anthony, Elizabeth K.</t>
  </si>
  <si>
    <t>Troublesome Disguises : Managing Challenging Disorders in Psychiatry</t>
  </si>
  <si>
    <t>Bhugra, Dinesh; Malhi, Gin S.</t>
  </si>
  <si>
    <t>Population Health Management in Health Care Organizations</t>
  </si>
  <si>
    <t>Huerta, Timothy R.; Hefner, Jennifer L.; McAlearney, Ann Scheck</t>
  </si>
  <si>
    <t>Family Relationships and Familial Responses to Health Issues</t>
  </si>
  <si>
    <t>Blair, Sampson Lee; McCormick, Jennifer Higgins</t>
  </si>
  <si>
    <t>Family and Health : Evolving Needs, Responsibilities, and Experiences</t>
  </si>
  <si>
    <t>Bone and Joint Infections : From Microbiology to Diagnostics and Treatment</t>
  </si>
  <si>
    <t>Zimmerli, W.</t>
  </si>
  <si>
    <t>Bone Marrow Diagnosis : An Illustrated Guide</t>
  </si>
  <si>
    <t>Gatter, Kevin; Brown, David</t>
  </si>
  <si>
    <t>Clinical Dermatology</t>
  </si>
  <si>
    <t>Weller, Richard; Hunter, Hamish; Mann, Margaret W.</t>
  </si>
  <si>
    <t>Addictions from an Attachment Perspective : Do Broken Bonds and Early Trauma Lead to Addictive Behaviours?</t>
  </si>
  <si>
    <t>Gill, Richard</t>
  </si>
  <si>
    <t>Attention, Cooperation, Purpose : An Approach to Working in Groups Using Insights from Wilfred Bion</t>
  </si>
  <si>
    <t>French, Robert; Simpson, Peter</t>
  </si>
  <si>
    <t>Gastroenterology : Gastroenterology</t>
  </si>
  <si>
    <t>Sands, Bruce E.</t>
  </si>
  <si>
    <t>Fundamentals of Oral Histology and Physiology</t>
  </si>
  <si>
    <t>Hand, Arthur R.; Frank, Marion E.</t>
  </si>
  <si>
    <t>Gracey's Meat Hygiene</t>
  </si>
  <si>
    <t>Collins, David S.; Huey, Robert J.; Gracey, J F; Collins, David S , Faia; Huey, Robert J</t>
  </si>
  <si>
    <t>Feasts and Fasts : A History of Food in India</t>
  </si>
  <si>
    <t>Sen, Colleen Taylor</t>
  </si>
  <si>
    <t>Biomedical Applications of Nano Technologies : Biomedical Applications of Nano Technologies: Cimtec 2006</t>
  </si>
  <si>
    <t>Trans Tech Publications, Limited</t>
  </si>
  <si>
    <t>Vincenzini, P.; Barbucci, Rolando</t>
  </si>
  <si>
    <t>Environmental Contexts and Disability</t>
  </si>
  <si>
    <t>Altman, Barbara; Barnartt, Sharon N.</t>
  </si>
  <si>
    <t>Community Health Narratives : A Reader</t>
  </si>
  <si>
    <t>Mendenhall, Emily; Wollner, Kathy</t>
  </si>
  <si>
    <t>Reproductive Justice : The Politics of Health Care for Native American Women</t>
  </si>
  <si>
    <t>Gurr, Barbara</t>
  </si>
  <si>
    <t>Acne : Causes and Practical Management</t>
  </si>
  <si>
    <t>Danby, F. William</t>
  </si>
  <si>
    <t>Mindfulness-Integrated CBT for Well-being and Personal Growth : Four Steps to Enhance Inner Calm, Self-Confidence and Relationships</t>
  </si>
  <si>
    <t>Cayoun, Bruno A.</t>
  </si>
  <si>
    <t>Communication Case Studies for Health Care Professionals, Second Edition : An Applied Approach</t>
  </si>
  <si>
    <t>Pagano, Michael P., Dr., PhD, PA-C</t>
  </si>
  <si>
    <t>Primary Care, Second Edition : An Interprofessional Perspective</t>
  </si>
  <si>
    <t>Slyer, Jason; Joanne K. Singleton PhD, RN; Robert V. DiGregorio PharmD, BCACP; DiGregorio, Robert; Green-Hernandez, Carol; Holzemer, Stephen</t>
  </si>
  <si>
    <t>Nurses Making Policy : From Bedside to Boardroom</t>
  </si>
  <si>
    <t>Patton, Rebecca M.; Zalon, Margarete L.; Ludwick, Ruth; Rebecca Patton Msn, Rn; Margarete Zalon Phd, Rn</t>
  </si>
  <si>
    <t>Pre-Examination Procedures in Laboratory Diagnostics : Preanalytical Aspects and Their Impact on the Quality of Medical Laboratory Results</t>
  </si>
  <si>
    <t>Guder, Walter G.</t>
  </si>
  <si>
    <t>Mindfulness for Therapists : Understanding Mindfulness for Professional Effectiveness and Personal Well-Being</t>
  </si>
  <si>
    <t>Zarbock, Gerhard; Lynch, Siobhan; Ammann, Axel; Ringer, Silka</t>
  </si>
  <si>
    <t>Calcium Phosphate Based Bioceramics for Bone Tissue Engineering : Calcium Phosphate Based Bioceramics for Bone Tissue Engineering</t>
  </si>
  <si>
    <t>Barinov, Sergey; Komlev, Vladimir</t>
  </si>
  <si>
    <t>Biomaterials for Bone, Regenerative Medicine : Biomaterials for Bone, Regenerative Medicine</t>
  </si>
  <si>
    <t>Sooraj Hussain, Nandyala; Santos, José Domingos</t>
  </si>
  <si>
    <t>Medical Applications of Novel Biomaterials and Nano-Biotechnology : 5Th Forum on New Materials, Part e: Medical Applications of Novel Biomaterials and Nano-Biotechnology</t>
  </si>
  <si>
    <t>Vincenzini, Pietro; Ishihara, Kazuhiko; Jansen, John A.; Webster, Thomas J.; Vincenzini, Pietro</t>
  </si>
  <si>
    <t>Bone and Biomaterials for Bone Tissue Engineering</t>
  </si>
  <si>
    <t>Bianco, Alessandra; Cacciotti, Ilaria; Cappelloni, Ilaria</t>
  </si>
  <si>
    <t>Play Therapy : Basics and Beyond</t>
  </si>
  <si>
    <t>Kottman, Terry</t>
  </si>
  <si>
    <t>Aping Mankind : Neuromania, Darwinitis and the Misrepresentation of Humanity</t>
  </si>
  <si>
    <t>Tallis, Raymond</t>
  </si>
  <si>
    <t>Neuropsychology of Cortical Dementias</t>
  </si>
  <si>
    <t>Noggle, Chad; Dean, Raymond; Bush, Shane S.; Anderson, Steven W.</t>
  </si>
  <si>
    <t>Fast Facts for the Operating Room Nurse : An Orientation and Care Guide in a Nutshell</t>
  </si>
  <si>
    <t>Criscitelli, Theresa</t>
  </si>
  <si>
    <t>Nursing Research Using Participatory Action Research : Qualitative Designs and Methods in Nursing</t>
  </si>
  <si>
    <t>Nursing Research Using Historical Methods : Qualitative Designs and Methods in Nursing</t>
  </si>
  <si>
    <t>Nursing Research Using Data Analysis : Qualitative Designs and Methods in Nursing</t>
  </si>
  <si>
    <t>Expressive Arts Interventions for School Counselors</t>
  </si>
  <si>
    <t>Degges-White, Suzanne, PhD, LMHC, LPC, NCC; Colon, Bonnie R., MS, LMHC, NCC, NCSC</t>
  </si>
  <si>
    <t>Community-Oriented Health Services : Practices Across Disciplines</t>
  </si>
  <si>
    <t>Mpofu, Elias, PhD, DEd, CRC; Elias Mpofu Phd, Crc</t>
  </si>
  <si>
    <t>First Balloon-Expandable Coronary Stent : An Expedition That Changed Cardiovascular Medicine</t>
  </si>
  <si>
    <t>Roubin, Gary S.</t>
  </si>
  <si>
    <t>The Tools of Asclepius : Surgical Instruments in Greek and Roman Times</t>
  </si>
  <si>
    <t>Bliquez, Lawrence</t>
  </si>
  <si>
    <t>First Do No Harm : Medical Ethics in International Humanitarian Law</t>
  </si>
  <si>
    <t>Mehring, Sigrid</t>
  </si>
  <si>
    <t>The Alexandrian Summaries of Galen's on Critical Days : Editions and Translations of the Two Versions of the Jawami</t>
  </si>
  <si>
    <t>Galen; Bos, Gerrit; Langermann, Y. Tzvi</t>
  </si>
  <si>
    <t>Analyzing and Modeling Spatial and Temporal Dynamics of Infectious Diseases</t>
  </si>
  <si>
    <t>Chen, Dongmei; Moulin, Bernard; Wu, Jianhong</t>
  </si>
  <si>
    <t>Hospital-Based Palliative Medicine : A Practical, Evidence-Based Approach</t>
  </si>
  <si>
    <t>Pantilat, Steven Z.; Anderson, Wendy; Gonzales, Matthew; Widera, Eric</t>
  </si>
  <si>
    <t>Healthcare : Market Dynamics, Policies and Strategies in Europe</t>
  </si>
  <si>
    <t>Glowik, Mario; Smyczek, Slawomir</t>
  </si>
  <si>
    <t>Minimally Invasive Periodontal Therapy : Clinical Techniques and Visualization Technology</t>
  </si>
  <si>
    <t>Harrel, Stephen K.; Wilson, Thomas G.</t>
  </si>
  <si>
    <t>Clinical Supervision in the Helping Professions : A Practical Guide</t>
  </si>
  <si>
    <t>Corey, Gerald; Haynes, Robert H.; Moulton, Patrice; Muratori, Michelle</t>
  </si>
  <si>
    <t>Small : Life and Death on the Front Lines of Pediatric Surgery</t>
  </si>
  <si>
    <t>Musemeche MD, Catherine; Catherine Musemeche, MD</t>
  </si>
  <si>
    <t>Hijacked Brains : The Experience and Science of Chronic Addiction</t>
  </si>
  <si>
    <t>Barnes MD, Henrietta Robin; Henrietta Robin Barnes, MD</t>
  </si>
  <si>
    <t>Trauma and Recovery on War's Border : A Guide for Global Health Workers</t>
  </si>
  <si>
    <t>Allden MD, Kathleen; Murakami LCSW, Nancy; Nancy Murakami, Lcsw</t>
  </si>
  <si>
    <t>Forensic Child Psychology : Working in the Courts and Clinic</t>
  </si>
  <si>
    <t>Fanetti, Matthew; O?Donohue, William T.; Happel, Rachel N.; Daly, Kresta N.; Fondren-Happel, Rachel</t>
  </si>
  <si>
    <t>Polysaccharide-Based Nanocrystals : Chemistry and Applications</t>
  </si>
  <si>
    <t>Huang, Jin; Chang, Peter R.; Lin, Ning; Dufresne, Alain</t>
  </si>
  <si>
    <t>Engineering; Medicine; Pharmacy; Engineering: Chemical</t>
  </si>
  <si>
    <t>Nutraceutical and Functional Food Processing Technology</t>
  </si>
  <si>
    <t>Boye, Joyce I.</t>
  </si>
  <si>
    <t>Lean Guide to Transforming Healthcare : How to Implement Lean Principles in Hospitals, Medical Offices, Clinics, and Other Healthcare Organizations</t>
  </si>
  <si>
    <t>ASQ Quality Press</t>
  </si>
  <si>
    <t>Zidel, Thomas G.</t>
  </si>
  <si>
    <t>Superficial Melanocytic Pathology</t>
  </si>
  <si>
    <t>Elder, David E.; Yun, Sook Jung</t>
  </si>
  <si>
    <t>Bioinspired and Biomimetic Polymer Systems for Drug and Gene Delivery</t>
  </si>
  <si>
    <t>Gu, Zhongwei</t>
  </si>
  <si>
    <t>Mental Health in the War on Terror : Culture, Science, and Statecraft</t>
  </si>
  <si>
    <t>Aggarwal, Neil K.</t>
  </si>
  <si>
    <t>AIDS Between Science and Politics</t>
  </si>
  <si>
    <t>Piot, Peter; Garey, Laurence</t>
  </si>
  <si>
    <t>MCI and Alzheimer's Dementia : Clinical Essentials for Assessment and Treatment of Cognitive-Communication Disorders</t>
  </si>
  <si>
    <t>Plural Publishing, Inc.</t>
  </si>
  <si>
    <t>Pollak, Natasha</t>
  </si>
  <si>
    <t>Pure-Tone Audiometry and Masking : Fundamental and Advanced Concepts</t>
  </si>
  <si>
    <t>Terris, David J; Duke, William S; Pasieka, Janice L</t>
  </si>
  <si>
    <t>Cases : Introducing Communication Disorders Across the Life Span</t>
  </si>
  <si>
    <t>Daniels, Stephanie K.; Huckabee, Maggie Lee</t>
  </si>
  <si>
    <t>CHARGE Syndrome : Diagnosis, Evaluation, Pathology, Surgical Techniques, and Outcomes</t>
  </si>
  <si>
    <t>De Souza, Chris; Goycoolea, Marcus V.; Sperling, Neil</t>
  </si>
  <si>
    <t>Pediatric Otolaryngology - Head and Neck Surgery : Clinical Reference Guide</t>
  </si>
  <si>
    <t>Parikh, Sanjay R.</t>
  </si>
  <si>
    <t>Hearing Aid Dispensing Training Manual</t>
  </si>
  <si>
    <t>Krumenacker, Suzanne</t>
  </si>
  <si>
    <t>Educating Latino Preschool Children</t>
  </si>
  <si>
    <t>Houston, K Todd</t>
  </si>
  <si>
    <t>Clinical Voice Pathology : Theory and Management</t>
  </si>
  <si>
    <t>Fletcher,; Fletcher, Aaron M</t>
  </si>
  <si>
    <t>Linking the Strands of Language and Literacy : A Resource Manual</t>
  </si>
  <si>
    <t>Pasha, Raza; Golub, Justin S.</t>
  </si>
  <si>
    <t>Bayles, Kathryn; Tomoeda, Cheryl K.</t>
  </si>
  <si>
    <t>Group Treatment for Asperger Syndrome : A Social Skills Curriculum</t>
  </si>
  <si>
    <t>LaPointe, Leonard L; Murdoch, Bruce E.</t>
  </si>
  <si>
    <t>Otology, Neurotology, and Skull Base Surgery : Clinical Reference Guide</t>
  </si>
  <si>
    <t>Sataloff, Robert; Katz, Philip; Hawkshaw, Mary</t>
  </si>
  <si>
    <t>Laryngeal Physiology for Surgeons and Clinicians</t>
  </si>
  <si>
    <t>Pang, Kenny Ed; Rotenberg, Brian; Woodson, Tucker</t>
  </si>
  <si>
    <t>Here's How to do Early Intervention for Speech and Language : Empowering Parents</t>
  </si>
  <si>
    <t>Montano, Joseph J.; Spitzer, Jaclyn Barbara</t>
  </si>
  <si>
    <t>Advanced Surgical Techniques in Snoring and Obstructive Sleep Apnea</t>
  </si>
  <si>
    <t>Babu, Seilesh</t>
  </si>
  <si>
    <t>Airway Reconstruction Surgical Dissection Manual</t>
  </si>
  <si>
    <t>Acoustic Immittance Measures : Basics and Advanced Practice</t>
  </si>
  <si>
    <t>Hunter, Lisa L; Shahnaz, Navid</t>
  </si>
  <si>
    <t>Literacy and Deafness : Listening and Spoken Language</t>
  </si>
  <si>
    <t>Patel, Zara M.; Wise, Sarah K.; DelGaudio, John M.</t>
  </si>
  <si>
    <t>Manual of Pediatric Balance Disorders</t>
  </si>
  <si>
    <t>O''Reilly, Robert C.; Morlet, Thierry; Cushing, Sharon L.</t>
  </si>
  <si>
    <t>Atlas of Laryngoscopy</t>
  </si>
  <si>
    <t>Sataloff, Robert T.; Hawkshaw, Mary; Sataloff, Jonathan B.</t>
  </si>
  <si>
    <t>Here's How Children Learn Speech and Language : A Text on Different Learning Strategies</t>
  </si>
  <si>
    <t>Moller, Aager; Mller, Aage R</t>
  </si>
  <si>
    <t>Better Hearing with Cochlear Implants : Studies at the Research Triangle Institute</t>
  </si>
  <si>
    <t>Wilson, Blake; Dorman, Michael</t>
  </si>
  <si>
    <t>Objective Measures in Cochlear Implants</t>
  </si>
  <si>
    <t>Ruckenstein, Michael J.</t>
  </si>
  <si>
    <t>HIV/AIDS Related Communication, Hearing and Swallowing Disorders</t>
  </si>
  <si>
    <t>Musiek, Frank E; Baran, Jane A.; Shinn, Jennifer B.</t>
  </si>
  <si>
    <t>Falls Assessment and Prevention : Home, Hospital, and Extended Care</t>
  </si>
  <si>
    <t>Kei, Joseph; Zhao, Fei</t>
  </si>
  <si>
    <t>Atlas of Laryngoscopy : Organization and Service Delivery</t>
  </si>
  <si>
    <t>Blosser, Jean L.</t>
  </si>
  <si>
    <t>Pediatric Airway : Cry, Stridor and Cough</t>
  </si>
  <si>
    <t>Silman, Shlomo; Emmer, Michele B.</t>
  </si>
  <si>
    <t>Otoacoustic Emissions : Principles, Procedures, and Protocols</t>
  </si>
  <si>
    <t>Dhar, Sumitrajit; Hall III, James W.</t>
  </si>
  <si>
    <t>Fitting and Dispensing Hearing Aids</t>
  </si>
  <si>
    <t>Taylor, Brian; Mueller, H. Gustav</t>
  </si>
  <si>
    <t>Comprehensive Handbook of Pediatric Audiology</t>
  </si>
  <si>
    <t>Seewald, Richard; Tharpe, Anne Marie</t>
  </si>
  <si>
    <t>Human Auditory Evoked Potentials</t>
  </si>
  <si>
    <t>Picton, Terence W.; Picton, T W</t>
  </si>
  <si>
    <t>Objective Assessment of Hearing : Evidence and Outcomes</t>
  </si>
  <si>
    <t>Ruckenstein, Michael J; Ruckenstein, Micheal</t>
  </si>
  <si>
    <t>Photodynamic Therapy of Diseases of the Head and Neck : Related Communication, Hearing and Other Swallowing Disorders</t>
  </si>
  <si>
    <t>Swanepoel, De Wet; Louw, Brenda</t>
  </si>
  <si>
    <t>Handbook of Acquired Communication Disorders in Childhood</t>
  </si>
  <si>
    <t>Lasasso, Carol J; Crain, Kelly Lamar; Leybaert, Jacqueline</t>
  </si>
  <si>
    <t>Aphasia Rehabilitation : The Impairment and Its Consequences</t>
  </si>
  <si>
    <t>Ballachanda, Bopanna</t>
  </si>
  <si>
    <t>Atlas of Soft Tissue and Bone Pathology</t>
  </si>
  <si>
    <t>Dodd, Leslie G.; Bui, Marilyn</t>
  </si>
  <si>
    <t>Physical Medicine and Rehabilitation Board Review</t>
  </si>
  <si>
    <t>Cuccurullo, Sara J.; Cuccurullo, Sara</t>
  </si>
  <si>
    <t>Botulinum Neurotoxin Injection Manual</t>
  </si>
  <si>
    <t>Alter, Katharine E.; Wilson, Nicole A.; Wilson, Nicole A</t>
  </si>
  <si>
    <t>Advanced Pediatric Assessment, Second Edition : A Case Study and Critical Thinking Review</t>
  </si>
  <si>
    <t>Chiocca, Ellen, RNC, MSN, CPNP; Chiocca, Ellen M., MSN, CPNP, APN, RNC-NIC</t>
  </si>
  <si>
    <t>Basic Fundamentals in Hearing Science : Comprehensive Intervention</t>
  </si>
  <si>
    <t>Chermak, Gail D.; Musiek, Frank E.</t>
  </si>
  <si>
    <t>Cognitive Communication Disorders : Evaluation of Candidacy, Performance, and Outcomes</t>
  </si>
  <si>
    <t>Gifford, Rene H.</t>
  </si>
  <si>
    <t>Introduction to Health Care Services: Foundations and Challenges</t>
  </si>
  <si>
    <t>Healey, Bernard J.; Evans, Tina Marie</t>
  </si>
  <si>
    <t>Clinical Trials : A Practical Approach</t>
  </si>
  <si>
    <t>Pocock, Stuart J.</t>
  </si>
  <si>
    <t>Essentials of Child and Adolescent Psychopathology</t>
  </si>
  <si>
    <t>Health and Healing after Traumatic Brain Injury : Understanding the Power of Family, Friends, Community, and Other Support Systems</t>
  </si>
  <si>
    <t>Muenchberger, Heidi; Kendall, Elizabeth; Wright, John J.; Brady, James S.</t>
  </si>
  <si>
    <t>Cognitive-Communication Disorders of Dementia : Definition, Diagnosis, and Treatment</t>
  </si>
  <si>
    <t>Gilman, Marina; Gilman,</t>
  </si>
  <si>
    <t>Common Core State Standards and the Speech-Language Pathologist : Standards-Based Intervention for Special Populations</t>
  </si>
  <si>
    <t>Glaser, Robert G.; Traynor, Robert M.</t>
  </si>
  <si>
    <t>Pediatric Voice : A Modern Collaborative Approach to Care (2010)</t>
  </si>
  <si>
    <t>Kelchner,; Kelchner, Lisa N; Weinrich, Barbara</t>
  </si>
  <si>
    <t>Genetics, Embryology, and Development of Auditory and Vestibular Systems</t>
  </si>
  <si>
    <t>Brooklyn Museum,</t>
  </si>
  <si>
    <t>Here's How to Provide Intervention for Children with Autism Spectrum Disorder : A Balanced Approach</t>
  </si>
  <si>
    <t>Mueller, H. Gustav; Ricketts, Todd A.; Bentler, Ruth</t>
  </si>
  <si>
    <t>Introduction to Aural Rehabilitation : Implications for Intervention</t>
  </si>
  <si>
    <t>Nippold, Marilyn A</t>
  </si>
  <si>
    <t>Language Development</t>
  </si>
  <si>
    <t>Noble, William</t>
  </si>
  <si>
    <t>Medical Genetics : Its Application to Speech, Hearing, and Craniofacial Disorders</t>
  </si>
  <si>
    <t>Propst, Evan J; Probst, Evan J , Ed.; Abdulkader, Faisal</t>
  </si>
  <si>
    <t>Professional Communication in Audiology</t>
  </si>
  <si>
    <t>Ramachandran, Virginia; Stach, Brad A.</t>
  </si>
  <si>
    <t>Modern Hearing Aids : Pre-Fitting Testing and Selection Considerations</t>
  </si>
  <si>
    <t>Redstone,; Redstone, Fran</t>
  </si>
  <si>
    <t>Rapid Interpretation of Balance Function Tests</t>
  </si>
  <si>
    <t>Ruckenstein, Michael J.; Davis, Sherrie</t>
  </si>
  <si>
    <t>Statistical Methods and Reasoning for the Clinical Sciences : Evidence-Based Practice</t>
  </si>
  <si>
    <t>Plural Publishing, Inc</t>
  </si>
  <si>
    <t>Satake, Eiki B.</t>
  </si>
  <si>
    <t>Voice Therapy : Clinical Case Studies (2014)</t>
  </si>
  <si>
    <t>Stemple, Joseph; Hapner, Edie R.</t>
  </si>
  <si>
    <t>Programming Cochlear Implants : : Design and Implementation of the Patient Experience</t>
  </si>
  <si>
    <t>Taylor, Brian</t>
  </si>
  <si>
    <t>Head and Neck Cancer : Treatment, Rehabilitation, and Outcomes</t>
  </si>
  <si>
    <t>Ward, Dr Elizabeth C; van As-Brooks, Corina J</t>
  </si>
  <si>
    <t>Facial Paralysis : A Comprehensive Rehabilitative Approach</t>
  </si>
  <si>
    <t>Wax, Mark K.</t>
  </si>
  <si>
    <t>A Practical Guide to Quality Interaction with Children who Have a Hearing Loss</t>
  </si>
  <si>
    <t>Clark, Morag</t>
  </si>
  <si>
    <t>The Neuroscience of Visual Hallucinations</t>
  </si>
  <si>
    <t>Collerton, Daniel</t>
  </si>
  <si>
    <t>Principles of Toxicology : Environmental and Industrial Applications</t>
  </si>
  <si>
    <t>Williams, Phillip L.; James, Robert C.; Roberts, Stephen M.</t>
  </si>
  <si>
    <t>Mastering the Art of Solution-Focused Counseling</t>
  </si>
  <si>
    <t>Guterman, Jeffrey T.</t>
  </si>
  <si>
    <t>Tough Kids, Cool Counseling : User-Friendly Approaches with Challenging Youth</t>
  </si>
  <si>
    <t>Sommers-Flanagan, John; Sommers-Flanagan, Rita; Delgado-Romero, Edward A.</t>
  </si>
  <si>
    <t>Continuous Processing in Pharmaceutical Manufacturing</t>
  </si>
  <si>
    <t>Medicine; Pharmacy; Economics; Business/Management</t>
  </si>
  <si>
    <t>The Labyrinth of Possibility : A Therapeutic Factor in Analytical Practice</t>
  </si>
  <si>
    <t>Tricarico, Giorgio</t>
  </si>
  <si>
    <t>The Older Adult Psychotherapy Treatment Planner, with DSM-5 Updates, 2nd Edition</t>
  </si>
  <si>
    <t>Frazer, Deborah W.; Hinrichsen, Gregory A.; Jongsma, Arthur E., Jr.</t>
  </si>
  <si>
    <t>The Crisis Counseling and Traumatic Events Treatment Planner, with DSM-5 Updates, 2nd Edition</t>
  </si>
  <si>
    <t>Kolski, Tammi D.; Jongsma, Arthur E., Jr.; Myer, Rick A.</t>
  </si>
  <si>
    <t>The Couples Psychotherapy Treatment Planner, with DSM-5 Updates, 2nd Edition</t>
  </si>
  <si>
    <t>O'Leary, K. Daniel; Heyman, Richard E.; Jongsma, Arthur E., Jr.</t>
  </si>
  <si>
    <t>Critical Care Nursing : Monitoring and Treatment for Advanced Nursing Practice</t>
  </si>
  <si>
    <t>Booker, Kathy J.</t>
  </si>
  <si>
    <t>The Family Therapy Treatment Planner, with DSM-5 Updates, 2nd Edition</t>
  </si>
  <si>
    <t>Dattilio, Frank M.; Jongsma, Arthur E., Jr.; Davis, Sean D.</t>
  </si>
  <si>
    <t>The Veterans and Active Duty Military Psychotherapy Treatment Planner, with DSM-5 Updates</t>
  </si>
  <si>
    <t>Moore, Bret A.; Jongsma, Arthur E., Jr.</t>
  </si>
  <si>
    <t>Case Studies in Dysphagia Malpractice Litigation</t>
  </si>
  <si>
    <t>Cutler-Landsman, Donna</t>
  </si>
  <si>
    <t>Scholarship of Teaching and Learning in Speech-Language Pathology and Audiology : Evidence-Based Education</t>
  </si>
  <si>
    <t>Ginsberg, Sarah; Friberg, Jennifer; Visconti, Colleen F.</t>
  </si>
  <si>
    <t>Electronystagmography/Videonystagmography</t>
  </si>
  <si>
    <t>Hughes, Michelle</t>
  </si>
  <si>
    <t>Marketing in an Audiology Practice : False and Exaggerated Hearing Loss</t>
  </si>
  <si>
    <t>Peck, James E.</t>
  </si>
  <si>
    <t>Modern Hearing Aids : Verification, Outcome Measures, and Follow-up</t>
  </si>
  <si>
    <t>Rentschler, Gary</t>
  </si>
  <si>
    <t>Professional Writing in Speech-Language Pathology and Audiology</t>
  </si>
  <si>
    <t>Taylor, Brain; Taylor, Brian</t>
  </si>
  <si>
    <t>Speech Audiometry</t>
  </si>
  <si>
    <t>Weinstein, Gregory S; O'Malley, Bert W , Jr</t>
  </si>
  <si>
    <t>Brain-Based Communication Disorders (2010)</t>
  </si>
  <si>
    <t>LaPointe, Leonard L; Murdoch, Bruce E; Stierwalt, Julie A G; Steirwalt, Julie A.G.</t>
  </si>
  <si>
    <t>Quality in Audiology : Design and Implementation of the Patient Experience</t>
  </si>
  <si>
    <t>Theodoros, Deborah G; Ramig, Lorraine O</t>
  </si>
  <si>
    <t>Developmental Phonological Disorders : Foundations of Clinical Practice</t>
  </si>
  <si>
    <t>Rvachew, Susan; Brosseau-Lapré, Françoise</t>
  </si>
  <si>
    <t>Hearing Loss in Musicians : Prevention &amp; Management</t>
  </si>
  <si>
    <t>Miller, Robert M; Britton, Deanna</t>
  </si>
  <si>
    <t>Head Injury Recovery in Real Life</t>
  </si>
  <si>
    <t>Ma, Estella P -M; Yiu, Edwin M -L</t>
  </si>
  <si>
    <t>Emergent Literacy : Lessons for Success</t>
  </si>
  <si>
    <t>Hull, Ray H</t>
  </si>
  <si>
    <t>Neuroimaging in Communication Sciences and Disorders : An Interdisciplinary Focus on English Learners with Communication Disorders</t>
  </si>
  <si>
    <t>Rosa-Lugo, Linda I; Mihai, Florin M.; Nutta, Joyce W.</t>
  </si>
  <si>
    <t>Professional Communication in Speech-Language Pathology : How to Write, Talk and Act Like a Clinician</t>
  </si>
  <si>
    <t>Burrus, A. Embry; Willis, Laura B.</t>
  </si>
  <si>
    <t>Handbook of Central Auditory Processing Disorder : Auditory Neuroscience and Diagnosis</t>
  </si>
  <si>
    <t>Lawson, Mr Gary; Peterson, Mary</t>
  </si>
  <si>
    <t>Identifying Perinatal Depression and Anxiety : Evidence-Based Practice in Screening, Psychosocial Assessment and Management</t>
  </si>
  <si>
    <t>Milgrom, Jeannette; Gemmill, Alan W.</t>
  </si>
  <si>
    <t>Radiochemical Syntheses : Further Radiopharmaceuticals for Positron Emission Tomography and New Strategies for Their Production</t>
  </si>
  <si>
    <t>Kilbourn, Michael R.; Scott, Peter J. H.; Kilbourn, Michael R</t>
  </si>
  <si>
    <t>At a Glance : Perioperative Practice at a Glance</t>
  </si>
  <si>
    <t>Wicker, Paul</t>
  </si>
  <si>
    <t>Eating Disorders and Obesity : A Counselor's Guide to Prevention and Treatment</t>
  </si>
  <si>
    <t>Choate, Laura H.</t>
  </si>
  <si>
    <t>Handbook of Polymers for Pharmaceutical Technologies, Processing and Applications</t>
  </si>
  <si>
    <t>Thakur, Vijay Kumar; Thakur, Manju Kumari; Thakur, Vijay Kumar</t>
  </si>
  <si>
    <t>Mindfulness Pocketbook : Little Exercises for a Calmer Life</t>
  </si>
  <si>
    <t>Hasson, Gill</t>
  </si>
  <si>
    <t>Lasers in Dentistry : Guide for Clinical Practice</t>
  </si>
  <si>
    <t>de Freitas, Patricia; Simões, Alyne; Simoes, Alyne</t>
  </si>
  <si>
    <t>Polymers in Regenerative Medicine : Biomedical Applications from Nano- to Macro-Structures</t>
  </si>
  <si>
    <t>Monleon Pradas, Manuel; Vicent, Maria J.</t>
  </si>
  <si>
    <t>Skeletal Trauma Analysis : Case Studies in Context</t>
  </si>
  <si>
    <t>Passalacqua, Nicholas V.; Rainwater, Christopher W.; Rainwater, Christopher W</t>
  </si>
  <si>
    <t>International Textbook of Diabetes Mellitus</t>
  </si>
  <si>
    <t>DeFronzo, R. A.; Ferrannini, E.; Zimmet, P.; Alberti, George</t>
  </si>
  <si>
    <t>HACCP : A Food Industry Briefing</t>
  </si>
  <si>
    <t>Mortimore, Sara E.; Wallace, Carol A.</t>
  </si>
  <si>
    <t>Research Methods in Health Promotion</t>
  </si>
  <si>
    <t>Salazar, Laura F.; Crosby, Richard A.; DiClemente, Ralph J.</t>
  </si>
  <si>
    <t>Liver Imaging : MRI with CT Correlation</t>
  </si>
  <si>
    <t>Altun, Ersan; El-Azzazi, Mohamed; Semelka, Richard C.; Braga, Larissa; Altun, Ersan; El-Azzazi, Mohamed; Semelka, Richard C</t>
  </si>
  <si>
    <t>Learning Disability Nursing at a Glance</t>
  </si>
  <si>
    <t>Gates, Bob; Fearns, Debra; Welch, Jo</t>
  </si>
  <si>
    <t>Analysis of Biomarker Data : A Practical Guide</t>
  </si>
  <si>
    <t>Looney, Stephen W.; Hagan, Joseph L.</t>
  </si>
  <si>
    <t>Nutrition Research Methodologies</t>
  </si>
  <si>
    <t>Lovegrove, Julie A.; Hodson, Leanne; Sharma, Sangita; Lanham-New, Susan A.</t>
  </si>
  <si>
    <t>Handbook of Mineral Elements in Food</t>
  </si>
  <si>
    <t>de la Guardia, Miguel; Garrigues, Salvador; Guardia, M De La</t>
  </si>
  <si>
    <t>Plastic and Reconstructive Surgery : Approaches and Techniques</t>
  </si>
  <si>
    <t>Farhadieh, Ross; Bulstrode, Neil; Cugno, Sabrina</t>
  </si>
  <si>
    <t>Wiley Series in Biomedical Engineering and Multi-Disciplinary Integrated Systems : Biomedical Image Understanding : Methods and Applications</t>
  </si>
  <si>
    <t>Lim, Joo-Hwee; Ong, Sim-Heng; Xiong, Wei</t>
  </si>
  <si>
    <t>Neuroinflammation : New Insights into Beneficial and Detrimental Functions</t>
  </si>
  <si>
    <t>David, Samuel; David, Samuel</t>
  </si>
  <si>
    <t>Clinical Oncology and Error Reduction : A Manual for Clinicians</t>
  </si>
  <si>
    <t>Surbone, Antonella; Rowe, Michael</t>
  </si>
  <si>
    <t>Tasman, Allan; Kay, Jerald; Lieberman, Jeffrey A.; First, Michael B.; Riba, Michelle</t>
  </si>
  <si>
    <t>Brain2Brain : Enacting Client Change Through the Persuasive Power of Neuroscience</t>
  </si>
  <si>
    <t>Arden, John B.</t>
  </si>
  <si>
    <t>Modern Clinic Design : Strategies for an Era of Change</t>
  </si>
  <si>
    <t>Guzzo Vickery, Christine; Nyberg, Gary; Whiteaker, Douglas; Guzzo Vickery, Christine; Guzzo Vickery, Christine; Nyberg, Gary; Whiteaker, Douglas</t>
  </si>
  <si>
    <t>Architecture; Health; Social Science</t>
  </si>
  <si>
    <t>Anesthesia for Congenital Heart Disease</t>
  </si>
  <si>
    <t>Stayer, Stephen A.; Mossad, Emad B.; Miller-Hance, Wanda C.; Andropoulos, Dean B.</t>
  </si>
  <si>
    <t>General and Molecular Pharmacology : Principles of Drug Action</t>
  </si>
  <si>
    <t>Clementi, Francesco; Fumagalli, Guido</t>
  </si>
  <si>
    <t>Blood-Brain Barrier in Drug Discovery : Optimizing Brain Exposure of CNS Drugs and Minimizing Brain Side Effects for Peripheral Drugs</t>
  </si>
  <si>
    <t>Di, Li; Kerns, Edward H.</t>
  </si>
  <si>
    <t>Early Years Nutrition and Healthy Weight</t>
  </si>
  <si>
    <t>Stewart, Laura; Thompson, Joyce</t>
  </si>
  <si>
    <t>The Addiction Progress Notes Planner</t>
  </si>
  <si>
    <t>Berghuis, David J.; Jongsma, Arthur E., Jr.</t>
  </si>
  <si>
    <t>Anti-Ageing Nutrients : Evidence-Based Prevention of Age-Associated Diseases</t>
  </si>
  <si>
    <t>Neves, Deliminda</t>
  </si>
  <si>
    <t>Atlas of Temporomandibular Joint Surgery</t>
  </si>
  <si>
    <t>Quinn, Peter D.; Granquist, Eric J.</t>
  </si>
  <si>
    <t>Atherosclerosis : Risks, Mechanisms, and Therapies</t>
  </si>
  <si>
    <t>Wang, Hong; Patterson, Cam</t>
  </si>
  <si>
    <t>Anesthesia Complications in the Dental Office</t>
  </si>
  <si>
    <t>Bosack, Robert C.; Lieblich, Stuart</t>
  </si>
  <si>
    <t>Hamilton and Hardy's Industrial Toxicology</t>
  </si>
  <si>
    <t>Harbison, Raymond D.; Bourgeois, Marie M.; Johnson, Giffe T.; Lee, Richard V.; Stedeford, Todd</t>
  </si>
  <si>
    <t>Applied Food Protein Chemistry</t>
  </si>
  <si>
    <t>Ustunol, Zeynep</t>
  </si>
  <si>
    <t>Nanotechnology for Biomedical Imaging and Diagnostics : From Nanoparticle Design to Clinical Applications</t>
  </si>
  <si>
    <t>Berezin, Mikhail Y.; Berezin, Mikhail Y</t>
  </si>
  <si>
    <t>Cardiovascular Diseases : From Molecular Pharmacology to Evidence-Based Therapeutics</t>
  </si>
  <si>
    <t>Li, Y. Robert; Li, Yunbo</t>
  </si>
  <si>
    <t>Pharmaceutical Amorphous Solid Dispersions</t>
  </si>
  <si>
    <t>Newman, Ann; Newman, Ann</t>
  </si>
  <si>
    <t>Drugs : From Discovery to Approval</t>
  </si>
  <si>
    <t>Ng, Rick</t>
  </si>
  <si>
    <t>ADA Practical Guide to Substance Use Disorders and Safe Prescribing</t>
  </si>
  <si>
    <t>O'Neil, Michael</t>
  </si>
  <si>
    <t>Atlas of Operative Oral and Maxillofacial Surgery</t>
  </si>
  <si>
    <t>Haggerty, Christopher J.; Laughlin, Robert M.; Haggerty, Christopher J; Laughlin, Robert M</t>
  </si>
  <si>
    <t>Dentist's Quick Guide to Medical Conditions</t>
  </si>
  <si>
    <t>Weinberg, Mea A.; Segelnick, Stuart L.; Insler, Joseph S.; Kramer, Samuel</t>
  </si>
  <si>
    <t>Handbook of Clinical Techniques in Pediatric Dentistry</t>
  </si>
  <si>
    <t>Soxman, Jane A.; Soxman, Jane A</t>
  </si>
  <si>
    <t>Clinical Applications of Digital Dental Technology</t>
  </si>
  <si>
    <t>Masri, Radi; Driscoll, Carl</t>
  </si>
  <si>
    <t>Tipping Points : Modelling Social Problems and Health</t>
  </si>
  <si>
    <t>Bissell, John; Caiado, Camila; Curtis, Sarah; Goldstein, Michael; Straughan, Brian</t>
  </si>
  <si>
    <t>Peptide Chemistry and Drug Design</t>
  </si>
  <si>
    <t>Dunn, Ben M.; Dunn, Ben M</t>
  </si>
  <si>
    <t>Phytotherapies : Efficacy, Safety, and Regulation</t>
  </si>
  <si>
    <t>Ramzan, Iqbal; Ramzan, Iqbal</t>
  </si>
  <si>
    <t>Healthy Eating and Physical Activity in Out-Of-School Time Settings : New Directions for Youth Development, Number 143</t>
  </si>
  <si>
    <t>Wiecha, Jean L.; Hall, Georgia</t>
  </si>
  <si>
    <t>Psychology; Health</t>
  </si>
  <si>
    <t>Closed-form Solutions for Drug Transport through Controlled-Release Devices in Two and Three Dimensions</t>
  </si>
  <si>
    <t>Simon, Laurent; Ospina, Juan</t>
  </si>
  <si>
    <t>The Severe and Persistent Mental Illness Treatment Planner</t>
  </si>
  <si>
    <t>Jongsma, Arthur E., Jr.; Berghuis, David J.; Bruce, Timothy J.</t>
  </si>
  <si>
    <t>The Co-Occurring Disorders Treatment Planner, with DSM-5 Updates</t>
  </si>
  <si>
    <t>Jongsma, Arthur E., Jr.; Klott, Jack</t>
  </si>
  <si>
    <t>Successful Drug Discovery</t>
  </si>
  <si>
    <t>Fischer, Janos; Rotella, David P.</t>
  </si>
  <si>
    <t>Medicine; Science; Science: Biology/Natural History; Pharmacy</t>
  </si>
  <si>
    <t>Bioceramic Coatings for Medical Implants : Trends and Techniques</t>
  </si>
  <si>
    <t>Heimann, Robert B.; Lehmann, Hans D.</t>
  </si>
  <si>
    <t>Applied Mixed Models in Medicine</t>
  </si>
  <si>
    <t>Brown, Helen; Prescott, Robin</t>
  </si>
  <si>
    <t>Communication Skills for Nurses : A Practical Guide on How to Achieve Successful Consultations</t>
  </si>
  <si>
    <t>Manuscript Recipe Books as Archaeological Objects : Text and Food in the Early Modern World</t>
  </si>
  <si>
    <t>Shanahan, Madeline</t>
  </si>
  <si>
    <t>Expanding Access to Health Care : A Management Approach</t>
  </si>
  <si>
    <t>Buss, Terry F.; Van de Water, Paul N.</t>
  </si>
  <si>
    <t>Paleopathology in Perspective : Bone Health and Disease through Time</t>
  </si>
  <si>
    <t>Weiss, Elizabeth,</t>
  </si>
  <si>
    <t>Play Therapy with Vulnerable Populations : No Child Forgotten</t>
  </si>
  <si>
    <t>Green , Eric; Myrick , Amie C.; Allen-Auguston, Marshia; Aranda, Brenda; Asbill, Lisa; Baggerly, Jennifer N.; Faa-Thompson, Tracie; Gallagher, Jenny A.; Goldman, Linda; Kottman, Terry</t>
  </si>
  <si>
    <t>Trouble in the University : How the Education of Health Care Professionals Became Corrupted</t>
  </si>
  <si>
    <t>Schwartz, Mildred A.</t>
  </si>
  <si>
    <t>Through Windows of Opportunity : A Neuroaffective Approach to Child Psychotherapy</t>
  </si>
  <si>
    <t>Bentzen, Marianne; Hart, Susan</t>
  </si>
  <si>
    <t>Traumatic Brain Injury</t>
  </si>
  <si>
    <t>Vos, Pieter; Vos, Pieter; Diaz-Arrastia, Ramon</t>
  </si>
  <si>
    <t>Journal of Biomimetics, Biomaterials and Tissue Engineering Vol. 1</t>
  </si>
  <si>
    <t>A Concise Guide to Observational Studies in Healthcare</t>
  </si>
  <si>
    <t>Hackshaw, Allan</t>
  </si>
  <si>
    <t>Clinical Paediatric Dietetics</t>
  </si>
  <si>
    <t>Shaw-Finelli, Vanessa</t>
  </si>
  <si>
    <t>Customer Service in Health Care : A Grassroots Approach to Creating a Culture of Service Excellence</t>
  </si>
  <si>
    <t>Baird, Kristin</t>
  </si>
  <si>
    <t>Art Therapy with Children on the Autistic Spectrum : Beyond Words</t>
  </si>
  <si>
    <t>Evans, Kathy; Dubowski, Janek</t>
  </si>
  <si>
    <t>Eating an Artichoke : A Mother's Perspective on Asperger's Syndrome</t>
  </si>
  <si>
    <t>Fling, Echo; Attwood, Tony</t>
  </si>
  <si>
    <t>Foundations of Expressive Arts Therapy : Theoretical and Clinical Perspectives</t>
  </si>
  <si>
    <t>Levine, Stephen K.; Levine, Ellen G.</t>
  </si>
  <si>
    <t>Pervasive Developmental Disorder : An Altered Perspective</t>
  </si>
  <si>
    <t>Quinn, Barbara; Malone, Anthony; Malone, Anthony</t>
  </si>
  <si>
    <t>Communication and Mental Illness : Theoretical and Practical Approaches</t>
  </si>
  <si>
    <t>France, Jenny; Kramer, Sarah; Cox, John</t>
  </si>
  <si>
    <t>Studio Art Therapy : Cultivating the Artist Identity in the Art Therapist</t>
  </si>
  <si>
    <t>Moon, Catherine Hyland</t>
  </si>
  <si>
    <t>Experiences of Donor Conception : Parents, Offspring and Donors Through the Years</t>
  </si>
  <si>
    <t>Lorbach, Caroline; Blyth, Eric</t>
  </si>
  <si>
    <t>Prostate Cancer : A Multidisciplinary Approach to Diagnosis and Management</t>
  </si>
  <si>
    <t>Dicker, Adam P.; Kelly, William Kevin; Zaorsky, Nicholas G.; Trabulsi, Edouard J.; Kelly, William Kevin , MD; Dicker, Adam P , MD</t>
  </si>
  <si>
    <t>Game-Based Cognitive-Behavioral Therapy for Child Sexual Abuse : An Innovative Treatment Approach</t>
  </si>
  <si>
    <t>Springer, Craig I., PhD; Misurell, Justin, PhD</t>
  </si>
  <si>
    <t>Advance Medical Materials and Applications : Special Topic Volume with Invited Peer Reviewed Papers Only</t>
  </si>
  <si>
    <t>Jafar, Mohammad; Al-Ahmed, Amir</t>
  </si>
  <si>
    <t>BiomMedD V : Selected, Peer Reviewed Papers from the 5th International Conference "Biomaterials, Tissue Engineering &amp; Medical Devices" (BiomMedD 2012), August 29 - September 1, 2012, Constanta, Romania</t>
  </si>
  <si>
    <t>Antoniac, Aurora; Antoniac, Iulian; Cotrut, Cosmin Mihai</t>
  </si>
  <si>
    <t>Journal of Biomimetics, Biomaterials and Tissue Engineering Vol. 18</t>
  </si>
  <si>
    <t>Bioceramics 25</t>
  </si>
  <si>
    <t>Antoniac, Iulian; Antoniac, Iulian Vasile; Cavalu, Simona; Traistaru, Teodor</t>
  </si>
  <si>
    <t>Bioceramics 25 : Supplement</t>
  </si>
  <si>
    <t>Antoniac, Iulian; Cavalu, Simona; Traistaru, Teodor</t>
  </si>
  <si>
    <t>Bioceramics Volume 26 : Selected, Peer Reviewed Papers from the 26th Symposium and Annual Meeting of the International Society for Ceramics in Medicine (ISCM), November 6-8, 2014, Barcelona, Spain</t>
  </si>
  <si>
    <t>Ginebra, Mariapau; Canal Barnils, Cristina; Espanol, Montserrat; Montufar, Edgar Benjamin; Perez, Roman A.</t>
  </si>
  <si>
    <t>Pharmaceutical Formulation and Development</t>
  </si>
  <si>
    <t>Sriamornsak, Pornsak; Limmatvapirat, Sontaya; Piriyaprasart, Suchada</t>
  </si>
  <si>
    <t>Emergency Medical Services : Clinical Practice and Systems Oversight, 2 Volume Set</t>
  </si>
  <si>
    <t>Cone, David; Brice, Jane H.; Delbridge, Theodore R.; Myers, J. Brent</t>
  </si>
  <si>
    <t>Geriatric Emergencies</t>
  </si>
  <si>
    <t>Murdoch, Iona; Turpin, Sarah; Johnston, Bree; MacLullich, Alasdair; Losman, Eve</t>
  </si>
  <si>
    <t>Recent Highlights in Advanced Functional Materials and Biomedical Research</t>
  </si>
  <si>
    <t>Yuan, Xinhua</t>
  </si>
  <si>
    <t>Fundamentals of Midwifery : A Textbook for Students</t>
  </si>
  <si>
    <t>Lewis, Louise; Lewis, Louise</t>
  </si>
  <si>
    <t>Beyond Diagnosis : Case Formulation in Cognitive Behavioural Therapy</t>
  </si>
  <si>
    <t>Bruch, Michael</t>
  </si>
  <si>
    <t>Tips for the Residency Match : What Residency Directors Are Really Looking For</t>
  </si>
  <si>
    <t>Kung, Justin W.; Bishop, Pauline M.; Slanetz, Priscilla J.; Eisenberg, Ronald L.</t>
  </si>
  <si>
    <t>Developing Nuclear Ideas : Relational Group Psychotherapy</t>
  </si>
  <si>
    <t>M. Billow, Richard</t>
  </si>
  <si>
    <t>Appalachia's Children : The Challenge of Mental Health</t>
  </si>
  <si>
    <t>Looff, David H.</t>
  </si>
  <si>
    <t>David Wendel Yandell : Physician of Old Louisville</t>
  </si>
  <si>
    <t>Baird, Nancy Disher</t>
  </si>
  <si>
    <t>Medicine in Kentucky</t>
  </si>
  <si>
    <t>Ellis, John H.</t>
  </si>
  <si>
    <t>Contrast-Enhanced Clinical Magnetic Resonance Imaging</t>
  </si>
  <si>
    <t>Scott, Sarah; Runge, Val M.</t>
  </si>
  <si>
    <t>Dr. Anderson's High-Fiber Fitness Plan</t>
  </si>
  <si>
    <t>Anderson, James W.; Gustafson, Nancy J</t>
  </si>
  <si>
    <t>Health; Pharmacy; Medicine</t>
  </si>
  <si>
    <t>MCAT Preparation Guide</t>
  </si>
  <si>
    <t>Willey, Miriam S.; Jarecky, Barbara M.</t>
  </si>
  <si>
    <t>PCBs : Recent Advances in Environmental Toxicology and Health Effects</t>
  </si>
  <si>
    <t>Robertson, Larry W.; Hansen, Larry G.</t>
  </si>
  <si>
    <t>Sociomedical Perspectives on Patient Care</t>
  </si>
  <si>
    <t>Clair, Jeffrey Michael; Allman, Richard M.</t>
  </si>
  <si>
    <t>Yellow Fever and Public Health in the New South</t>
  </si>
  <si>
    <t>You Bet Your Life : The Burdens of Gambling</t>
  </si>
  <si>
    <t>Isaacs, Neil D.</t>
  </si>
  <si>
    <t>AIDS and the Social Sciences : Common Threads</t>
  </si>
  <si>
    <t>Ulack, Richard; Skinner, William F.</t>
  </si>
  <si>
    <t>Organizing the Breathless : Cotton Dust, Southern Politics, and the Brown Lung Association</t>
  </si>
  <si>
    <t>Botsch, Robert E.</t>
  </si>
  <si>
    <t>Pseudo-Science and Society in 19th-Century America</t>
  </si>
  <si>
    <t>Wrobel, Arthur</t>
  </si>
  <si>
    <t>Review of Allied Health Education : 1</t>
  </si>
  <si>
    <t>Hamburg, Joseph</t>
  </si>
  <si>
    <t>Review of Allied Health Education : 2</t>
  </si>
  <si>
    <t>Review of Allied Health Education : 3</t>
  </si>
  <si>
    <t>Imaging of Traumatic Brain Injury</t>
  </si>
  <si>
    <t>Anzai, Yoshimi; Fink, Kathleen R; Fink, Kathleen R</t>
  </si>
  <si>
    <t>Fears, Doubts and Joys of Not Belonging</t>
  </si>
  <si>
    <t>Fishkin, Hart; Ndi, F.; Ankumah, Adaku T</t>
  </si>
  <si>
    <t>One day this will all be over : Growing up with HIV in an Eastern Zimbabwean Town</t>
  </si>
  <si>
    <t>Weaver Press</t>
  </si>
  <si>
    <t>Parsons, Ross</t>
  </si>
  <si>
    <t>Making a Difference</t>
  </si>
  <si>
    <t>University of Namibia Press</t>
  </si>
  <si>
    <t>Amathila, I.; Amathila, I</t>
  </si>
  <si>
    <t>Architecture for Psychiatric Environments and Therapeutic Spaces</t>
  </si>
  <si>
    <t>Chrysikou, E.</t>
  </si>
  <si>
    <t>Health; Social Science; Architecture</t>
  </si>
  <si>
    <t>Jews and Genes : The Genetic Future in Contemporary Jewish Thought</t>
  </si>
  <si>
    <t>The Jewish Publication Society</t>
  </si>
  <si>
    <t>Dorff, Elliot N.; Zoloth, Laurie; Frankel, Mark S.</t>
  </si>
  <si>
    <t>Integrated Multidisciplinary Approaches in the Study and Care of the Human Eye</t>
  </si>
  <si>
    <t>Causin, P.; Guidoboni, G; Sacco, R</t>
  </si>
  <si>
    <t>Medieval Tastes : Food, Cooking, and the Table</t>
  </si>
  <si>
    <t>Montanari, Massimo; Brombert, Beth Archer</t>
  </si>
  <si>
    <t>Auditory-Verbal Therapy : For Young Children with Hearing Loss and their Families and the Practitioners Who Guide Them</t>
  </si>
  <si>
    <t>Bradham, Tamala S.; Houston, K. Todd</t>
  </si>
  <si>
    <t>Pre-Deployment Stress, Mental Health, and Help-Seeking Behaviors Among Marines</t>
  </si>
  <si>
    <t>Farmer, Carrie M.; Vaughan, Christine Anne; Garnett, Jeffrey; Weinick, Robin M.</t>
  </si>
  <si>
    <t>Augmentative and Alternative Communication : Engagement and Participation</t>
  </si>
  <si>
    <t>Carozza, Linda S</t>
  </si>
  <si>
    <t>Balance Function Assessment and Management : Prevention &amp; Management</t>
  </si>
  <si>
    <t>Chasin, Marshall</t>
  </si>
  <si>
    <t>Consultative Selling Skills for Audiologists</t>
  </si>
  <si>
    <t>Gunter, Cheryl D.; Koenig, Mareile A.</t>
  </si>
  <si>
    <t>Science; Language/Linguistics; Science: Biology/Natural History</t>
  </si>
  <si>
    <t>Developmental Language Disorders : Learning, Language, and the Brain</t>
  </si>
  <si>
    <t>Hartnick, Christopher J; Boseley, Mark E</t>
  </si>
  <si>
    <t>Diagnosis and Treatment of Traumatic Injuries to the Pediatric Craniofacial Skeleton</t>
  </si>
  <si>
    <t>Hartshorne, Thimothy S; Davenport, Sandra L H; Thelin, James W</t>
  </si>
  <si>
    <t>Laryngeal Dissection and Phonosurgical Atlas</t>
  </si>
  <si>
    <t>Klein, Adam; Johns III, Michael</t>
  </si>
  <si>
    <t>Handbook of Voice Assessments</t>
  </si>
  <si>
    <t>Lowit, Anja; Kent, Raymond D.</t>
  </si>
  <si>
    <t>Skull Base Surgery : Basic Techniques</t>
  </si>
  <si>
    <t>Moore, Charles E.; Olson, Jeffrey J.</t>
  </si>
  <si>
    <t>Here's How to Treat Dementia</t>
  </si>
  <si>
    <t>Image-Guided Surgery : Fundamentals and Clinical Applications in Otolaryngology</t>
  </si>
  <si>
    <t>Myers, Bre Lynn</t>
  </si>
  <si>
    <t>Multi-Layered Transcription : Episodic Symptoms and Treatment</t>
  </si>
  <si>
    <t>Roberts, Richard J.; Roberts, Mary Ann</t>
  </si>
  <si>
    <t>Self-Assessment of Hearing</t>
  </si>
  <si>
    <t>Ward, Elizabeth C.; Morgan, Angela T.</t>
  </si>
  <si>
    <t>TASERs and Arrest-Related Deaths</t>
  </si>
  <si>
    <t>Williams, Howard E.</t>
  </si>
  <si>
    <t>Health and Disease in Buddhist Minds</t>
  </si>
  <si>
    <t>Traugott Bautz Verlag</t>
  </si>
  <si>
    <t>Mahanarongchai, Sumalee</t>
  </si>
  <si>
    <t>Statistical Methods for Evaluating Safety in Medical Product Development</t>
  </si>
  <si>
    <t>Gould, A. Lawrence; Gould, A Lawrence</t>
  </si>
  <si>
    <t>Cirrhosis : A Practical Guide to Management</t>
  </si>
  <si>
    <t>Lee, Samuel S.; Moreau, Richard</t>
  </si>
  <si>
    <t>Ibn al-Jazzārs Zād al-musāfir wa-qūt al-ḥāḍir, Provisions for the Traveller and Nourishment for the Sedentary, Book 7 (730) : Critical Edition of the Arabic Text with English Translation, and Critical Edition of Moses ibn Tibbons Hebrew Translation (Ṣedat ha-Derakhim)</t>
  </si>
  <si>
    <t>Bos, Gerrit</t>
  </si>
  <si>
    <t>Managing Difficult Endings in Psychotherapy : It's Time</t>
  </si>
  <si>
    <t>Fat Removal : Invasive and Non-Invasive Body Contouring</t>
  </si>
  <si>
    <t>Avram, Mathew; Avram, Mathew</t>
  </si>
  <si>
    <t>Stuttering</t>
  </si>
  <si>
    <t>Yaremchuk, Kathleen L.; Wardrop, Pell Ann</t>
  </si>
  <si>
    <t>School Programs in Speech-Language Pathology : Organization and Service Delivery</t>
  </si>
  <si>
    <t>Vaezi, Michael F.</t>
  </si>
  <si>
    <t>Dysphagia in Movement Disorders</t>
  </si>
  <si>
    <t>Rosenbek, John C.; Jones, Harrison N.</t>
  </si>
  <si>
    <t>Counseling in Speech-Language Pathology and Audiology : Reconstructing Personal Narratives</t>
  </si>
  <si>
    <t>Halpern, Jesse; Forman, Scott; Flynn, Steven B.</t>
  </si>
  <si>
    <t>Guidelines on HIV and AIDS for the Postal Sector</t>
  </si>
  <si>
    <t>CULTIVATING EMPATHY : Inspiring Health Professionals to Communicate More Effectively</t>
  </si>
  <si>
    <t>Kathleen Stephany</t>
  </si>
  <si>
    <t>Research Process in Nursing (7th Edition)</t>
  </si>
  <si>
    <t>Gerrish, Kate; Lathlean, Judith</t>
  </si>
  <si>
    <t>Cytopathology Case Review</t>
  </si>
  <si>
    <t>VandenBussche, Christopher J.; Ali, Syed Z.</t>
  </si>
  <si>
    <t>A Contemporary Approach to Substance Use Disorders and Addiction Counseling : A Counselor's Guide to Application and Understanding</t>
  </si>
  <si>
    <t>Brooks, Ford; McHenry, Bill; American Counseling Association,</t>
  </si>
  <si>
    <t>Appetites for Thought : Philosophers and Food</t>
  </si>
  <si>
    <t>Onfray, Michel; Muecke, Stephen; Barry, Donald</t>
  </si>
  <si>
    <t>Home Economics; Philosophy</t>
  </si>
  <si>
    <t>Purchasing Medical Innovation : The Right Technology, for the Right Patient, at the Right Price</t>
  </si>
  <si>
    <t>Robinson, James C.</t>
  </si>
  <si>
    <t>Pathophysiology for Nurses at a Glance</t>
  </si>
  <si>
    <t>Nair, Muralitharan; Peate, Ian</t>
  </si>
  <si>
    <t>Get Me Through Tomorrow : A Sister's Memoir of Brain Injury and Revival</t>
  </si>
  <si>
    <t>UNP - Nebraska</t>
  </si>
  <si>
    <t>Crigler, Mojie</t>
  </si>
  <si>
    <t>The Upward Spiral : Using Neuroscience to Reverse the Course of Depression, One Small Change at a Time</t>
  </si>
  <si>
    <t>Korb, Alex; Siegel, Daniel J.</t>
  </si>
  <si>
    <t>The Art of BART : Bilateral Affective Reprocessing of Thoughts As a Dynamic Model for Psychotherapy</t>
  </si>
  <si>
    <t>G. O'Malley, Arthur</t>
  </si>
  <si>
    <t>HIV Epidemics in the European Region : Vulnerability and Response</t>
  </si>
  <si>
    <t>Platt, Lucy; Jolley, Emma; Hope, Vivian; Hope, Vivian; Latypov, Alisher; Vickerman, Peter; Hickson, Ford C. I.; Reynolds, Lucy; Rhodes, Tim</t>
  </si>
  <si>
    <t>Ethics Police? : The Struggle to Make Human Research Safe</t>
  </si>
  <si>
    <t>Klitzman, Robert</t>
  </si>
  <si>
    <t>Antineoplastic Drugs : Organic Syntheses</t>
  </si>
  <si>
    <t>Dialectical Behavior Therapy : A Contemporary Guide for Practitioners</t>
  </si>
  <si>
    <t>Pederson, Lane D.</t>
  </si>
  <si>
    <t>Biomarker Validation : Technological, Clinical and Commercial Aspects</t>
  </si>
  <si>
    <t>Seitz, Harald; Schumacher, Sarah</t>
  </si>
  <si>
    <t>The Concepts of Health and Disease</t>
  </si>
  <si>
    <t>Lan, Fengli; Wallner, Friedrich G.</t>
  </si>
  <si>
    <t>Child and Adolescent Communication Disorders : Organic and Neurogenic Bases</t>
  </si>
  <si>
    <t>Derebery, M. Jennifer; Luxford, William M.</t>
  </si>
  <si>
    <t>Basic Audiometry Learning Manual</t>
  </si>
  <si>
    <t>DeRuiter, Mark; Ramachandran, Virginia</t>
  </si>
  <si>
    <t>Classics in Voice and Laryngology : The Complete Perspective</t>
  </si>
  <si>
    <t>Driscoll, Carlie J.; McPherson, Bradley</t>
  </si>
  <si>
    <t>Educating Children with Velo-Cardio-Facial Syndrome (Also Known as 22q11.2 Deletion Syndrome and DiGeorge Syndrome) : Cry, Stridor and Cough</t>
  </si>
  <si>
    <t>Hirschberg, Jenő; Szende, Tamás Szende; Koltai, Peter Koltai; Illenyi, Andras</t>
  </si>
  <si>
    <t>Mittal, Ravinder K.</t>
  </si>
  <si>
    <t>Classifications in Facial Plastic Surgery</t>
  </si>
  <si>
    <t>Oxley, Paul James</t>
  </si>
  <si>
    <t>Eye Emergencies : a practitioner's guide</t>
  </si>
  <si>
    <t>Tillotson, Julie; Field, Dorothy; Whittingham, Emma</t>
  </si>
  <si>
    <t>Husain, Aatif M.</t>
  </si>
  <si>
    <t>Tumor Board Review : Guideline and Case Reviews in Oncology</t>
  </si>
  <si>
    <t>Todd III, Robert F.; Cooney, Kathleen A.; Hayes, Teresa G.; Worden, Francis P , MD; Hayes, Teresa G.; Todd, Robert F; Cooney, Kathleen A; Hayes, Teresa G; Pritchett Mims, Martha; Worden, Francis P , MD</t>
  </si>
  <si>
    <t>Augmentative and Alternative Communication in Acute and Critical Care Settings</t>
  </si>
  <si>
    <t>Hurtig, Richard R.; Downey, Deborah A.</t>
  </si>
  <si>
    <t>Milestones : Normal Speech and Language Development Across the Lifespan (2012)</t>
  </si>
  <si>
    <t>Oller, John W., Jr.; Oller, Stephen D.; Oller, Stacy N.</t>
  </si>
  <si>
    <t>Oral Drug Absorption : Prediction and Assessment</t>
  </si>
  <si>
    <t>Dressman, Jennifer B.; Lennernas, Hans</t>
  </si>
  <si>
    <t>Another Person's Poison : A History of Food Allergy</t>
  </si>
  <si>
    <t>Walking the Night Road : Coming of Age in Grief</t>
  </si>
  <si>
    <t>Butler, Alexandra</t>
  </si>
  <si>
    <t>The Thirteenth Step : Addiction in the Age of Brain Science</t>
  </si>
  <si>
    <t>Heilig, Markus</t>
  </si>
  <si>
    <t>Waking up Dry : A Guide to Help Children Overcome Bedwetting</t>
  </si>
  <si>
    <t>Bennett, Howard</t>
  </si>
  <si>
    <t>HIV Exceptionalism : Development through Disease in Sierra Leone</t>
  </si>
  <si>
    <t>Benton, Adia</t>
  </si>
  <si>
    <t>International Best Practices in Health Care Management</t>
  </si>
  <si>
    <t>Buttigieg, Sandra C.; Rathert, Cheryl; von Eiff, Wilfried</t>
  </si>
  <si>
    <t>Pediatric Urology : Surgical Complications and Management</t>
  </si>
  <si>
    <t>Godbole, Prasad P.; Koyle, Martin A.; Wilcox, Duncan T.</t>
  </si>
  <si>
    <t>Social Networking and New Technologies : STARs Social Networking and New Technologies</t>
  </si>
  <si>
    <t>American Academy of Pediatrics Section on Adolescent Health Staff; Moreno, Megan A.; Strasburger, Victor C.</t>
  </si>
  <si>
    <t>2015 Nelson's Pediatric Antimicrobial Therapy, 21st Edition</t>
  </si>
  <si>
    <t>Bradley ,  John   S.; Nelson , John  D.; Cantey, MD, Joseph B.</t>
  </si>
  <si>
    <t>Antitargets and Drug Safety</t>
  </si>
  <si>
    <t>Urban, Laszlo; Patel, Vinod; Vaz, Roy J.</t>
  </si>
  <si>
    <t>Digging for Victory : Horticultural Therapy with Veterans for Post-Traumatic Growth</t>
  </si>
  <si>
    <t>Wise, Joanna</t>
  </si>
  <si>
    <t>The Economics of Libido : Psychic Bisexuality, the Superego, and the Centrality of the Oedipus Complex</t>
  </si>
  <si>
    <t>C. Pederson, Trevor</t>
  </si>
  <si>
    <t>Cradling the Chrysalis : Teaching and Learning Psychotherapy</t>
  </si>
  <si>
    <t>Goldenberg, Harriett; MacCallum Sullivan, Mary</t>
  </si>
  <si>
    <t>Donor Conception for Life : Psychoanalytic Reflections on New Ways of Conceiving Families</t>
  </si>
  <si>
    <t>Fine, Katherine</t>
  </si>
  <si>
    <t>Relational Patterns, Therapeutic Presence : Concepts and Practice of Integrative Psychotherapy</t>
  </si>
  <si>
    <t>G. Erskine, Richard</t>
  </si>
  <si>
    <t>The Psyche in the Modern World : Psychotherapy and Society</t>
  </si>
  <si>
    <t>Warnecke, Tom</t>
  </si>
  <si>
    <t>Understanding Brain Aging and Dementia : A Life Course Approach</t>
  </si>
  <si>
    <t>Whalley, Lawrence J.</t>
  </si>
  <si>
    <t>Pancreatic Cancer, Cystic Neoplasms and Endocrine Tumors : Diagnosis and Management</t>
  </si>
  <si>
    <t>Beger, Hans G.; Nakao, Akimasa; Neoptolemos, John P.; Peng, Shu You; Sarr, Michael G.; Beger, Hans G; Nakao, Akimasa; Neoptolemos, John P; Peng, Shu You; Sarr, Michael G</t>
  </si>
  <si>
    <t>The Healthy Skeptic : Cutting Through the Hype about Your Health</t>
  </si>
  <si>
    <t>Davis, Robert J.</t>
  </si>
  <si>
    <t>Epilepsy and the Interictal State : Co-Morbidities and Quality of Life</t>
  </si>
  <si>
    <t>St Louis, Erik K.; Ficker, David M.; O'Brien, Terence J.</t>
  </si>
  <si>
    <t>Adolescent Urology and Long-Term Outcomes</t>
  </si>
  <si>
    <t>Woodhouse, Christopher R. J.; Woodhouse, C R J</t>
  </si>
  <si>
    <t>Cultural Adaptation of CBT for Serious Mental Illness : A Guide for Training and Practice</t>
  </si>
  <si>
    <t>Rathod, Shanaya; Kingdon, David; Pinninti, Narsimha; Turkington, Douglas; Phiri, Peter</t>
  </si>
  <si>
    <t>Anxiety and Personality : The Concept of a Directing Object and its Applications</t>
  </si>
  <si>
    <t>Koenig, Karl</t>
  </si>
  <si>
    <t>Psychodynamic Psychotherapy with Transactional Analysis : Theory and Narration of a Living Experience</t>
  </si>
  <si>
    <t>Emanuela Tangolo, Anna</t>
  </si>
  <si>
    <t>On Minding and Being Minded : Experiencing Bion and Beckett</t>
  </si>
  <si>
    <t>Miller, Ian</t>
  </si>
  <si>
    <t>Treating the Other Third : Vicissitudes of Adolescent Development and Therapy</t>
  </si>
  <si>
    <t>Spencer Bloch, H.</t>
  </si>
  <si>
    <t>Would-Be Wife Killer : A Clinical Study of Primitive Mental Functions, Actualised Unconscious Fantasies, Satellite States, and Developmental Steps</t>
  </si>
  <si>
    <t>30 Great Myths about the Romantics</t>
  </si>
  <si>
    <t>Wu, Duncan</t>
  </si>
  <si>
    <t>Essential Manual of 24 Hour Blood Pressure Control : From morning to nocturnal hypertension</t>
  </si>
  <si>
    <t>Kario, Kazuomi</t>
  </si>
  <si>
    <t>Erika Sutter : Seen with Other Eyes:Memories of a Swiss Eye Doctor in Rural South Africa</t>
  </si>
  <si>
    <t>Basler Afrika Bibliographien</t>
  </si>
  <si>
    <t>Stiehle, Gertrud; Lund, Frances ; Ramphele, Mamphela</t>
  </si>
  <si>
    <t>ABC of Sports and Exercise Medicine</t>
  </si>
  <si>
    <t>Whyte, Gregory; Loosemore, Mike; Williams, Clyde</t>
  </si>
  <si>
    <t>Perfusion for Congenital Heart Surgery : Notes on Cardiopulmonary Bypass for a Complex Patient Population</t>
  </si>
  <si>
    <t>Matte, Gregory S.</t>
  </si>
  <si>
    <t>Early Childhood Oral Health</t>
  </si>
  <si>
    <t>Berg, Joel H.; Slayton, Rebecca L.</t>
  </si>
  <si>
    <t>Hoole, Stephen; Fry, Andrew; Davies, Rachel</t>
  </si>
  <si>
    <t>Treatment Strategies for Substance Abuse and Process Addictions</t>
  </si>
  <si>
    <t>Wiley; Smith, Robert L.</t>
  </si>
  <si>
    <t>Upcycling Sheltered Workshops : A Revolutionary Approach to Transforming Workshops into Creative Spaces</t>
  </si>
  <si>
    <t>Dlouhy, Susan; Mitchell, Patty; Harter, Lynn M.</t>
  </si>
  <si>
    <t>We Know How This Ends : Living while Dying</t>
  </si>
  <si>
    <t>Kramer, Bruce H.; Wurzer, Cathy</t>
  </si>
  <si>
    <t>Environmentally Significant Behaviour in the Czech Republic : Energy, Food and Transportation</t>
  </si>
  <si>
    <t>Charles University in Prague, Karolinum Press</t>
  </si>
  <si>
    <t>Šcasný, Milan; Urban, Jan; Zverinová, Iva</t>
  </si>
  <si>
    <t>English for Pharmacy and Medical Bioanalytics</t>
  </si>
  <si>
    <t>Havlícková, Ilona; Dostálová, Šárka; Katerová, Zuzana</t>
  </si>
  <si>
    <t>Pathophysiology. Laboratory exercises</t>
  </si>
  <si>
    <t>Sobotka, Pavel</t>
  </si>
  <si>
    <t>HIV and AIDS, Communication, and Secondary Education in Kenya</t>
  </si>
  <si>
    <t>Ndati, Ndeti</t>
  </si>
  <si>
    <t>Patient Studies in Valvular, Congenital and Rarer Forms of Cardiovascular Disease : An Integrative Approach</t>
  </si>
  <si>
    <t>Allergy and Clinical Immunology : Allergy and Clinical Immunology</t>
  </si>
  <si>
    <t>Sampson, Hugh A.; Friedman, Scott L.; Friedman, Scott L</t>
  </si>
  <si>
    <t>How to Succeed at Medical School : An Essential Guide to Learning</t>
  </si>
  <si>
    <t>Evans, Dason; Brown, Jo</t>
  </si>
  <si>
    <t>Working With Difficult Patients : From Neurosis to Psychosis</t>
  </si>
  <si>
    <t>All in Your Head : Making Sense of Pediatric Pain</t>
  </si>
  <si>
    <t>Buchbinder, Mara</t>
  </si>
  <si>
    <t>Protocols for High-Risk Pregnancies : An Evidence-Based Approach</t>
  </si>
  <si>
    <t>Understanding Patients' Voices : A multi-method approach to health discourse</t>
  </si>
  <si>
    <t>Antón, Marta; Goering, Elizabeth M.</t>
  </si>
  <si>
    <t>Psychoanalytic Filiations : Mapping the Psychoanalytic Movement</t>
  </si>
  <si>
    <t>Falzeder, Ernst</t>
  </si>
  <si>
    <t>Fiat Flux : The Writings of Wilson R. Bachelor, Nineteenth-Century Country Doctor and Philosopher</t>
  </si>
  <si>
    <t>University of Arkansas Press</t>
  </si>
  <si>
    <t>Bruce, Tom; Wolfe, Jonathan; Lindsey, William D.</t>
  </si>
  <si>
    <t>The IOC Manual of Emergency Sports Medicine</t>
  </si>
  <si>
    <t>McDonagh, David; Zideman, David; International Olympic Committee,</t>
  </si>
  <si>
    <t>Geriatric Medicine at a Glance</t>
  </si>
  <si>
    <t>Blundell, Adrian; Gordon, Adam</t>
  </si>
  <si>
    <t>Fundamentals of Health at Work</t>
  </si>
  <si>
    <t>Wilkinson, Carol; Wilkinson, C.</t>
  </si>
  <si>
    <t>Ways of approaching knowledge in late antiquity and the early middle ages Schools and Scholarship</t>
  </si>
  <si>
    <t>Alberto, Paulo Farmhouse; Paniagua, David</t>
  </si>
  <si>
    <t>The Disintegrating Self : Psychotherapy of Adult ADHD, Autistic Spectrum, and Somato-Psychic Disorders</t>
  </si>
  <si>
    <t>Already Doing It : Intellectual Disability and Sexual Agency</t>
  </si>
  <si>
    <t>Gill, Michael</t>
  </si>
  <si>
    <t>Pseudohypacusis : False and Exaggerated Hearing Loss</t>
  </si>
  <si>
    <t>Assessing Listening and Spoken Language in Children with Hearing Loss : From Science to Practice</t>
  </si>
  <si>
    <t>Bellis, Teri James</t>
  </si>
  <si>
    <t>Choral Pedagogy</t>
  </si>
  <si>
    <t>Djalilian, Hamid</t>
  </si>
  <si>
    <t>Introduction to Healthcare for Spanish-speaking Interpreters and Translators</t>
  </si>
  <si>
    <t>Crezee, Ineke H.M.; Mikkelson, Holly; Monzon-Storey, Laura</t>
  </si>
  <si>
    <t>Assessment of Communication Disorders in Adults</t>
  </si>
  <si>
    <t>Hegde, M. N.; Freed, Don</t>
  </si>
  <si>
    <t>Pappas, Nicole Watts; McLeod, Sharynne</t>
  </si>
  <si>
    <t>Integrative Pediatrics</t>
  </si>
  <si>
    <t>Culbert, Timothy; Olness, Karen</t>
  </si>
  <si>
    <t>Patient, Heal Thyself : How the New Medicine Puts the Patient in Charge</t>
  </si>
  <si>
    <t>Veatch, Robert M.</t>
  </si>
  <si>
    <t>The Sterilization Movement and Global Fertility in the Twentieth Century</t>
  </si>
  <si>
    <t>The Case of Terri Schiavo : Ethics, Politics, and Death in the 21st Century</t>
  </si>
  <si>
    <t>Goodman, Kenneth</t>
  </si>
  <si>
    <t>Khan, Muhammad Asim</t>
  </si>
  <si>
    <t>Dictionary of Health Education</t>
  </si>
  <si>
    <t>Bedworth, David; Bedworth, Albert E.</t>
  </si>
  <si>
    <t>Embracing Our Mortality : Hard Choices in an Age of Medical Miracles</t>
  </si>
  <si>
    <t>Schneiderman, Lawrence J.</t>
  </si>
  <si>
    <t>Overcoming Alcohol Problems : A Couples-Focused Program Workbook</t>
  </si>
  <si>
    <t>Tough Decisions : Cases in Medical Ethics</t>
  </si>
  <si>
    <t>Freeman, John M.; McDonnell, Kevin</t>
  </si>
  <si>
    <t>The Future of Bioethics</t>
  </si>
  <si>
    <t>Brody, Howard</t>
  </si>
  <si>
    <t>Science; Science: Biology/Natural History; Philosophy</t>
  </si>
  <si>
    <t>When Doctors Become Patients</t>
  </si>
  <si>
    <t>Just Caring : Health Care Rationing and Democratic Deliberation</t>
  </si>
  <si>
    <t>Fleck, Leonard M.</t>
  </si>
  <si>
    <t>Flesh and Blood : A Cultural History of Transplantation and Transfusion in Twentieth-century America</t>
  </si>
  <si>
    <t>Lederer, Susan E.</t>
  </si>
  <si>
    <t>Oxford American Handbook of Obstetrics and Gynecology</t>
  </si>
  <si>
    <t>Norwitz, Errol R.; Arulkumaran, S.; Fowlie, A.; Symonds, I.</t>
  </si>
  <si>
    <t>How Safe Is Safe Enough? : Obligations to the Children of Reproductive Technology</t>
  </si>
  <si>
    <t>Peters, Philip G., Jr.</t>
  </si>
  <si>
    <t>Müller's Lab</t>
  </si>
  <si>
    <t>Otis, Laura</t>
  </si>
  <si>
    <t>Word As Scalpel : A History of Medical Sociology</t>
  </si>
  <si>
    <t>Bloom, Samuel W.</t>
  </si>
  <si>
    <t>False Hope : Bone Marrow Transplantation for Breast Cancer</t>
  </si>
  <si>
    <t>Rettig, Richard A.; Aubry, Wade M.; Farquhar, Cynthia M.; Jacobson, Peter D.</t>
  </si>
  <si>
    <t>Performing New Media, 1890-1915</t>
  </si>
  <si>
    <t>Askari, Kaveh; Curtis, Scott; Gray, Frank; Pelletier, Louis; Williams, Tami; Yumibe, Joshua</t>
  </si>
  <si>
    <t>Forensic Facial Identification : Theory and Practice of Identification from Eyewitnesses, Composites and CCTV</t>
  </si>
  <si>
    <t>Valentine, Tim; Davis, Josh P.</t>
  </si>
  <si>
    <t>Marketing Implant Dentistry</t>
  </si>
  <si>
    <t>Hines, Marcus</t>
  </si>
  <si>
    <t>Alcohol Abuse and Liver Disease</t>
  </si>
  <si>
    <t>DiMartini, Andrea; Neuberger, James</t>
  </si>
  <si>
    <t>Signs and Symptoms in Pediatrics</t>
  </si>
  <si>
    <t>Adam, Henry M.; Foy, Jane Meschan; Henry H Adam; Jane Foy; Adam, Henry H.; Foy, Jane</t>
  </si>
  <si>
    <t>Pediatric Clinical Practice Guidelines &amp; Policies, 15th Edition : A Compendium of Evidence-based Research for Pediatric Practice</t>
  </si>
  <si>
    <t>Sexuality education in different contexts : Limitations and Possibilities</t>
  </si>
  <si>
    <t>Weare, Katherine; Simovska, Venka; Kane, Ros</t>
  </si>
  <si>
    <t>Diet, food and eating and the Health Promoting School</t>
  </si>
  <si>
    <t>Weare, Katherine</t>
  </si>
  <si>
    <t>What action can government take to improve food safety in a diverse and multi-cultural hospitality industry?</t>
  </si>
  <si>
    <t>Taylor, Eunice; Teare, Richard</t>
  </si>
  <si>
    <t>Khan's The Physics of Radiation Therapy</t>
  </si>
  <si>
    <t>Wolters Kluwer Health</t>
  </si>
  <si>
    <t>Khan, Faiz M.; Gibbons, John P.</t>
  </si>
  <si>
    <t>Diseases of the Breast</t>
  </si>
  <si>
    <t>Harris, Jay R.; Lippman, Marc E.; Morrow, Monica; Osborne, C. Kent</t>
  </si>
  <si>
    <t>Manual of Dermatologic Therapeutics</t>
  </si>
  <si>
    <t>Arndt, Kenneth A.; Hsu, Jeffrey T. S.; Alam, Murad; Bhatia, Ashish C.; Chilukuri, Suneel</t>
  </si>
  <si>
    <t>Healthy Aging : Principles and Clinical Practice for Clinicians</t>
  </si>
  <si>
    <t>Burggraf, Virginia; Kim, Kye Y.; Knight, Aubrey L.</t>
  </si>
  <si>
    <t>Interpretation of Pulmonary Function Tests</t>
  </si>
  <si>
    <t>Hyatt, Robert E.; Scanlon, Paul D.; Nakamura, Masao</t>
  </si>
  <si>
    <t>Substance Abuse Handbook</t>
  </si>
  <si>
    <t>Ruiz, Pedro; Strain, Eric C.</t>
  </si>
  <si>
    <t>Clinical Guide to Gluten-Related Disorders</t>
  </si>
  <si>
    <t>Fasano, Alessio</t>
  </si>
  <si>
    <t>Bailey's Head and Neck Surgery : Otolaryngology</t>
  </si>
  <si>
    <t>Johnson, Jonas</t>
  </si>
  <si>
    <t>AWHONN's Perinatal Nursing</t>
  </si>
  <si>
    <t>Simpson, Kathleen R.; Creehan, Pat A.</t>
  </si>
  <si>
    <t>Advances in Surgical Pathology: Mesothelioma</t>
  </si>
  <si>
    <t>Attanoos, Richard L.; Allen, Timothy C.; Borczuk, Alain C.; Galateau-Salle, Francoise; Gibbs, Allen R.; Lester, Jason; Allen, Timothy C</t>
  </si>
  <si>
    <t>Abrams' Angiography : Interventional Radiology</t>
  </si>
  <si>
    <t>Geschwind, Jeffrey; Dake, Michael</t>
  </si>
  <si>
    <t>Core Curriculum for Infusion Nursing</t>
  </si>
  <si>
    <t>Alexander, Mary; Corrigan, Ann M.; Gorski, Lisa A.; Phillips, Lynn</t>
  </si>
  <si>
    <t>Resolving Ethical Dilemmas : A Guide for Clinicians</t>
  </si>
  <si>
    <t>Lo, Bernard</t>
  </si>
  <si>
    <t>Principles and Practice of Gynecologic Oncology</t>
  </si>
  <si>
    <t>Barakat, Richard; Berchuck, Andrew; Markman, Maurie; Randall, Marcus E.</t>
  </si>
  <si>
    <t>Advances in Surgical Pathology : Colorectal Carcinoma and Tumors of the Vermiform Appendix</t>
  </si>
  <si>
    <t>Yantiss, Rhonda</t>
  </si>
  <si>
    <t>Musculoskeletal Ultrasound</t>
  </si>
  <si>
    <t>Beggs, Ian</t>
  </si>
  <si>
    <t>Sports Medicine Conditions: Return To Play: Recognition, Treatment, Planning</t>
  </si>
  <si>
    <t>Miller, Mark D.; Chhabra, A. Bobby; Konin, Jeff; Mistry, Dillawar; Mistry, Dilaawar</t>
  </si>
  <si>
    <t>Acute Care Surgery</t>
  </si>
  <si>
    <t>Britt, L. D.; Peitzman, Andrew; Barie, Phillip; Peitzman, Andrew</t>
  </si>
  <si>
    <t>ACLS Review Made Incredibly Easy</t>
  </si>
  <si>
    <t>Lippincott; Lippincott Williams &amp; Wilkins,</t>
  </si>
  <si>
    <t>Hemostasis and Thrombosis : Basic Principles and Clinical Practice</t>
  </si>
  <si>
    <t>Marder, Victor J.; Aird, William C.; Bennett, Joel S.; Schulman, Sam; Gilbert C. White, II</t>
  </si>
  <si>
    <t>Operative Arthroscopy</t>
  </si>
  <si>
    <t>Johnson, Don; Amendola, Ned Annuziato; Barber, F.; Field, Larry D.; Richmond, John C.; Sgaglione, Nicholas A.; Sgaglione, Nicholas</t>
  </si>
  <si>
    <t>Clinical Guide to Skin &amp; Wound Care</t>
  </si>
  <si>
    <t>Hess, Cathy T.</t>
  </si>
  <si>
    <t>Foot and Ankle Sports Medicine</t>
  </si>
  <si>
    <t>Altchek, David W.; DiGiovanni, Christopher W; Dines, Joshua S; Positano, Rock G</t>
  </si>
  <si>
    <t>ACSM's Sports Medicine : A Comprehensive Review</t>
  </si>
  <si>
    <t>O'Connor, Francis G.</t>
  </si>
  <si>
    <t>Harris &amp; Harris' The Radiology of Emergency Medicine</t>
  </si>
  <si>
    <t>Thomas L. Pope, Jr.; John H. Harris, Jr.</t>
  </si>
  <si>
    <t>Master Techniques in Orthopaedic Surgery: Fractures</t>
  </si>
  <si>
    <t>Wiss, Donald</t>
  </si>
  <si>
    <t>Pediatric Hand and Upper Limb Surgery : A Practical Guide</t>
  </si>
  <si>
    <t>Waters, Peter M.; Bae, Donald S.</t>
  </si>
  <si>
    <t>AWHONN High-Risk &amp; Critical Care Obstetrics</t>
  </si>
  <si>
    <t>Troiano, Nan H.; Harvey, Carol J.; Chez, Bonnie F.</t>
  </si>
  <si>
    <t>Operative Techniques in Orthopaedic Surgical Oncology</t>
  </si>
  <si>
    <t>J., Bickels; Malawer, Martin M.; Wittig, J.</t>
  </si>
  <si>
    <t>The Washington Manual of Echocardiography</t>
  </si>
  <si>
    <t>Rasalingam, Ravi; Makan, Majesh; Pérez, Julio E.</t>
  </si>
  <si>
    <t>Manual of Orthopaedics</t>
  </si>
  <si>
    <t>Swiontkowski, Marc F.</t>
  </si>
  <si>
    <t>Atlas of Oculoplastic and Orbital Surgery</t>
  </si>
  <si>
    <t>Dutton, Jonathan</t>
  </si>
  <si>
    <t>Cardiothoracic Surgery Review</t>
  </si>
  <si>
    <t>Franco, Kenneth L.; Thourani, Vinod H.; Thourani, Dr Vinod H</t>
  </si>
  <si>
    <t>Eye Pathology : An Atlas and Text</t>
  </si>
  <si>
    <t>Eagle, Ralph C.</t>
  </si>
  <si>
    <t>Emans, Laufer, Goldstein's Pediatric and Adolescent Gynecology</t>
  </si>
  <si>
    <t>Emans, S. Jean; Laufer, Marc R.</t>
  </si>
  <si>
    <t>Ocular Therapeutics Handbook : A Clinical Manual</t>
  </si>
  <si>
    <t>Onofrey, Bruce E.; Skorin Jr., Leonid; Holdeman, Nicky R.</t>
  </si>
  <si>
    <t>Radiobiology for the Radiologist</t>
  </si>
  <si>
    <t>Hall, Eric J.; Giaccia, Amato J.</t>
  </si>
  <si>
    <t>Fischer's Mastery of Surgery</t>
  </si>
  <si>
    <t>Fischer, Josef E.; Jones, Daniel B.; Pomposelli, Frank B.; Pomposelli, Frank; Upchurch, Gilbert; Fischer, Josef E; Jones, Daniel; Pomposelli, Frank; Upchurch, Gilbert R , Jr</t>
  </si>
  <si>
    <t>Irwin and Rippe's Intensive Care Medicine</t>
  </si>
  <si>
    <t>Irwin, Richard S.; Rippe, James M.</t>
  </si>
  <si>
    <t>M.D. Anderson Surgical Oncology Handbook</t>
  </si>
  <si>
    <t>Feig, Barry W.; Ching, Denise C.</t>
  </si>
  <si>
    <t>Hospital Epidemiology and Infection Control</t>
  </si>
  <si>
    <t>Mayhall, C. Glen</t>
  </si>
  <si>
    <t>Treatment Planning in Radiation Oncology</t>
  </si>
  <si>
    <t>Khan, Faiz M.; Gerbi, Bruce J.</t>
  </si>
  <si>
    <t>Pediatric Neuroimaging</t>
  </si>
  <si>
    <t>Barkovich, A. James; Raybaud, Charles</t>
  </si>
  <si>
    <t>Health Physics and Radiological Health</t>
  </si>
  <si>
    <t>Johnson, Thomas E.; Birky, Brian K.</t>
  </si>
  <si>
    <t>Localization in Clinical Neurology</t>
  </si>
  <si>
    <t>Brazis, Paul W.; Masdeu, Joseph C.; Biller, José</t>
  </si>
  <si>
    <t>Telephone Triage Protocols for Nurses</t>
  </si>
  <si>
    <t>Briggs, Julie K.</t>
  </si>
  <si>
    <t>5-Minute Sports Medicine Consult</t>
  </si>
  <si>
    <t>Bracker, Mark D.; Achar, Suraj A; Pana, Andrea L; Taylor, Kenneth S</t>
  </si>
  <si>
    <t>Essential Physics of Medical Imaging</t>
  </si>
  <si>
    <t>Bushberg, Jerrold T.; Seibert, J. A.; Leidholdt, Edwin M.</t>
  </si>
  <si>
    <t>Handbook of Cancer Chemotherapy</t>
  </si>
  <si>
    <t>Skeel, Roland T.; Khlief, Samir N.</t>
  </si>
  <si>
    <t>Lippincott's Nursing Guide to Expert Elder Care</t>
  </si>
  <si>
    <t>Lippincott; Calvery-Carman, Julie A; Davis, Anne W; Dean, Margaret; DeGroot, Laurie S; Ferris, Mara</t>
  </si>
  <si>
    <t>Operative Techniques in Foot and Ankle Surgery</t>
  </si>
  <si>
    <t>Easley, Mark E.; Wiesel, Sam W.</t>
  </si>
  <si>
    <t>Principles and Practice of Pediatric Oncology</t>
  </si>
  <si>
    <t>Pizzo, Philip A.; Poplack, David G.</t>
  </si>
  <si>
    <t>Clinical Guide for Contraception</t>
  </si>
  <si>
    <t>Speroff, Leon; Darney, Philip D.</t>
  </si>
  <si>
    <t>Professional Guide to Signs and Symptoms</t>
  </si>
  <si>
    <t>Lippincott</t>
  </si>
  <si>
    <t>Lippincott's Guide to Infectious Diseases</t>
  </si>
  <si>
    <t>Wyllie's Treatment of Epilepsy : Principles and Practice</t>
  </si>
  <si>
    <t>Wyllie, Elaine; Cascino, Gregory D.; Gidal, Barry E.; Goodkin, Howard</t>
  </si>
  <si>
    <t>Cancer Chemotherapy and Biotherapy : Principles and Practice</t>
  </si>
  <si>
    <t>Chabner, Bruce A.; Longo, Dan L.</t>
  </si>
  <si>
    <t>Greenfield's Surgery : Scientific Principles &amp; Practice</t>
  </si>
  <si>
    <t>Mulholland, Michael W.; Lillemoe, Keith D.; Doherty, Gerard M.; Maier, Ronald V.; Simeone, Diane M.; Upchurch, Gilbert R.</t>
  </si>
  <si>
    <t>Neurology for the Non-Neurologist</t>
  </si>
  <si>
    <t>Weiner, William J.; Goetz, Christopher G.; Shin, Robert K.; Lewis, Steven L.</t>
  </si>
  <si>
    <t>Imaging of the Foot and Ankle</t>
  </si>
  <si>
    <t>Berquist, Thomas H.</t>
  </si>
  <si>
    <t>Pediatric Radiation Oncology</t>
  </si>
  <si>
    <t>Halperin, Edward C.; Constine, Louis S.; Tarbell, Nancy J.; Kun, Larry E.</t>
  </si>
  <si>
    <t>Principles and Practice of Psychopharmacotherapy</t>
  </si>
  <si>
    <t>Janicak, Philip G.; Marder, Stephen R.; Pavuluri, Mani N.</t>
  </si>
  <si>
    <t>Clinical Gynecologic Endocrinology and Infertility</t>
  </si>
  <si>
    <t>Fritz, Marc A.; Speroff, Leon</t>
  </si>
  <si>
    <t>Niedermeyer's Electroencephalography : Basic Principles, Clinical Applications, and Related Fields</t>
  </si>
  <si>
    <t>Schomer, Donald L.; Lopes da Silva, Fernando</t>
  </si>
  <si>
    <t>H.E.R.B.A.L. Guide : Dietary Supplement Resources for the Clinician</t>
  </si>
  <si>
    <t>Bonakdar, Robert Alan</t>
  </si>
  <si>
    <t>Manual of Ambulatory Pediatrics</t>
  </si>
  <si>
    <t>Boynton, Rose W.; Dunn, Elizabeth S.; Pulcini, Joyce; St. Pierre, Sherri; Stephens, Geraldine R.</t>
  </si>
  <si>
    <t>Surgical Exposures in Orthopaedics : The Anatomic Approach</t>
  </si>
  <si>
    <t>Hoppenfeld, Stanley; deBoer, Piet; Buckley, Richard</t>
  </si>
  <si>
    <t>Drennan's The Child's Foot and Ankle</t>
  </si>
  <si>
    <t>McCarthy, James J.; Drennan, James C.</t>
  </si>
  <si>
    <t>Clinical Imaging : An Atlas of Differential Diagnosis</t>
  </si>
  <si>
    <t>Eisenberg, Ronald L.</t>
  </si>
  <si>
    <t>Interpretation of Pulmonary Function Tests : A Practical Guide</t>
  </si>
  <si>
    <t>Fundamentals of Pediatric Orthopedics</t>
  </si>
  <si>
    <t>Staheli, Lynn T</t>
  </si>
  <si>
    <t>Hospital for Sick Children Manual of Pediatric Trauma</t>
  </si>
  <si>
    <t>Mikrogianakis, Angelo; Valani, Rahim; Cheng, Adam</t>
  </si>
  <si>
    <t>Practical Orthopaedic Sports Medicine and Arthroscopy</t>
  </si>
  <si>
    <t>Johnson, Donald H.; Pedowitz, Robert A.</t>
  </si>
  <si>
    <t>Osteoarthritis : Diagnosis and Medical/Surgical Management</t>
  </si>
  <si>
    <t>Moskowitz, Roland W.; Altman, Roy D.; Buckwalter, Joseph A.</t>
  </si>
  <si>
    <t>Spinal Trauma : Imaging, Diagnosis, and Management</t>
  </si>
  <si>
    <t>Schwartz, Eric D.; Flanders, Adam E.</t>
  </si>
  <si>
    <t>Handbook of Headache</t>
  </si>
  <si>
    <t>Evans, Randolph W.; Mathew, Ninan T.</t>
  </si>
  <si>
    <t>Handbook of Medical-Surgical Nursing</t>
  </si>
  <si>
    <t>Lippincott; Springhouse</t>
  </si>
  <si>
    <t>Handbook of Gastroenterology</t>
  </si>
  <si>
    <t>Yamada, Tadataka; Hasler, William L.; Inadomi, John M.</t>
  </si>
  <si>
    <t>Pediatric Cataract Surgery : Techniques, Complications, and Management</t>
  </si>
  <si>
    <t>Wilson, M. Edward; Trivedi, Rupal H.; Pandey, Suresh K.</t>
  </si>
  <si>
    <t>Age-Related Macular Degeneration : A Comprehensive Textbook</t>
  </si>
  <si>
    <t>Alfaro, D. Virgil; Liggett, Peter E.; Mieler, William F.; Quiroz-Mercado, Hugo</t>
  </si>
  <si>
    <t>Lippincott Manual of Nursing Practice Handbook</t>
  </si>
  <si>
    <t>Lippincott Manual of Nursing Practice</t>
  </si>
  <si>
    <t>Nettina, Sandra M.</t>
  </si>
  <si>
    <t>Antibiotics in Laboratory Medicine</t>
  </si>
  <si>
    <t>Lorian, Victor; Lorian, Victor</t>
  </si>
  <si>
    <t>Diseases : A Nursing Process Approach to Excellent Care</t>
  </si>
  <si>
    <t>Mastering ACLS</t>
  </si>
  <si>
    <t>Springhouse</t>
  </si>
  <si>
    <t>Emergency Nursing : 5-Tier Triage Protocols</t>
  </si>
  <si>
    <t>Briggs, Julie K.; Grossman, Valerie G. A.; Grossman, Valerie G.A.</t>
  </si>
  <si>
    <t>Rapid Response to Everyday Emergencies : A Nurse's Guide</t>
  </si>
  <si>
    <t>Nurse's Quick Check : Signs and Symptoms</t>
  </si>
  <si>
    <t>Documentation in Action</t>
  </si>
  <si>
    <t>Professional Guide to Assessment</t>
  </si>
  <si>
    <t>Fluids and Electrolytes : A 2-in-1 Reference for Nurses</t>
  </si>
  <si>
    <t>Nursing Herbal Medicine Handbook</t>
  </si>
  <si>
    <t>Nurse's Quick Check : Skills</t>
  </si>
  <si>
    <t>Best of Incredibly Easy!</t>
  </si>
  <si>
    <t>Nurse's Quick Check : Fluids and Electrolytes</t>
  </si>
  <si>
    <t>Ask a Colleague : Expert Nurses Answer More Than 1,000 Complex Clinical Questions</t>
  </si>
  <si>
    <t>Nursing I.V. Drug Handbook</t>
  </si>
  <si>
    <t>Strategies for Managing Multisystem Disorders</t>
  </si>
  <si>
    <t>Therapeutic Nutrition : A Guide to Patient Education</t>
  </si>
  <si>
    <t>Behan, Eileen</t>
  </si>
  <si>
    <t>Massachusetts Eye and Ear Infirmary Review Manual for Ophthalmology</t>
  </si>
  <si>
    <t>Jager, Rama D.; Lamkin, Jeffrey C.</t>
  </si>
  <si>
    <t>Massachusetts General Hospital Handbook of Pain Management</t>
  </si>
  <si>
    <t>Ballantyne, Jane C.</t>
  </si>
  <si>
    <t>Avery's Neonatology : Pathophysiology and Management of the Newborn</t>
  </si>
  <si>
    <t>MacDonald, Mhairi G.; Mullett, Martha D.; Seshia, Mary M.</t>
  </si>
  <si>
    <t>Handbook of Gastroenterologic Procedures</t>
  </si>
  <si>
    <t>Drossman, Douglas A.; Grimm, Ian S.; Shaheen, Nicholas J.</t>
  </si>
  <si>
    <t>Psychodynamic Theory for Clinicians</t>
  </si>
  <si>
    <t>Bienenfeld, David</t>
  </si>
  <si>
    <t>Women's Mental Health : A Life-Cycle Approach</t>
  </si>
  <si>
    <t>Romans, Sarah E.; Seeman, Mary V.</t>
  </si>
  <si>
    <t>Atlas of Adult Physical Diagnosis</t>
  </si>
  <si>
    <t>Berg, Dale; Worzala, Katherine</t>
  </si>
  <si>
    <t>Care of the Newborn : A Handbook for Primary Care</t>
  </si>
  <si>
    <t>Hertz, David E.</t>
  </si>
  <si>
    <t>Perioperative Care in Cardiac Anesthesia and Surgery</t>
  </si>
  <si>
    <t>Cheng, Davy C. H.; David, Tirone E.; David, Tirone E; Cheng, Davy Ch; David, Tirone E</t>
  </si>
  <si>
    <t>Science; Medicine; Science: Geology</t>
  </si>
  <si>
    <t>Trauma Rehabilitation</t>
  </si>
  <si>
    <t>Robinson, Lawrence R.; Robinson, Lawrence R</t>
  </si>
  <si>
    <t>Ultrasonography of the Eye and Orbit</t>
  </si>
  <si>
    <t>Coleman, D. Jackson; Silverman, Ronald H.; Lizzi, Frederic L.; Rondeau, Mark J.; Lloyd, Harriet O.; Daly, Suzanne W.; Reinstein, Dan Z.; Reinstein, Dan Z</t>
  </si>
  <si>
    <t>Psychogenic Movement Disorders : Neurology and Neuropsychiatry</t>
  </si>
  <si>
    <t>Hallett, Mark; Cloninger, C. Robert; Fahn, Stanley; Lang, Dr Anthony E</t>
  </si>
  <si>
    <t>Adolescent Medicine : A Handbook for Primary Care</t>
  </si>
  <si>
    <t>Strasburger, Victor C.; Brown, Robert T.; Braverman, Paula K.; Rogers, PH D Peter D; Holland-Hall, Cynthia; Coupey, Susan M</t>
  </si>
  <si>
    <t>Manual of Overdoses and Poisonings</t>
  </si>
  <si>
    <t>Linden, Christopher H.; Rippe, James M.; Irwin, Richard S.</t>
  </si>
  <si>
    <t>Turek's Orthopaedics : Principles and Their Application</t>
  </si>
  <si>
    <t>Weinstein, Stuart L.; Buckwalter, Joseph A.</t>
  </si>
  <si>
    <t>Psychological Aspects of Reconstructive and Cosmetic Plastic Surgery : Clinical, Empirical, and Ethical Perspectives</t>
  </si>
  <si>
    <t>Sarwer, David B.; Pruzinsky, Thomas; Cash, Thomas F.; Goldwyn, Robert M.; Persing, John A.; Whitaker, Linton A.; Whitaker, Linton A</t>
  </si>
  <si>
    <t>Rang's Children's Fractures</t>
  </si>
  <si>
    <t>Wenger, Dennis R.; Pring, Maya E.; Rang, Mercer</t>
  </si>
  <si>
    <t>Trauma</t>
  </si>
  <si>
    <t>Court-Brown, Charles; McQueen, Margaret M.; Tornetta, Paul; Einhorn, Thomas A.</t>
  </si>
  <si>
    <t>Clinical Scenarios in Surgical Oncology</t>
  </si>
  <si>
    <t>Khatri, Vijay P.</t>
  </si>
  <si>
    <t>Hand and Wrist</t>
  </si>
  <si>
    <t>Doyle, James R.; Tornetta, Paul; Einhorn, Thomas A.</t>
  </si>
  <si>
    <t>Behavioral Neurology of Movement Disorders</t>
  </si>
  <si>
    <t>Weiner, William J.; Lang, Anthony E.; Anderson, Karen E.</t>
  </si>
  <si>
    <t>Surgical Anatomy Around the Orbit : The System of Zones</t>
  </si>
  <si>
    <t>Zide, Barry M.; Jelks, Glenn W.</t>
  </si>
  <si>
    <t>Practical Neurology DVD Review</t>
  </si>
  <si>
    <t>Biller, José</t>
  </si>
  <si>
    <t>Imaging of the Airways : Functional and Radiologic Correlations</t>
  </si>
  <si>
    <t>Naidich, David P.; Webb, W. Richard; Grenier, Philippe A.; Gefter, Warren B; Harkin, Timothy J</t>
  </si>
  <si>
    <t>Fibromyalgia and Other Central Pain Syndromes</t>
  </si>
  <si>
    <t>Wallace, Daniel J.; Clauw, Daniel J.</t>
  </si>
  <si>
    <t>Complications of Spine Surgery : Treatment and Prevention</t>
  </si>
  <si>
    <t>An, Howard S.; Jenis, Louis G.; Jenis, Louis G</t>
  </si>
  <si>
    <t>Complex and Revision Problems in Shoulder Surgery</t>
  </si>
  <si>
    <t>Warner, Jon J. P.; Iannotti, Joseph P.; Flatow, Evan L.</t>
  </si>
  <si>
    <t>Manual of Peripheral Vascular Intervention</t>
  </si>
  <si>
    <t>Casserly, Ivan P.; Sachar, Ravish; Yadav, Jay S.; Yadav, Jay S</t>
  </si>
  <si>
    <t>Manual of Clinical Problems in Pulmonary Medicine</t>
  </si>
  <si>
    <t>Bordow, Richard A.; Ries, Andrew L.; Morris, Timothy A</t>
  </si>
  <si>
    <t>Strategic Approaches in Coronary Intervention</t>
  </si>
  <si>
    <t>Ellis, Stephen G.; Holmes, David R.</t>
  </si>
  <si>
    <t>Managing Chronic Disorders</t>
  </si>
  <si>
    <t>Nuclear Medicine Physics : The Basics</t>
  </si>
  <si>
    <t>Chandra, Ramesh</t>
  </si>
  <si>
    <t>Nursing Procedures</t>
  </si>
  <si>
    <t>Springhouse; Langley, Christena</t>
  </si>
  <si>
    <t>Arthroscopic Knot Tying : An Instruction Manual</t>
  </si>
  <si>
    <t>Baumgarten, Keith M.; Wright, Rick W.</t>
  </si>
  <si>
    <t>Manual of Nerve Conduction Study and Surface Anatomy for Needle Electromyography</t>
  </si>
  <si>
    <t>Lee, Hang J.; DeLisa, Joel A.</t>
  </si>
  <si>
    <t>Pediatric Endocrinology : Mechanisms, Manifestations, and Management</t>
  </si>
  <si>
    <t>Pescovitz, Ora H.; Eugster, Erica A.</t>
  </si>
  <si>
    <t>Diabetes Mellitus in Women : Adolescence Through Pregnancy and Menopause</t>
  </si>
  <si>
    <t>Reece, E. Albert; Coustan, Donald R.; Gabbe, Steven G.</t>
  </si>
  <si>
    <t>Myoclonic Epilepsies : Understanding Its Nature, Diagnosis and Treatment</t>
  </si>
  <si>
    <t>Delgado-Escueta, Antonio V.; Guerrini, Renzo; Medina, Marco T.; Genton, Pierre; Bureau, Michelle; Dravet, Charlotte</t>
  </si>
  <si>
    <t>Radiology 101 : The Basics and Fundamentals of Imaging</t>
  </si>
  <si>
    <t>Erkonen, William E.; Smith, Wilbur L.</t>
  </si>
  <si>
    <t>Atlas of Neurologic Diagnosis and Treatment : Revised Reprint</t>
  </si>
  <si>
    <t>Collins, R. Douglas</t>
  </si>
  <si>
    <t>Clinical Guide to Pediatric Infectious Disease</t>
  </si>
  <si>
    <t>Janner, Donald</t>
  </si>
  <si>
    <t>Field Guide to the Normal Newborn</t>
  </si>
  <si>
    <t>Emmett, Gary A.</t>
  </si>
  <si>
    <t>Practical Gynecologic Oncology</t>
  </si>
  <si>
    <t>Berek, Jonathan S.; Hacker, Neville F.</t>
  </si>
  <si>
    <t>Shoulder and the Overhead Athlete</t>
  </si>
  <si>
    <t>Krishnan, Sumant G.; Hawkins, Richard J.; Warren, Russell F.</t>
  </si>
  <si>
    <t>Peripheral Vascular Disease : Basic Diagnostic and Therapeutic Approaches</t>
  </si>
  <si>
    <t>Abela, George S.; Abela, George S</t>
  </si>
  <si>
    <t>Manual of Neurologic Therapeutics</t>
  </si>
  <si>
    <t>Samuels, Martin A.</t>
  </si>
  <si>
    <t>Pediatric Telephone Advice</t>
  </si>
  <si>
    <t>Schmitt, Barton D.</t>
  </si>
  <si>
    <t>Just the Facts : IV Therapy</t>
  </si>
  <si>
    <t>Lippincott; Springhouse; Springhouse,</t>
  </si>
  <si>
    <t>ECG Interpretation : A 2-in-1 Reference for Nurses</t>
  </si>
  <si>
    <t>Lippincott's Q&amp;A Certification Review : Emergency Nursing</t>
  </si>
  <si>
    <t>Professional Guide to Diagnostic Tests</t>
  </si>
  <si>
    <t>Women's Health : A Guide to Health Promotion and Disorder Management</t>
  </si>
  <si>
    <t>Pharmacology : A 2-in-1 Reference for Nurses</t>
  </si>
  <si>
    <t>Signs and Symptoms : A 2-in-1 Reference for Nurses</t>
  </si>
  <si>
    <t>Quick and Accurate 12-Lead ECG Interpretation</t>
  </si>
  <si>
    <t>Davis, Dale</t>
  </si>
  <si>
    <t>Pathophysiology : A 2-in-1 Reference for Nurses</t>
  </si>
  <si>
    <t>Michigan Manual of Plastic Surgery</t>
  </si>
  <si>
    <t>Brown, David L.; Borschel, Gregory H.</t>
  </si>
  <si>
    <t>Handbook of Urology : Diagnosis and Therapy</t>
  </si>
  <si>
    <t>Siroky, Mike B.; Oates, Robert D.; Babayan, Richard K.</t>
  </si>
  <si>
    <t>Stereotactic Body Radiation Therapy</t>
  </si>
  <si>
    <t>Kavanagh, Brian D.; Timmerman, Robert D.</t>
  </si>
  <si>
    <t>Principles of Manual Sports Medicine</t>
  </si>
  <si>
    <t>Karageanes, Steven J.; Karageanes, Steven J</t>
  </si>
  <si>
    <t>Studying a Study and Testing a Test : How to Read the Medical Evidence</t>
  </si>
  <si>
    <t>Riegelman, Richard K.</t>
  </si>
  <si>
    <t>Surgery of the Ear and Temporal Bone</t>
  </si>
  <si>
    <t>Nadol, Joseph B.; McKenna, Michael J.; Nadol, Professor Joseph B , Jr.; Nadol, Professor Joseph B , Jr.; McKenna, Michael J , M.D.</t>
  </si>
  <si>
    <t>Pediatric and Adolescent Gynecology</t>
  </si>
  <si>
    <t>Emans, S. Jean; Laufer, Marc R.; Goldstein, Donald P.</t>
  </si>
  <si>
    <t>St. Clair, E. William; Pisetsky, David S.; Haynes, Barton F.; Haynes, Barton F; Pisetsky, David S; St Clair, E William; Clair, E William St</t>
  </si>
  <si>
    <t>Carotid Artery Stenting : Current Practice and Techniques</t>
  </si>
  <si>
    <t>Al-Mubarak, Nadim; Roubin, Gary S.; Iyer, Sriram S.; Vitek, Jiri J</t>
  </si>
  <si>
    <t>Pediatric Cardiac Anesthesia</t>
  </si>
  <si>
    <t>Lake, Carol L.; Booker, Peter D.</t>
  </si>
  <si>
    <t>Field Guide to the Neurologic Examination</t>
  </si>
  <si>
    <t>Lewis, Steven L.</t>
  </si>
  <si>
    <t>Disorders of the Patellofemoral Joint</t>
  </si>
  <si>
    <t>Fulkerson, John P.; Buuck, David A; Dye, Scott F; Farr, Jack , II; Post, William R</t>
  </si>
  <si>
    <t>Psychiatry : 1,200 Questions to Help You Pass the Boards</t>
  </si>
  <si>
    <t>Mathews, Maju; Budur, Kumar; Basil, Biju; Mathews, Manu</t>
  </si>
  <si>
    <t>Failed Spine</t>
  </si>
  <si>
    <t>Gunzburg, Robert; Szpalski, Marek</t>
  </si>
  <si>
    <t>Complete Guide to Vascular Ultrasound</t>
  </si>
  <si>
    <t>Arger, Peter H.; DeBari Iyoob, Suzanne; Iyoob, Suzanne Debari</t>
  </si>
  <si>
    <t>Essentials of Skeletal Radiology</t>
  </si>
  <si>
    <t>Yochum, Terry R.; Rowe, Lindsay J.</t>
  </si>
  <si>
    <t>Moffet's Pediatric Infectious Diseases : A Problem-Oriented Approach</t>
  </si>
  <si>
    <t>Fisher, Randall G.; Boyce, Thomas G.</t>
  </si>
  <si>
    <t>Field Guide to Internal Medicine</t>
  </si>
  <si>
    <t>Smith, David S.; Sullivan, Lynn E.; Hay, Seonaid F.; Smith, David S; Sullivan, Lynn E; Hay, Seonaid F</t>
  </si>
  <si>
    <t>Greenberg's Text-Atlas of Emergency Medicine</t>
  </si>
  <si>
    <t>Greenberg, Michael I.; Hendrickson, Robert G.; Silverberg, Mark; Campbell, Colleen; Morocco, Anthony; Silverberg, Mark; Campbell, Colleen; Morocco, Anthony</t>
  </si>
  <si>
    <t>Lumbar Spine : Official Publication of the International Society for the Study of the Lumbar Spine</t>
  </si>
  <si>
    <t>Herkowitz, Harry N.; Dvorák, Jirí; Bell, Gordon R.; Nordin, Margareta; Grob, Dieter; Herkowitz, Harry N; Dvorak, Jiri; Bell, Gordon R; Nordin, Margareta; Grob, Dieter</t>
  </si>
  <si>
    <t>Nursing Preceptorship : Connecting Practice and Education</t>
  </si>
  <si>
    <t>Myrick, Florence; Yonge, Olive</t>
  </si>
  <si>
    <t>Field Guide to Fracture Management</t>
  </si>
  <si>
    <t>Birrer, Richard; Kalb, Robert L.</t>
  </si>
  <si>
    <t>Atherothrombosis and Coronary Artery Disease</t>
  </si>
  <si>
    <t>Fuster, Valentin; Topol, Eric J.; Nabel, Elizabeth G.</t>
  </si>
  <si>
    <t>Clinical Scenarios in Vascular Surgery</t>
  </si>
  <si>
    <t>Upchurch, Gilbert R.; Henke, Peter K.; Henke, Peter K</t>
  </si>
  <si>
    <t>Field Guide to the Difficult Patient Interview</t>
  </si>
  <si>
    <t>Platt, Frederic W.; Gordon, Geoffrey H.</t>
  </si>
  <si>
    <t>Clinical Scenarios in Thoracic Surgery</t>
  </si>
  <si>
    <t>Kalimi, Robert; Faber, L. Penfield</t>
  </si>
  <si>
    <t>Medical Response to Terrorism : Preparedness and Clinical Practice</t>
  </si>
  <si>
    <t>Keyes, Daniel C.; Burstein, Jonathan L.; Schwartz, Richard B.; Schwartz, Professor Richard B; Swienton, Raymond E.; Keyes, Daniel C; Burstein, Jonathan L; Schwartz, Professor Richard B; Swienton, Raymond E</t>
  </si>
  <si>
    <t>Color Atlas and Text of Pulmonary Pathology</t>
  </si>
  <si>
    <t>Cagle, Philip T.; Allen, Timothy C.; Barrios, Roberto; Bedrossian, Carlos; Haque, Abida K; Cagle, Philip T; Allen, Timothy C; Barrios, Roberto; Bedrossian, Carlos; Haque, Abida K</t>
  </si>
  <si>
    <t>Ultimate Echo Guide</t>
  </si>
  <si>
    <t>Roldan, Carlos A.</t>
  </si>
  <si>
    <t>Shoulder and Elbow Arthroplasty</t>
  </si>
  <si>
    <t>Williams, Gerald R.; Yamaguchi, Ken; Ramsey, Matthew L.; Williams, Gerald R , Jr; Yamaguchi, Ken</t>
  </si>
  <si>
    <t>Nurse's Legal Handbook</t>
  </si>
  <si>
    <t>Springhouse; Springhouse,; Springhouse,</t>
  </si>
  <si>
    <t>Nursing; Law</t>
  </si>
  <si>
    <t>Review Questions in Ophthalmology : A Question and Answer Book</t>
  </si>
  <si>
    <t>Chern, Kenneth C.; Wright, Kenneth W.; Chern, Kenneth C; Wright, Kenneth W</t>
  </si>
  <si>
    <t>Techniques in Cosmetic Eyelid Surgery : A Case Study Approach</t>
  </si>
  <si>
    <t>Mauriello, Joseph A.</t>
  </si>
  <si>
    <t>Spine</t>
  </si>
  <si>
    <t>Bono, Christopher M.; Garfin, Steven R.; Tornetta, Paul; Einhorn, Thomas A.</t>
  </si>
  <si>
    <t>Substance Abuse : A Comprehensive Textbook</t>
  </si>
  <si>
    <t>Lowinson, Joyce H.; Ruiz, Pedro; Millman, Robert B.; Langrod, John G</t>
  </si>
  <si>
    <t>Surgical Attending Rounds</t>
  </si>
  <si>
    <t>Dyke, Cornelius; DeMaria, Eric J.</t>
  </si>
  <si>
    <t>Basic Orthopaedic Biomechanics and Mechano-Biology</t>
  </si>
  <si>
    <t>Mow, Van C.; Huiskes, Rik</t>
  </si>
  <si>
    <t>Peripheral Vascular Sonography : A Practical Guide</t>
  </si>
  <si>
    <t>Polak, Joseph F.</t>
  </si>
  <si>
    <t>Comprehensive Atlas of Transplantation</t>
  </si>
  <si>
    <t>Kuo, Paul C.; Davis, R. Duane; Dafoe, Donald C.; Dafoe, Donald C; Bollinger, R Randall</t>
  </si>
  <si>
    <t>Sternberg's Diagnostic Surgical Pathology Review</t>
  </si>
  <si>
    <t>DiPatre, Pier L; Carter, Darryl</t>
  </si>
  <si>
    <t>Smolin and Thoft's The Cornea : Scientific Foundations and Clinical Practice</t>
  </si>
  <si>
    <t>Foster, C. Stephen; Azar, Dimitri T.; Dohlman, Claes H.; Smolin, Gilbert; Foster, C Stephen; Azar, Dimitri T; Dohlman, Claes H</t>
  </si>
  <si>
    <t>Manual of Emergency Medicine</t>
  </si>
  <si>
    <t>Jenkins, Jon L.; Braen, G. Richard; Jenkins, Jon L; Braen, G Richard</t>
  </si>
  <si>
    <t>Just the Facts : Pathophysiology</t>
  </si>
  <si>
    <t>Atlas of Infectious Diseases of the Female Genital Tract</t>
  </si>
  <si>
    <t>Sweet, Richard L.; Gibbs, Ronald S.</t>
  </si>
  <si>
    <t>Just the Facts : Fluids and Electrolytes</t>
  </si>
  <si>
    <t>Atlas of Foot and Ankle Sonography</t>
  </si>
  <si>
    <t>Adler, Ronald S.; Sofka, Carolyn M.; Positano, Rock G.</t>
  </si>
  <si>
    <t>Cervical Spine : The Cervical Spine Research Society Editorial Committee</t>
  </si>
  <si>
    <t>Clark, Charles R.; Benzel, Edward C.; Currier, Bradford L.; Benzel, Director Spinal Cord Disorders Department of Neurosurgery Edward C; Currier, Bradford L; Dormans, John P; Dvoř Ak, Jiř I</t>
  </si>
  <si>
    <t>Assessment : A 2-in-1 Reference for Nurses</t>
  </si>
  <si>
    <t>Springhouse; Lippincott Williams &amp; Wilkins</t>
  </si>
  <si>
    <t>Medical Management of Kidney Transplantation</t>
  </si>
  <si>
    <t>Weir, Matthew R.</t>
  </si>
  <si>
    <t>Just the Facts : ECG Interpretation</t>
  </si>
  <si>
    <t>Occupational Musculoskeletal Disorders</t>
  </si>
  <si>
    <t>Pediatric Retina : Medical and Surgical Approaches</t>
  </si>
  <si>
    <t>Hartnett, Mary Elizabeth; Trese, Michael; Capone, Antonio; Trese, Michael; Capone, Antonio; Keats, Bronya Jb; Steidl, Scott M</t>
  </si>
  <si>
    <t>Trauma Handbook of the Massachusetts General Hospital</t>
  </si>
  <si>
    <t>Sheridan, Robert L.</t>
  </si>
  <si>
    <t>Professional's Handbook of Complementary &amp; Alternative Medicines</t>
  </si>
  <si>
    <t>Fetrow, Charles H.; Avila, Juan R.</t>
  </si>
  <si>
    <t>Atlas of Neonatal Electroencephalography</t>
  </si>
  <si>
    <t>Mizrahi, Eli M.; Hrachovy, Richard A.; Kellaway, Peter</t>
  </si>
  <si>
    <t>Behavioral Science in Medicine</t>
  </si>
  <si>
    <t>Fadem, Barbara</t>
  </si>
  <si>
    <t>Fast Facts for Nurses</t>
  </si>
  <si>
    <t>Parietal Lobe</t>
  </si>
  <si>
    <t>Siegel, Adrian M.; Andersen, Richard A.; Freund, Hans-Joachim</t>
  </si>
  <si>
    <t>Gleason Grading of Prostate Cancer : A Contemporary Approach</t>
  </si>
  <si>
    <t>Amin, Mahul B.; Grignon, David; Humphrey, Peter A.; Srigley, John R</t>
  </si>
  <si>
    <t>Diabetes Mellitus : A Fundamental and Clnical Text</t>
  </si>
  <si>
    <t>LeRoith, Derek; Olefsky, Jerrold M.; Taylor, Simeon I.</t>
  </si>
  <si>
    <t>Cramer, Kathryn E.; Scherl, Susan A.; Tornetta, Paul</t>
  </si>
  <si>
    <t>5-Minute Herb and Dietary Supplement Consult</t>
  </si>
  <si>
    <t>Fugh-Berman, Adriane</t>
  </si>
  <si>
    <t>Nursing Procedures and Protocols</t>
  </si>
  <si>
    <t>Springhouse; Dumpe, Michelle L</t>
  </si>
  <si>
    <t>Manual of Psychiatric Therapeutics</t>
  </si>
  <si>
    <t>Shader, Richard I.</t>
  </si>
  <si>
    <t>Pediatric Nephrology</t>
  </si>
  <si>
    <t>Avner, Ellis D.; Harmon, William E.; Niaudet, Patrick</t>
  </si>
  <si>
    <t>Low Back Disorders : A Medical Enigma</t>
  </si>
  <si>
    <t>Cailliet, Rene</t>
  </si>
  <si>
    <t>Atlas of Orthopaedic Surgery : A Multimedia Reference</t>
  </si>
  <si>
    <t>Koval, Kenneth J.; Zuckerman, Joseph D.</t>
  </si>
  <si>
    <t>Master Techniques in Orthopaedic Surgery : The Shoulder</t>
  </si>
  <si>
    <t>Craig, Edward V.</t>
  </si>
  <si>
    <t>Adult and Pediatric Spine</t>
  </si>
  <si>
    <t>Frymoyer, John W.; Wiesel, Sam W.; An, Howard S.; Frymoyer, John W; Wiesel, Sam W; Frymoyer, John W; Wiesel, Sam W; An, Howard S; Boden, Dr Scott D; Lauerman, William C</t>
  </si>
  <si>
    <t>Digital Mammography</t>
  </si>
  <si>
    <t>Pisano, Etta D.; Yaffe, Martin J.; Kuzmiak, Cherie M.</t>
  </si>
  <si>
    <t>Weiner &amp; Levitt's Pediatric Neurology</t>
  </si>
  <si>
    <t>Cohen, Michael E.; Duffner, Patricia K.; Weiner, Howard L.; Levitt, Lawrence P.</t>
  </si>
  <si>
    <t>Handbook of Physical Medicine and Rehabilitation Basics</t>
  </si>
  <si>
    <t>Garrison, Susan J.</t>
  </si>
  <si>
    <t>Bladder Biopsy Interpretation</t>
  </si>
  <si>
    <t>Epstein, Jonathan I.; Amin, Mahul B.; Reuter, Victor E.</t>
  </si>
  <si>
    <t>Physical Medicine and Rehabilitation Pocketpedia</t>
  </si>
  <si>
    <t>Choi, Howard; Sugar, Ross; Fish, David E.; Shatzer, Matthew; Sugar, Ross</t>
  </si>
  <si>
    <t>Atlas of Primary Care Procedures</t>
  </si>
  <si>
    <t>Zuber, Thomas J.; Mayeaux, E. J.; Jackelow, Wendy Beth; Gast, Patricia; Duprey, Laura Pardi</t>
  </si>
  <si>
    <t>Epilepsy in Children</t>
  </si>
  <si>
    <t>Arzimanoglou, Alexis; Guerrini, Renzo; Aicardi, Jean; Arzimanoglou, A; Aicardi MD, Frcp Jean</t>
  </si>
  <si>
    <t>Advanced Practice Oncology and Palliative Care Guidelines</t>
  </si>
  <si>
    <t>Vogel, Wendy H.; Wilson, Margery A.; Melvin, Michelle S.</t>
  </si>
  <si>
    <t>Daniel's Knee Injuries : Ligament and Cartilage Structure, Function, Injury, and Repair</t>
  </si>
  <si>
    <t>Pedowitz, Robert A.; O'Connor, John J.; Akeson, Wayne H.; Akeson, Wayne H; Pedowitz, Robert; O'Connor, John J</t>
  </si>
  <si>
    <t>Imaging of the Newborn, Infant, and Young Child</t>
  </si>
  <si>
    <t>Swischuk, Leonard E.</t>
  </si>
  <si>
    <t>Fractures of the Pelvis and Acetabulum</t>
  </si>
  <si>
    <t>Tile, Marvin; Helfet, David L.; Kellam, James F.</t>
  </si>
  <si>
    <t>Diseases of the Eye and Skin : A Color Atlas</t>
  </si>
  <si>
    <t>Ostler, H. Bruce; Maibach, Howard I.; Hoke, Axel W.; Schwab, Dr Ivan R</t>
  </si>
  <si>
    <t>Medical-Surgical Care Planning</t>
  </si>
  <si>
    <t>Holloway, Nancy M.</t>
  </si>
  <si>
    <t>Dystonia 4</t>
  </si>
  <si>
    <t>Fahn, Stanley; Hallett, Mark; DeLong, Mahlon R.</t>
  </si>
  <si>
    <t>Ischemic Stroke</t>
  </si>
  <si>
    <t>Barnett, H. J. M.; Bogousslavsky, Julien; Meldrum, Heather</t>
  </si>
  <si>
    <t>Neurological and Neurosurgical Intensive Care</t>
  </si>
  <si>
    <t>Ropper, Allan H.; Gress, Daryl R.; Diringer, Michael N.; Green, Deborah M.; Mayer, Stephan A.; Bleck, Thomas P.</t>
  </si>
  <si>
    <t>Master Techniques in Orthopaedic Surgery : The Spine</t>
  </si>
  <si>
    <t>Bradford, David S.; Zdeblick, Thomas A.</t>
  </si>
  <si>
    <t>Breast Ultrasound</t>
  </si>
  <si>
    <t>Stavros, A. Thomas; Rapp, Cynthia L.; Parker, Steve H.</t>
  </si>
  <si>
    <t>Cervical Spine Surgery Atlas</t>
  </si>
  <si>
    <t>Herkowitz, Harry N.; Herkowitz, Harry N; Cervical Spine Research Society Editorial Committee,; Herkowitz, Harry N; The Cervical Spine Research Society Editorial Committee,</t>
  </si>
  <si>
    <t>Critical Care Challenges : Disorders, Treatments, and Procedures</t>
  </si>
  <si>
    <t>Springhouse; Wegner, , Craig; Alexander, , Nina; Lippincott Williams &amp; Wilkins,; Springhouse,</t>
  </si>
  <si>
    <t>Rapid Assessment : A Flowchart Guide to Evaluating Signs &amp; Symptoms</t>
  </si>
  <si>
    <t>Springhouse; Lippincott Williams &amp; Wilkins,; Springhouse,; Lippincott Williams &amp; Wilkins,; Springhouse,</t>
  </si>
  <si>
    <t>Handbook of Geriatric Nursing Care</t>
  </si>
  <si>
    <t>Practice Guidelines for Obstetrics and Gynecology</t>
  </si>
  <si>
    <t>Morgan, Geri; Hamilton, Carole</t>
  </si>
  <si>
    <t>MRI of the Shoulder</t>
  </si>
  <si>
    <t>Zlatkin, Michael B.</t>
  </si>
  <si>
    <t>Gilbert-Barness, Enid; Barness, Lewis A.</t>
  </si>
  <si>
    <t>Manual of Outpatient Gynecology</t>
  </si>
  <si>
    <t>Havens, Carol S.; Sullivan, Nancy D.; Tilton, Patti</t>
  </si>
  <si>
    <t>SkillMasters : Better Documentation</t>
  </si>
  <si>
    <t>Nursing; Business/Management</t>
  </si>
  <si>
    <t>Current Practice of Clinical Electroencephalography</t>
  </si>
  <si>
    <t>Ebersole, John S.; Pedley, Timothy A.; Ebersole, John S.; Ebersole, J.A.</t>
  </si>
  <si>
    <t>Reese and Betts' A Practical Approach to Infectious Diseases</t>
  </si>
  <si>
    <t>Betts, Robert F.; Chapman, Stanley W.; Penn, Robert L.</t>
  </si>
  <si>
    <t>Springhouse Review for Psychiatric and Mental Health Nursing Certification</t>
  </si>
  <si>
    <t>Springhouse; Schaeffer, Liz; Marshfield, Laura; Munson, Carol</t>
  </si>
  <si>
    <t>Antiepileptic Drugs</t>
  </si>
  <si>
    <t>Levy, René H.; Mattson, Richard H.; Meldrum, Brian S.; Mattson, Richard H</t>
  </si>
  <si>
    <t>Surgical Anatomy of the Hand and Upper Extremity</t>
  </si>
  <si>
    <t>Doyle, James R.; Botte, Michael J.; Doyle, James R; Roselius, Elizabeth; Krames, Christy; Doyle, James R; Botte, Michael L</t>
  </si>
  <si>
    <t>Shoulder Arthroscopy</t>
  </si>
  <si>
    <t>Snyder, Stephen J.; Snyder, Stephen J</t>
  </si>
  <si>
    <t>Lippincott Professional Guides : Anatomy &amp; Physiology</t>
  </si>
  <si>
    <t>Lippincott's Cancer Chemotherapy Handbook</t>
  </si>
  <si>
    <t>Baquiran, Delia C.; Gallagher, Jean</t>
  </si>
  <si>
    <t>Pediatric Primary Care : Well-Child Care</t>
  </si>
  <si>
    <t>Baker, Raymond C.</t>
  </si>
  <si>
    <t>Primary Care Pediatrics</t>
  </si>
  <si>
    <t>Green-Hernandez, Carol; Singleton, Joanne K.; Aronzon, Daniel Z.; Hernandez, Carol Green; Hemandez, Green; Aronzon,; Singleton, Linda J</t>
  </si>
  <si>
    <t>Family Focused Behavioral Pediatrics</t>
  </si>
  <si>
    <t>Manual of Clinical Hematology</t>
  </si>
  <si>
    <t>Mazza, Joseph J.</t>
  </si>
  <si>
    <t>Prostate Cancer : Principles and Practice</t>
  </si>
  <si>
    <t>Kantoff, Philip W.; Carroll, Peter; D'Amico, Anthony V.</t>
  </si>
  <si>
    <t>Primary Care Medicine Recommendations</t>
  </si>
  <si>
    <t>Goroll, Allan H.; Mulley, Albert G.</t>
  </si>
  <si>
    <t>Essentials of Hand Surgery</t>
  </si>
  <si>
    <t>Seiler, John Gray</t>
  </si>
  <si>
    <t>Pediatric Primary Care : Ill-Child Care</t>
  </si>
  <si>
    <t>Field Guide to Urgent and Ambulatory Care Procedures</t>
  </si>
  <si>
    <t>James, David M.</t>
  </si>
  <si>
    <t>Athlete's Elbow : Surgery and Rehabilitation</t>
  </si>
  <si>
    <t>Altchek, David W.; Andrews, James R.</t>
  </si>
  <si>
    <t>Physical Therapist's Clinical Companion</t>
  </si>
  <si>
    <t>Head and Neck Surgical Pathology</t>
  </si>
  <si>
    <t>Pilch, Ben Z.; Pilch, Ben Z</t>
  </si>
  <si>
    <t>Manual of Clinical Problems in Pediatrics : With Annotated Key References</t>
  </si>
  <si>
    <t>Roberts, Kenneth B.</t>
  </si>
  <si>
    <t>Fluid and Electrolyte Balance</t>
  </si>
  <si>
    <t>Metheny, Norma Milligan</t>
  </si>
  <si>
    <t>High-Dose Cancer Therapy : Pharmacology, Hematopoietins, Stem Cells</t>
  </si>
  <si>
    <t>Armitage, James O.; Antman, Karen H.; Armitage, , MD; Antman,</t>
  </si>
  <si>
    <t>Gallo, Joseph J.; Busby-Whitehead, Jan; Rabins, Peter V.; Rabins,; Silliman,; Murphy,; Callo,; Robins,; Gallo, Joseph J; Rabins, Professor of Psychiatry Peter V</t>
  </si>
  <si>
    <t>5-Minute Toxicology Consult</t>
  </si>
  <si>
    <t>Kuffner, Edwin K.; Dart, Richard C.; Hurlbut, Katherine M.</t>
  </si>
  <si>
    <t>Essentials of Complementary and Alternative Medicine</t>
  </si>
  <si>
    <t>Jonas, Wayne B.; Levin, Jeffrey S.</t>
  </si>
  <si>
    <t>Paul and Juhl's Essentials of Radiologic Imaging</t>
  </si>
  <si>
    <t>Juhl, John H.; Crummy, Andrew B.; Kuhlman, Janet E.; Kuhlman,; Crummy, Andrew B; Kuhlman, Janet E; Crummy, Andrew B; Kuhlman, Janet E</t>
  </si>
  <si>
    <t>The Culture of Mental Illness and Psychiatric Practice in Africa</t>
  </si>
  <si>
    <t>AKYEAMPONG, Emmanuel; HILL, Allan G.; KLEINMAN, Arthur M.</t>
  </si>
  <si>
    <t>Pharmacology Case Studies for Nurse Prescribers</t>
  </si>
  <si>
    <t>Scholefield, Donna; Sebti, Alan; Harris, Alison</t>
  </si>
  <si>
    <t>Health Improvement Profile : A manual to promote physical wellbeing in people with severe mental illness</t>
  </si>
  <si>
    <t>Hardy, Sheila; Gray, Richard; White, Jacqueline</t>
  </si>
  <si>
    <t>Organization Ethics in Health Care</t>
  </si>
  <si>
    <t>Spencer, Edward M.; Mills, Ann E.; Rorty, Mary V.; Werhane, Patricia H.; Erhane, Patricia H.</t>
  </si>
  <si>
    <t>Oxford American Handbook of Clinical Diagnosis</t>
  </si>
  <si>
    <t>Lipschik, Gregg; Feldt, Joan M. Von; Frame, Lawrence; Llewelyn, Huw</t>
  </si>
  <si>
    <t>Stories of Sickness</t>
  </si>
  <si>
    <t>Anesthesia Crash Course</t>
  </si>
  <si>
    <t>Horton, Charles</t>
  </si>
  <si>
    <t>Translational Research in Genetics and Genomics</t>
  </si>
  <si>
    <t>Injury Epidemiology : Research and Control Strategies</t>
  </si>
  <si>
    <t>Robertson, Leon S.</t>
  </si>
  <si>
    <t>Patient-Provider Communication : Roles for Speech-Language Pathologists and Other Health Care Professionals</t>
  </si>
  <si>
    <t>Blackstone, Sarah W.; Beukelman, David R.; Yorkston, Kathryn M.</t>
  </si>
  <si>
    <t>Hearing in Children</t>
  </si>
  <si>
    <t>Miller, Maurice H.; Schein, Jerome D.</t>
  </si>
  <si>
    <t>Movement Disorders in Neurologic Disease: Effects on Communication and Swallowing</t>
  </si>
  <si>
    <t>Richter, Gresham T.; Suen, James Y.</t>
  </si>
  <si>
    <t>Neurogenic Communication Disorders</t>
  </si>
  <si>
    <t>Shadden, Barbara B.; Hagstrom, Fran; Koski, Patricia R.</t>
  </si>
  <si>
    <t>Atlas of Otoscopy</t>
  </si>
  <si>
    <t>Touma, Joseph B.; Touma, B. Joseph</t>
  </si>
  <si>
    <t>Wintrobe's Clinical Hematology</t>
  </si>
  <si>
    <t>Greer, John P.; Arber, Daniel A.; Glader, Bertil; List, Alan F.; Means, Robert T.; Paraskevas, Frixos; Rodgers, George M.; Foerster, John</t>
  </si>
  <si>
    <t>Fractures of the Facial Skeleton</t>
  </si>
  <si>
    <t>Perry, Michael; Brown, Andrew; Banks, Peter</t>
  </si>
  <si>
    <t>The Age of Smoke : Environmental Policy in Germany and the United States, 1880-1970</t>
  </si>
  <si>
    <t>University of Pittsburgh Press</t>
  </si>
  <si>
    <t>Uekoetter, Frank; Dunlap, Thomas</t>
  </si>
  <si>
    <t>A History of Organ Transplantation : Ancient Legends to Modern Practice</t>
  </si>
  <si>
    <t>Hamilton, David; Starzl, Thomas E.</t>
  </si>
  <si>
    <t>Influenza : A Century of Science and Public Health Response</t>
  </si>
  <si>
    <t>Dehner, George</t>
  </si>
  <si>
    <t>Medicine and Politics in Colonial Peru : Population Growth and the Bourbon Reforms</t>
  </si>
  <si>
    <t>Warren, Adam</t>
  </si>
  <si>
    <t>HIV/AIDS in Sub-Saharan Africa : Understanding the implications of culture &amp; context</t>
  </si>
  <si>
    <t>University of Cape Town Press</t>
  </si>
  <si>
    <t>Baxen, Jean; Breidlid, Anders</t>
  </si>
  <si>
    <t>Cardiovascular Surgery</t>
  </si>
  <si>
    <t>Semrád, Michal; Krajícek, Milan; Šebesta, Pavel</t>
  </si>
  <si>
    <t>Examination Tests from Pathological Physiology</t>
  </si>
  <si>
    <t>Maruna, Pavel</t>
  </si>
  <si>
    <t>The Wiley Handbook on the Cognitive Neuroscience of Addiction</t>
  </si>
  <si>
    <t>Wilson, Stephen J.</t>
  </si>
  <si>
    <t>Understanding Intracardiac EGMs : A Patient Centered Guide</t>
  </si>
  <si>
    <t>Kusumoto, Fred</t>
  </si>
  <si>
    <t>Dermal Exposure</t>
  </si>
  <si>
    <t>Organization, World Health</t>
  </si>
  <si>
    <t>WHO Guidelines for Screening and Treatment of Precancerous Lesions for Cervical Cancer Prevention</t>
  </si>
  <si>
    <t>Psychopharmacological Issues in Geriatrics</t>
  </si>
  <si>
    <t>Unax Lertxundi; Juan Medrano; Rafael Hernández</t>
  </si>
  <si>
    <t>Pediatric Rehabilitation : Principles and Practice</t>
  </si>
  <si>
    <t>Alexander, Michael A.; Matthews, Dennis J.; Murphy, Kevin P.</t>
  </si>
  <si>
    <t>Paediatric neurological disorders with cerebellar involvement : Diagnosis and management</t>
  </si>
  <si>
    <t>JOHN LIBBEY EUROTEXT</t>
  </si>
  <si>
    <t>D’Arrigo, Stefano; Riva, Daria; Valente, Enza Maria</t>
  </si>
  <si>
    <t>Adult Neurogenic Language Disorders : Assessment and Treatment. A Comprehensive Ethnobiological Approach</t>
  </si>
  <si>
    <t>Alvord, Lynn S</t>
  </si>
  <si>
    <t>Assessment of Dysphagia in Adults : Resources and Protocols in English and Spanish</t>
  </si>
  <si>
    <t>Biel, Merrill A</t>
  </si>
  <si>
    <t>Clinical Management of Children's Voice Disorders : A Critical Discourse</t>
  </si>
  <si>
    <t>Ferguson, Alison</t>
  </si>
  <si>
    <t>Hearing and Aging : The Impairment and Its Consequences</t>
  </si>
  <si>
    <t>Martin, Nadine; Thompson, Cynthia K.; Worrall, Linda</t>
  </si>
  <si>
    <t>Neuroendoscopy of the Central Nervous System : Its Application to Speech, Hearing, and Craniofacial Disorders</t>
  </si>
  <si>
    <t>Robin, Nathaniel H.</t>
  </si>
  <si>
    <t>Odyssey of the Voice : Single Subject Design</t>
  </si>
  <si>
    <t>Satake, Eike; Maxwell, David L.; Jagaroo, Vinoth</t>
  </si>
  <si>
    <t>Mathematics; Medicine</t>
  </si>
  <si>
    <t>Manual of Pediatric Balance Disorders : A Resource Guide for Speech-Language Pathologoists and Audiologists</t>
  </si>
  <si>
    <t>Payne, Joan C</t>
  </si>
  <si>
    <t>Acoustic Immittance Measures : Basic and Advanced Practice</t>
  </si>
  <si>
    <t>Adams, Lynn W.</t>
  </si>
  <si>
    <t>Early Development of Children with Hearing Loss : Stories of a Clinical Life</t>
  </si>
  <si>
    <t>Hinckley, Jacqueline</t>
  </si>
  <si>
    <t>Neuroimaging in Communication Sciences and Disorders</t>
  </si>
  <si>
    <t>Ingham, Roger J.</t>
  </si>
  <si>
    <t>Office-Based Rhinology : Principles and Techniques</t>
  </si>
  <si>
    <t>Sataloff, Robert T.</t>
  </si>
  <si>
    <t>Food Allergies</t>
  </si>
  <si>
    <t>Richer, Alice C.</t>
  </si>
  <si>
    <t>Studying Postgraduate Healthcare : A Pre-Reader</t>
  </si>
  <si>
    <t>The Abandonment Neurosis</t>
  </si>
  <si>
    <t>Guex, Germaine; Douglas, Peter D.</t>
  </si>
  <si>
    <t>Breast or Bottle? : Contemporary Controversies in Infant-Feeding Policy and Practice</t>
  </si>
  <si>
    <t>University of South Carolina Press</t>
  </si>
  <si>
    <t>Koerber, Amy; Benson, Thomas W.</t>
  </si>
  <si>
    <t>Pillaged : Psychiatric Medications and Suicide Risk</t>
  </si>
  <si>
    <t>Maris, Ronald William; Healy, David</t>
  </si>
  <si>
    <t>Oral-Facial Evaluation for Speech-Language Pathologists</t>
  </si>
  <si>
    <t>Johnson-Root, Barbara Ann</t>
  </si>
  <si>
    <t>Treatment Protocols for Stuttering</t>
  </si>
  <si>
    <t>Hegde, M. N.</t>
  </si>
  <si>
    <t>Dysphagia Post Trauma</t>
  </si>
  <si>
    <t>Hegde, M. N.; Pena-Brooks, Adriana</t>
  </si>
  <si>
    <t>Meniere's Disease : Evidence and Outcomes</t>
  </si>
  <si>
    <t>Provencio-Arambula, Maria H; Provencio, Dora; Hegde, M N</t>
  </si>
  <si>
    <t>Mild Traumatic Brain Injury : Episodic Symptoms and Treatment</t>
  </si>
  <si>
    <t>Provencio-Arambula, Maria; Provencio, Dora; Hegde, M. N.</t>
  </si>
  <si>
    <t>Clinical Interviewing</t>
  </si>
  <si>
    <t>Sommers-Flanagan, John; Sommers-Flanagan, Rita</t>
  </si>
  <si>
    <t>Finding a Voice : Family Therapy for Young People with Anorexia</t>
  </si>
  <si>
    <t>Dring, Greg</t>
  </si>
  <si>
    <t>Health Care Professionalism at a Glance</t>
  </si>
  <si>
    <t>Thistlethwaite, Jill; McKimm, Judy</t>
  </si>
  <si>
    <t>Understanding the Dangers of Cesarean Birth: Making Informed Decisions</t>
  </si>
  <si>
    <t>Jukelevics, Nicette</t>
  </si>
  <si>
    <t>Psychopathology of Work : Clinical Observations</t>
  </si>
  <si>
    <t>Dejours, Christophe</t>
  </si>
  <si>
    <t>Path to Universal Health Coverage in Bangladesh : Bridging the Gap of Human Resources for Health</t>
  </si>
  <si>
    <t>El-Saharty, Sameh; Sparkes, Susan Powers; Barroy, Helene; Ahsan, Karar Zunaid; Ahmed, Syed Masud</t>
  </si>
  <si>
    <t>Facial Rejuvenation</t>
  </si>
  <si>
    <t>DOIN</t>
  </si>
  <si>
    <t>Dahan, Serge; Pusel, Bertrand</t>
  </si>
  <si>
    <t>Seizures of onset in the first two years of life</t>
  </si>
  <si>
    <t>Moshé, Solomon L.; Cross, J. Helen; de Vries, Julitta</t>
  </si>
  <si>
    <t>Handbook of Working with Children, Trauma, and Resilience : A Psychoanalytic View</t>
  </si>
  <si>
    <t>Practical Flow Cytometry in Haematology : 100 Worked Examples</t>
  </si>
  <si>
    <t>Leach, Mike; Drummond, Mark; Doig, Allyson; McKay, Pam; Jackson, Bob; Bain, Barbara J.; Bain, Barbara J</t>
  </si>
  <si>
    <t>Ward, Jeremy P. T.; Ward, Jane; Leach, Richard M.</t>
  </si>
  <si>
    <t>Medicine and Healing in the Ancient Mediterranean</t>
  </si>
  <si>
    <t>Oxbow Books</t>
  </si>
  <si>
    <t>Michaelides, D.</t>
  </si>
  <si>
    <t>Changing Trends in Mental Health Care and Research in Ghana</t>
  </si>
  <si>
    <t>Ofori-Atta, Angela; Ohene, Sammy</t>
  </si>
  <si>
    <t>Current Challenges with their Evolving Solutions in Surgical Practice in West Africa : A Reader</t>
  </si>
  <si>
    <t>Archampong, E.Q.; Essuman, V.A.; Dakubo, J C B</t>
  </si>
  <si>
    <t>Introducing Mental Health, Second Edition : A Practical Guide</t>
  </si>
  <si>
    <t>Kinsella, Caroline; Kinsella, Connor</t>
  </si>
  <si>
    <t>Myths of Mighty Women : Their Application in Psychoanalytic Psychotherapy</t>
  </si>
  <si>
    <t>Richards, Arlene K.; Spira, Lucille</t>
  </si>
  <si>
    <t>Signaling Pathways in Liver Diseases</t>
  </si>
  <si>
    <t>Dufour, Jean-Francois; Clavien, Pierre-Alain</t>
  </si>
  <si>
    <t>A Clinical Guide to Organisational Health : Diagnosing and Managing the Condition of an Enterprise</t>
  </si>
  <si>
    <t>Dean, C. M.</t>
  </si>
  <si>
    <t>"Attached Files" : Anthropological Essays on Body, Psyche, Attachment and Spirituality</t>
  </si>
  <si>
    <t>Lázár, Imre</t>
  </si>
  <si>
    <t>Creative Dialogues : Narrative and Medicine</t>
  </si>
  <si>
    <t>Fernandes, Isabel; Martins,  Cecilia Beecher; Reis,  Amândio; Sanches, Zuzanna</t>
  </si>
  <si>
    <t>Innovative Practice and Interventions for Children and Adolescents with Psychosocial Difficulties and Disabilities</t>
  </si>
  <si>
    <t>Kourkoutas, Elias; Hart,  Angie</t>
  </si>
  <si>
    <t>Measuring the Quality of Care for Psychological Health Conditions in the Military Health System : Candidate Quality Measures for Posttraumatic Stress Disorder and Major Depressive Disorder</t>
  </si>
  <si>
    <t>Hepner, Kimberly A.; Roth, Carol P.; Farris, Coreen; Sloss, Elizabeth M.; Martsolf, Grant R.; Pincus, Harold Alan; Watkins, Katherine E.; Epley, Caroline; Mandel, Daniel; Hosek, Susan D.</t>
  </si>
  <si>
    <t>Medicine; Military Science</t>
  </si>
  <si>
    <t>Pediatric Radiology Casebase</t>
  </si>
  <si>
    <t>James, Charles; Glasier, Charles M.; Greenberg, Bruce S.</t>
  </si>
  <si>
    <t>Analysis of the Incest Trauma : Retrieval, Recovery, Renewal</t>
  </si>
  <si>
    <t>A. Klett, Susan; Rachman, Arnold W.</t>
  </si>
  <si>
    <t>The Historical Ecology of Malaria in Ethiopia : Deposing the Spirits</t>
  </si>
  <si>
    <t>McCann, James C.</t>
  </si>
  <si>
    <t>Considering Marijuana Legalization : Insights for Vermont and Other Jurisdictions</t>
  </si>
  <si>
    <t>Caulkins, Jonathan P.; Kilmer, Beau; Kleiman, Mark A. R.; MacCoun, Robert J.; Midgette, Gregory; Oglesby, Pat; Pacula, Rosalie Liccardo; Reuter, Peter H.</t>
  </si>
  <si>
    <t>Factors Affecting Physician Professional Satisfaction and Their Implications for Patient Care, Health Systems, and Health Policy</t>
  </si>
  <si>
    <t>Friedberg, Mark W.; Chen, Peggy G.; Van Busum, Kristin R.; Aunon, Frances M.; Pham, Chau; Caloyeras, John P.; Mattke, Soeren; Pitchforth, Emma; Quigley, Denise D.; Brook, Robert H.</t>
  </si>
  <si>
    <t>Cancer Cytogenetics : Chromosomal and Molecular Genetic Aberrations of Tumor Cells</t>
  </si>
  <si>
    <t>Heim, Sverre; Mitelman, Felix</t>
  </si>
  <si>
    <t>Norm Diffusion and HIV/AIDS Governance in Putin?s Russia and Mbeki?s South Africa</t>
  </si>
  <si>
    <t>Kravtsov, Vlad</t>
  </si>
  <si>
    <t>Toward Universal Health Coverage and Equity in Latin America and the Caribbean : Evidence from Selected Countries</t>
  </si>
  <si>
    <t>Dmytraczenko, Tania; Almeida, Gisele</t>
  </si>
  <si>
    <t>Health Workforce in Latin America and the Caribbean : An Analysis of Colombia, Costa Rica, Jamaica, Panama, Peru, and Uruguay</t>
  </si>
  <si>
    <t>Carpio, Carmen; Santiago Bench, Natalia</t>
  </si>
  <si>
    <t>Sleep in the Military : Promoting Healthy Sleep Among U.S. Servicemembers</t>
  </si>
  <si>
    <t>Troxel, Wendy M.; Shih, Regina A.; Pedersen, Eric R.; Geyer, Lily; Fisher, Michael P.; Griffin, Beth Ann; Haas, Ann C.; Kurz, Jeremy R.; Steinberg, Paul S.</t>
  </si>
  <si>
    <t>A New Body-Mind Approach : Clinical Cases</t>
  </si>
  <si>
    <t>Appreciative Healthcare Practice : A guide to compassionate, person-centred care</t>
  </si>
  <si>
    <t>Roberts, Gwilym Wyn</t>
  </si>
  <si>
    <t>Through a glass darkly : exploring the internal workings of the TC through those who experience it</t>
  </si>
  <si>
    <t>Pearce, Steve; Aslan, Laura; Yates, Rowdy</t>
  </si>
  <si>
    <t>The Logic of Therapeutic Change : Fitting Strategies to Pathologies</t>
  </si>
  <si>
    <t>Balbi, Elisa; Nardone, Giorgio</t>
  </si>
  <si>
    <t>The Decision Trap : Genetic Education and Its Social Consequences</t>
  </si>
  <si>
    <t>Samerski, Silja</t>
  </si>
  <si>
    <t>Disability, Long-Term Care, and Health Care in the 21st Century</t>
  </si>
  <si>
    <t>Nova Science Publishers, Incorporated</t>
  </si>
  <si>
    <t>Michael Morris; Johnette Hartnett</t>
  </si>
  <si>
    <t>101 Trauma-Informed Interventions : Activities, Exercises and Assignments to Move the Client and Therapy Forward</t>
  </si>
  <si>
    <t>Pesi Publishing &amp; Media LLC</t>
  </si>
  <si>
    <t>Curran, Bcpc, Lpc, Cacd, Ccdpd, Linda</t>
  </si>
  <si>
    <t>The Expanded Dialectical Behavior Therapy Skills Training Manual : Practical DBT for Self-Help, and Individual and Group Treatment Settings</t>
  </si>
  <si>
    <t>PESI Publishing &amp; Media</t>
  </si>
  <si>
    <t>Pederson Psy.D LP DBTC, Lane</t>
  </si>
  <si>
    <t>Genetics, Health, and Society</t>
  </si>
  <si>
    <t>Perry, Brea L.</t>
  </si>
  <si>
    <t>Fair Food : Stories from a Movement Changing the World</t>
  </si>
  <si>
    <t>Rose, Nick</t>
  </si>
  <si>
    <t>Essential Statistics for the Pharmaceutical Sciences</t>
  </si>
  <si>
    <t>Rowe, Philip</t>
  </si>
  <si>
    <t>Thirty Years of the HIV/AIDS Epidemic in Argentina : An Assessment of the National Health Response</t>
  </si>
  <si>
    <t>Lavadenz, Fernando; Pantanali, Carla; Zeballos, Eliana</t>
  </si>
  <si>
    <t>Polymeric Materials in Dentistry</t>
  </si>
  <si>
    <t>Sideridou, Irini D.</t>
  </si>
  <si>
    <t>Yu, Eugene; Jaffer, Nasir; Chung, TaeBong; Chung, Taebong; Naraghi, Ali; Rajan, Dheeraj; O'Malley, Martin; Rogalla, Patrik</t>
  </si>
  <si>
    <t>Healthcare Without Borders : Understanding Cuban Medical Internationalism</t>
  </si>
  <si>
    <t>University Press of Florida</t>
  </si>
  <si>
    <t>Kirk, John M.</t>
  </si>
  <si>
    <t>Illusion and Reality : The Meaning of Anxiety</t>
  </si>
  <si>
    <t>Smail, David</t>
  </si>
  <si>
    <t>Taking Care : An Alternative to Therapy</t>
  </si>
  <si>
    <t>The Origins of Unhappiness : A New Understanding of Personal Distress</t>
  </si>
  <si>
    <t>Integrative Gestalt Practice : Transforming Our Ways of Working with People</t>
  </si>
  <si>
    <t>Sonne, Mikael; Toennesvang, Jan</t>
  </si>
  <si>
    <t>Treating Military Sexual Trauma</t>
  </si>
  <si>
    <t>Katz, Lori S., PhD</t>
  </si>
  <si>
    <t>An EMDR Therapy Primer, Second Edition : From Practicum to Practice</t>
  </si>
  <si>
    <t>Hensley, Barbara, EdD</t>
  </si>
  <si>
    <t>Compassionate Person-Centered Care for the Dying : An Evidence-Based Palliative Care Guide For Nurses</t>
  </si>
  <si>
    <t>Freeman, Bonnie, RN, DNP, ANP, ACHPN; DasGupta, Tracey; Fitch, Margaret</t>
  </si>
  <si>
    <t>Writing for Publication in Nursing, Third Edition</t>
  </si>
  <si>
    <t>Hays, Judith C., PhD, RN; Oermann, Marilyn H., PhD, RN, ANEF, FAAN; Oermann, Marilyn H., Dr., PhD, RN, FAAN, ANEF</t>
  </si>
  <si>
    <t>Nurse-Led Health Clinics : Operations, Policy, and Opportunities</t>
  </si>
  <si>
    <t>Hansen-Turton, Tine, MGA, JD, FCPP, FAAN; Sherman, Susan, RN, MA, FAAN, FCPP; King, Eunice S., Dr., PhD, RN</t>
  </si>
  <si>
    <t>Fast Facts for the New Nurse Practitioner, Second Edition : What You Really Need to Know in a Nutshell</t>
  </si>
  <si>
    <t>Aktan, Nadine M., Dr., PhD, RN, FNP-BC</t>
  </si>
  <si>
    <t>Advanced Practice Nursing Guide to the Neurological Exam</t>
  </si>
  <si>
    <t>Armitage, Alexandra, MS, CNL, APRN</t>
  </si>
  <si>
    <t>Fast Facts for the School Nurse, Second Edition : School Nursing in a Nutshell</t>
  </si>
  <si>
    <t>Loschiavo, Janice, MA, RN, NJ-CSN; Janice Loschiavo Ma, Rn</t>
  </si>
  <si>
    <t>Cognitive Behavioral Therapy in K-12 School Settings : A Practitioner's Toolkit</t>
  </si>
  <si>
    <t>Joyce-Beaulieu, Diana, PhD, NCSP; Sulkowski, Michael L., PhD, NCSP</t>
  </si>
  <si>
    <t>Global Health Nursing in the 21st Century</t>
  </si>
  <si>
    <t>Breakey, Suellen, PhD, RN; Corless, Inge B., PhD, RN, FAAN; Meedzan, Nancy L., DNP, RN, CNE; Nicholas, Patrice K., DNSc, DHL (Hon.), MPH, MS, RN, ANP, FAAN</t>
  </si>
  <si>
    <t>Neuroscience for Psychologists and Other Mental Health Professionals : Promoting Well-Being and Treating Mental Illness</t>
  </si>
  <si>
    <t>Littrell, Jill, Dr., PhD, LCSW; Jill Littrell Phd, Lcsw</t>
  </si>
  <si>
    <t>Gerontology Nursing Case Studies, Second Edition : 100+ Narratives for Learning</t>
  </si>
  <si>
    <t>Bowles, Donna J., Dr., MSN, EdD, RN, CNE; Donna J Bowles Msn, Edd Rn</t>
  </si>
  <si>
    <t>Fast Facts for the Long-Term Care Nurse : What Nursing Home and Assisted Living Nurses Need to Know in a Nutshell</t>
  </si>
  <si>
    <t>Jonas and Kovner's Health Care Delivery in the United States, 11th Edition</t>
  </si>
  <si>
    <t>Kovner, Anthony R., PhD; Knickman, James R., PhD</t>
  </si>
  <si>
    <t>Nursing Case Studies on Improving Health-Related Quality of Life in Older Adults</t>
  </si>
  <si>
    <t>Wallace Kazer, Meredith, PhD, APRN, A/GNP-BC, FAAN; Murphy, Kathy, PhD, MSc, BA, RGN, RNT, Dip Nur, Dip Nur Ed</t>
  </si>
  <si>
    <t>The Essence of Nursing Practice : Philosophy and Perspective</t>
  </si>
  <si>
    <t>Kim, Hesook Suzie, PhD, RN; Hesook Suzie Kim Phd, Rn</t>
  </si>
  <si>
    <t>Gerontological Nurse Certification Review, Second Edition</t>
  </si>
  <si>
    <t>Kris, Alison E., RN, PhD; Alison E Kris Rn, Phd</t>
  </si>
  <si>
    <t>Nurses and Disasters : Global, Historical Case Studies</t>
  </si>
  <si>
    <t>Mann Wall, Barbra, PhD, RN, FAAN; Keeling, Arlene W., PhD, RN, FAAN</t>
  </si>
  <si>
    <t>Understanding Pastoral Counseling</t>
  </si>
  <si>
    <t>Maynard, Elizabeth A., PhD; Snodgrass, Jill L., PhD; Snodgrass, Jill L., PhD</t>
  </si>
  <si>
    <t>Adult-Gerontology Practice Guidelines</t>
  </si>
  <si>
    <t>Cash, Jill C., MSN, APN, FNP-BC; Glass, Cheryl A., MSN, WHNP, RN-BC</t>
  </si>
  <si>
    <t>Fast Facts for Evidence-Based Practice in Nursing, Second Edition : Implementing EBP in a Nutshell</t>
  </si>
  <si>
    <t>Godshall, Maryann, PhD, RN, CCRN, CPN, CNE</t>
  </si>
  <si>
    <t>Writing Winning Proposals for Nurses and Health Care Professionals</t>
  </si>
  <si>
    <t>Funk, Sandra G., Dr., PhD, FAAN; Tornquist, Elizabeth M., MA, FAAN</t>
  </si>
  <si>
    <t>Strengthening the DSM, Second Edition : Incorporating Resilience and Cultural Competence</t>
  </si>
  <si>
    <t>Petrovich, Anne, Dr., PhD, LCSW; Garcia, Betty, Dr., PhD, LCSW</t>
  </si>
  <si>
    <t>NURSING, Second Edition : The Ultimate Study Guide</t>
  </si>
  <si>
    <t>Singh, Nadia R., BSN, RN</t>
  </si>
  <si>
    <t>The Advanced Practice Nurse Cardiovascular Clinician</t>
  </si>
  <si>
    <t>Anderson, Kelley M., PhD, FNP</t>
  </si>
  <si>
    <t>Relapse Prevention Counseling : Clinical Strategies to Guide Addiction Recovery and Reduce Relapse</t>
  </si>
  <si>
    <t>Daley Phd, Dennis C.; Douaihy MD, Antoine</t>
  </si>
  <si>
    <t>Dream and Fantasy in Child Analysis</t>
  </si>
  <si>
    <t>Gunter, Michael; Teicher, Samy</t>
  </si>
  <si>
    <t>Climate Change and Mycotoxins</t>
  </si>
  <si>
    <t>Alfonso, Amparo; Barea, Jose Miguel; Binder, Eva; Cumagun, Christian Joseph R.; Paris, M. P. Kovalsky; Li, X.; Liu, Yin-Jung; Logrieco, Antonio; Botana, Luis M.; Sainz, María J.</t>
  </si>
  <si>
    <t>Techno-Anthropology in Health Informatics : Methodologies for Improving Human-Technology Relations</t>
  </si>
  <si>
    <t>Botin, L.; Bertelsen, P.; Nøhr, C.</t>
  </si>
  <si>
    <t>Handbook of Depression in Alzheimer’s Disease</t>
  </si>
  <si>
    <t>Smith, G.S.</t>
  </si>
  <si>
    <t>Dyslexics : Dating, Marriage and Parenthood</t>
  </si>
  <si>
    <t>Alexander-Passe, Neil</t>
  </si>
  <si>
    <t>Peaceful Passages : A Hospice Nurse's Stories of Dying Well</t>
  </si>
  <si>
    <t>Quest Books</t>
  </si>
  <si>
    <t>Wehr, Janet</t>
  </si>
  <si>
    <t>Pediatric Obesity : Prevention, Intervention, and Treatment Strategies for Primary Care</t>
  </si>
  <si>
    <t>Hassink, Sandra</t>
  </si>
  <si>
    <t>Coding for Pediatrics 2014 : A Manual for Pediatric Documentation and Payment</t>
  </si>
  <si>
    <t>2014 Nelson's Pediatric Antimicrobial Therapy</t>
  </si>
  <si>
    <t>Bradley, John S.; Nelson, John D.; Kimberlin, David W; Leake, John A D; Palumbo, Paul E; Sauberan, Jason; Steinbach, William J; John S Bradley, MD; John D Nelson, MD</t>
  </si>
  <si>
    <t>Caring for the Hospitalized Child : A Handbook of Inpatient Pediatrics</t>
  </si>
  <si>
    <t>Section on Hospital Medicine, American Academy of Pediatrics; Rauch, Daniel A.; Gershel, Jeffrey C.; Gershel, Jeffrey C</t>
  </si>
  <si>
    <t>Pediatric Nutrition</t>
  </si>
  <si>
    <t>Kleinman, Ronald E.; Greer, Frank R.</t>
  </si>
  <si>
    <t>Red Book Atlas of Pediatric Infectious Diseases</t>
  </si>
  <si>
    <t>American Academy of Pediatrics; Carol J. Baker, MD, FAAP</t>
  </si>
  <si>
    <t>Managing Infectious Diseases in Child Care and Schools : A Quick Reference Guide</t>
  </si>
  <si>
    <t>Aronson, Susan S.; Shope, Timothy R.</t>
  </si>
  <si>
    <t>Global Child Health Advocacy : On the Front Lines</t>
  </si>
  <si>
    <t>Berman, Stephen; Palfrey, Judith S.; Bhutta, Zulfiqar; Grange, Adenike O.</t>
  </si>
  <si>
    <t>Berkowitz's Pediatrics : A Primary Care Approach</t>
  </si>
  <si>
    <t>Pediatric Clinical Practice Guidelines and Policies : A Compendium of Evidence-based Research for Pediatric Practice</t>
  </si>
  <si>
    <t>Family Support</t>
  </si>
  <si>
    <t>Jensen, Niels; Kreuzer, Max</t>
  </si>
  <si>
    <t>Sugar and Modernity in Latin America</t>
  </si>
  <si>
    <t>Jeppesen, Per Bendix; Hojlund, Susanne; Jeppesen, Per Bendix; Simonsen, Karen-Margrethe</t>
  </si>
  <si>
    <t>Clinician's Guide to 12-Step Programs : How, When and Why to Refer a Client</t>
  </si>
  <si>
    <t>Greenwood Publishing Group, Incorporated</t>
  </si>
  <si>
    <t>Guest, Diana; Parker, Jan L.</t>
  </si>
  <si>
    <t>Children Who Murder : A Psychological Perspective</t>
  </si>
  <si>
    <t>Heckel, Robert V.; Shumaker, David M.; Moore, Eugene Arthur</t>
  </si>
  <si>
    <t>Ultimacy &amp; Triviality in Psychotherapy</t>
  </si>
  <si>
    <t>Keen, Ernest</t>
  </si>
  <si>
    <t>Children and Addiction</t>
  </si>
  <si>
    <t>Ottomanelli, Gennaro</t>
  </si>
  <si>
    <t>Psychosocial Aspects of Chronic Illness &amp; Disability among African Americans</t>
  </si>
  <si>
    <t>Belgrave, Faye Z.</t>
  </si>
  <si>
    <t>Theoretical Evolutions in Person-Centered - Experiential Therapy : Applications to Schizophrenic and Retarded Psychoses</t>
  </si>
  <si>
    <t>Prouty, Garry; Roelens, Luc</t>
  </si>
  <si>
    <t>Culturally Competent Family Therapy : A General Model</t>
  </si>
  <si>
    <t>Ariel, Shlomo</t>
  </si>
  <si>
    <t>Talking about Therapy</t>
  </si>
  <si>
    <t>Comarow, Donna D.; Chescheir, Martha W.; Simon, Rita J.</t>
  </si>
  <si>
    <t>Counseling the Inupiat Eskimo</t>
  </si>
  <si>
    <t>Reimer, Catherine Swan; Trimble, Joseph E.</t>
  </si>
  <si>
    <t>Chemicals for the Mind : Pharmacology and Human Consciousness</t>
  </si>
  <si>
    <t>Food Safety Information Handbook</t>
  </si>
  <si>
    <t>Roberts, Cindy</t>
  </si>
  <si>
    <t>Healing Powers and Modernity : Traditional Medicine, Shamanism, and Science in Asian Societies</t>
  </si>
  <si>
    <t>Connor, Linda H.; Samuel, Geoffrey</t>
  </si>
  <si>
    <t>Using Literature to Help Troubled Teenagers Cope with Family Issues</t>
  </si>
  <si>
    <t>Carroll, Pamela S.</t>
  </si>
  <si>
    <t>Food and You : Healthy Habits for Teens</t>
  </si>
  <si>
    <t>Bijlefeld, Marjolijn K.; Zoumbaris, Sharon</t>
  </si>
  <si>
    <t>Scarce Goods : Justice, Fairness and Organ Transplantation</t>
  </si>
  <si>
    <t>Koch, Tom</t>
  </si>
  <si>
    <t>Medical Malpractice : A Comprehensive Analysis</t>
  </si>
  <si>
    <t>Bhat, Vasanthakumar N.</t>
  </si>
  <si>
    <t>Age of Insanity : Modernity and Mental Health</t>
  </si>
  <si>
    <t>Schumaker, John F.</t>
  </si>
  <si>
    <t>Wages of Seeking Help : Sexual Exploitation by Professionals</t>
  </si>
  <si>
    <t>Bohmer, Carol</t>
  </si>
  <si>
    <t>History of Modern Epilepsy : The Beginning, 1865-1914</t>
  </si>
  <si>
    <t>Friedlander, Walter J.</t>
  </si>
  <si>
    <t>Pushbutton Psychiatry : A History of Electroshock in America</t>
  </si>
  <si>
    <t>Kneeland, Timothy W.; Warren, Carol A. B.</t>
  </si>
  <si>
    <t>Depression : Self-Consciousness, Pretending, and Guilt</t>
  </si>
  <si>
    <t>Creative Fitness : Applying Health Psychology and Exercise Science to Everyday Life</t>
  </si>
  <si>
    <t>Biller, Henry B.</t>
  </si>
  <si>
    <t>Protecting Psychiatric Patients from the Assisted-Suicide Movement : Insights and Strategies</t>
  </si>
  <si>
    <t>Olevitch, Barbara A.; Ellis, Albert; Hamilton, Gregory</t>
  </si>
  <si>
    <t>African American Alternative Medicine : Using Alternative Medicine to Prevent and Control Chronic Diseases</t>
  </si>
  <si>
    <t>Bailey, Eric J.</t>
  </si>
  <si>
    <t>Perpetration-Induced Traumatic Stress : The Psychological Consequences of Killing</t>
  </si>
  <si>
    <t>MacNair, Rachel M.</t>
  </si>
  <si>
    <t>Managing Menopause Beautifully : Physically, Emotionally, and Sexually</t>
  </si>
  <si>
    <t>Caine-Francis, Dona; Caine-Francis, Dona</t>
  </si>
  <si>
    <t>Influenza</t>
  </si>
  <si>
    <t>Devlin, Roni K.</t>
  </si>
  <si>
    <t>Organ Donation and Transplantation : Body Organs as an Exchangeable Socio-Cultural Resource</t>
  </si>
  <si>
    <t>Ben-David, Orit Brawer</t>
  </si>
  <si>
    <t>Invention of the Modern Cookbook</t>
  </si>
  <si>
    <t>Sherman, Sandra</t>
  </si>
  <si>
    <t>Malaria and Poverty in Africa</t>
  </si>
  <si>
    <t>University of Nairobi Press</t>
  </si>
  <si>
    <t>Fosu, Augustin Kwasi; Mwabu, Germano</t>
  </si>
  <si>
    <t>Hope or Hype : The Obsession with Medical Advances and the High Cost of False Promises</t>
  </si>
  <si>
    <t>Deyo, Richard A.; Patrick, Donald L.</t>
  </si>
  <si>
    <t>Clinical Teaching Made Easy : A practical guide to teaching and learning in clinical settings</t>
  </si>
  <si>
    <t>McKimm, Judy; Swanwick, Tim</t>
  </si>
  <si>
    <t>Fat China : How Expanding Waistlines are Changing a Nation</t>
  </si>
  <si>
    <t>French, Paul; Crabbe, Matthew</t>
  </si>
  <si>
    <t>Carotenoids and Retinoids : Molecular Aspects and Health Issues</t>
  </si>
  <si>
    <t>AOCS Press</t>
  </si>
  <si>
    <t>Packer, Lester; Obermueller-Jevic, Ute; Kraemer, Klaus</t>
  </si>
  <si>
    <t>Dietary Fats and Risk of Chronic Disease</t>
  </si>
  <si>
    <t>Huang, Yung-Sheng; Yanagita, Teruyoshi; Knapp, Howard R.</t>
  </si>
  <si>
    <t>Handbook of NLP : A Manual for Professional Communicators</t>
  </si>
  <si>
    <t>Alder, Harry</t>
  </si>
  <si>
    <t>Medical Device Materials IV</t>
  </si>
  <si>
    <t>A S M International</t>
  </si>
  <si>
    <t>ASM International</t>
  </si>
  <si>
    <t>Gilbert, Jeremy</t>
  </si>
  <si>
    <t>Medical Device Materials III</t>
  </si>
  <si>
    <t>Venugopalan, Ramakrishna; Wu, M.</t>
  </si>
  <si>
    <t>Medical Device Materials : Proceedings from the Materials and Processes for Medical Devices Conference 2003</t>
  </si>
  <si>
    <t>Shrivastava, S.; Shrivastava, Sanjay</t>
  </si>
  <si>
    <t>Medical Device Materials II : Proceedings from the Materials and Processes for Medical Devices Conference 2004</t>
  </si>
  <si>
    <t>Helmus, Mike; Medlin, Dana</t>
  </si>
  <si>
    <t>Biomaterials in Orthopaedic Surgery</t>
  </si>
  <si>
    <t>Federico Ángel Rodríguez-González</t>
  </si>
  <si>
    <t>Medical Device Materials V : Proceedings of the Materials and Processes for Medical Devices Conference,  2009</t>
  </si>
  <si>
    <t>Medical Device Materials VI Proceedings from the Materials and Processes for Medical Devices Conference</t>
  </si>
  <si>
    <t>Tuberculosis and Nontuberculous Mycobacterial Infections</t>
  </si>
  <si>
    <t>Oral Microbial Communities : Genomic Inquiry and Interspecies Communication</t>
  </si>
  <si>
    <t>Kolenbrander, Paul E.</t>
  </si>
  <si>
    <t>Rapid Detection, Characterization, and Enumeration of Foodborne Pathogens</t>
  </si>
  <si>
    <t>Hoorfar, J.</t>
  </si>
  <si>
    <t>Science: Biology/Natural History; Engineering: Chemical; Engineering; Science</t>
  </si>
  <si>
    <t>Laboratory Quality Handbook of Best Practices and Relevant Regulations</t>
  </si>
  <si>
    <t>Singer, Donald C.</t>
  </si>
  <si>
    <t>The Certified HACCP Auditor Handbook</t>
  </si>
  <si>
    <t>John Surak</t>
  </si>
  <si>
    <t>Biomedical Quality Auditor Handbook</t>
  </si>
  <si>
    <t>ASQ Biomedical Division; Haggar, Bruce</t>
  </si>
  <si>
    <t>Lean Doctors : A Bold and Practical Guide to Using Lean Principles to Transform Healthcare Systems, One Doctor at a Time</t>
  </si>
  <si>
    <t>Suneja, Aneesh; Suneja, Carolyn; American Society for Quality Staff</t>
  </si>
  <si>
    <t>Lean Six Sigma for the Healthcare Practice : A Pocket Guide</t>
  </si>
  <si>
    <t>Munro, Roderick A.</t>
  </si>
  <si>
    <t>Using ISO 9001 in Healthcare : Applications for Quality Systems, Performance Improvement, Clinical Integration, and Accreditation</t>
  </si>
  <si>
    <t>Levett, James M.; Burney, Robert G.; American Society for Quality Staff</t>
  </si>
  <si>
    <t>Public Health Quality Improvement Handbook</t>
  </si>
  <si>
    <t>Bialek, Ronald G.; Duffy, Grace L.; Moran, John W.</t>
  </si>
  <si>
    <t>Root Cause Analysis and Improvement in the Healthcare Sector : A Step-By-Step Guide</t>
  </si>
  <si>
    <t>Andersen, Bjørn; Fagerhaug, Tom; Beltz, Marti</t>
  </si>
  <si>
    <t>Improving Healthcare Using Toyota Lean Production Methods : 46 Steps for Improvement</t>
  </si>
  <si>
    <t>Chalice, Robert; American Society for Quality Staff; American Society for Quality Staff</t>
  </si>
  <si>
    <t>Development of FDA-Regulated Medical Products : A Translational Approach</t>
  </si>
  <si>
    <t>Whitmore, Elaine</t>
  </si>
  <si>
    <t>Lean Doctors Workbook : An Application Guide for Transforming Outpatient Clinic Systems with Lean</t>
  </si>
  <si>
    <t>Suneja, Aneesh; Suneja, Carolyn</t>
  </si>
  <si>
    <t>Quality Function Deployment and Lean-Six Sigma Applications in Public Health</t>
  </si>
  <si>
    <t>Duffy, Grace L.; Moran, John W.; Riley, William</t>
  </si>
  <si>
    <t>The Biomedical Quality Auditor Handbook</t>
  </si>
  <si>
    <t>ASQ Biomedical Division</t>
  </si>
  <si>
    <t>Medical Device Design and Regulation</t>
  </si>
  <si>
    <t>DeMarco, Carl T.</t>
  </si>
  <si>
    <t>Practical Field Guide for ISO 13485</t>
  </si>
  <si>
    <t>Myhrberg, Erik V.; Raciti, Joseph</t>
  </si>
  <si>
    <t>Solutions to the Healthcare Quality Crisis : Cases and Examples of Lean Six Sigma in Healthcare</t>
  </si>
  <si>
    <t>Bisgaard, Søren</t>
  </si>
  <si>
    <t>Journey to Excellence : Baldrige Health Care Leaders Speak Out</t>
  </si>
  <si>
    <t>Goonan, Kathleen Jennison; American Society for Quality Staff</t>
  </si>
  <si>
    <t>Lean-Six Sigma for Healthcare : A Senior Leader Guide to Improving Cost and Throughput</t>
  </si>
  <si>
    <t>Caldwell, Chip; Butler, Greg; Posten, Nancy</t>
  </si>
  <si>
    <t>Establishing a Culture of Patient Safety : Improving Communication, Building Relationships, and Using Quality Tools</t>
  </si>
  <si>
    <t>Pauley, Judith A.; Pauley, Joseph F.</t>
  </si>
  <si>
    <t>Attachment Handbook For Foster Care And Adoption</t>
  </si>
  <si>
    <t>CoramBAAF</t>
  </si>
  <si>
    <t>Schofield, Gillian; Beek, Mary</t>
  </si>
  <si>
    <t>Digital Life Story Work</t>
  </si>
  <si>
    <t>Hammond, Simon P.; Cooper, Neil J.</t>
  </si>
  <si>
    <t>Facing a Pandemic : The African Church and the Crisis of AIDS</t>
  </si>
  <si>
    <t>Bongmba, Elias K.</t>
  </si>
  <si>
    <t>Frontiers in Drug Design and Discovery</t>
  </si>
  <si>
    <t>ur-Rahman, Atta-; Caldwell, Gary W.; Choudhary, M. Iqbal</t>
  </si>
  <si>
    <t>ur-Rahman, Atta-; Caldwell, Gary W.; Springer, Barry A.</t>
  </si>
  <si>
    <t>Neurobiology of Mood Disorders</t>
  </si>
  <si>
    <t>Guiard, Bruno P.; Dremencov, Eliyahu</t>
  </si>
  <si>
    <t>Prisoners of Our Thoughts : Viktor Frankl’s Principles for Discovering Meaning in Life and Work</t>
  </si>
  <si>
    <t>Pattakos, Alex</t>
  </si>
  <si>
    <t>Quick and the Dead : Biomedical Theory in Ancient Egypt</t>
  </si>
  <si>
    <t>Brill Academic Publishers</t>
  </si>
  <si>
    <t>Gordon, A. H.; Schwabe, Calvin W.</t>
  </si>
  <si>
    <t>Medicine, Public Health and the Qajar State : Patterns of Medical Modernization in 19thcentury Iran</t>
  </si>
  <si>
    <t>Ebrahimnejad, Hormoz</t>
  </si>
  <si>
    <t>Two Hippocratic Treatises : On Sight and On Anatomy</t>
  </si>
  <si>
    <t>African Indigenous Religions and Disease Causation : From Spiritual Beings to Living Humans</t>
  </si>
  <si>
    <t>Westerlund, David</t>
  </si>
  <si>
    <t>Spiritual Care in a Hospital Setting : An Empirical-theological Exploration</t>
  </si>
  <si>
    <t>Smeets, Wim</t>
  </si>
  <si>
    <t>Handbook of Food Processing in Classical Rome : For Her Bounty No Winter</t>
  </si>
  <si>
    <t>Thurmond, David L.</t>
  </si>
  <si>
    <t>Medicine for Women in Imperial China</t>
  </si>
  <si>
    <t>Leung, Angela Ki Che</t>
  </si>
  <si>
    <t>The Future of Academic Medical Centers</t>
  </si>
  <si>
    <t>Aaron, Henry</t>
  </si>
  <si>
    <t>Long-Term Care and Medicare Policy : Can We Improve the Continuity of Care?</t>
  </si>
  <si>
    <t>Blumenthal, David; Moon, Marilyn; Warshawsky, Mark; Boccuti, Christina</t>
  </si>
  <si>
    <t>Toward a Containment Strategy for Smallpox Bioterror : An Individual-Based Computational Approach</t>
  </si>
  <si>
    <t>Epstein, Joshua M.; Cummings, Derek A. T.; Chakravarty, Shubha; Singha, Ramesh M.; Burke, Donald S.</t>
  </si>
  <si>
    <t>Introduction to Pandemic Influenza</t>
  </si>
  <si>
    <t>CABI Publishing</t>
  </si>
  <si>
    <t>Van-Tam, J.; Sellwood, C.</t>
  </si>
  <si>
    <t>Conduct Disorders in Childhood and Adolescence</t>
  </si>
  <si>
    <t>Hill, Jonathan; Maughan, Barbara; Goodyer, Ian M.</t>
  </si>
  <si>
    <t>Women and Schizophrenia</t>
  </si>
  <si>
    <t>Castle, David J.; McGrath, John; Kulkarni, Jayashri</t>
  </si>
  <si>
    <t>Falls in Older People : Risk Factors and Strategies for Prevention</t>
  </si>
  <si>
    <t>Lord, Stephen R.; Sherrington, Catherine; Menz, Hylton B.</t>
  </si>
  <si>
    <t>Gene Transfer and the Ethics of First-in-Human Research : Lost in Translation</t>
  </si>
  <si>
    <t>Kimmelman, Jonathan</t>
  </si>
  <si>
    <t>Biodiversity and Health : Focusing Research to Policy / Biodiversité and Santé  : De la recherche aux politiques</t>
  </si>
  <si>
    <t>NRC Research Press</t>
  </si>
  <si>
    <t>Arnason, J.T.; Catling, P.M.; Small, E.</t>
  </si>
  <si>
    <t>Science: Botany; Science</t>
  </si>
  <si>
    <t>Molecular Imaging Through Magnetic Resonance for Clinical Oncology</t>
  </si>
  <si>
    <t>Belkic, Karen</t>
  </si>
  <si>
    <t>Type 1 Diabetes in Children, Adolescents and Young Adults (6th Edition)</t>
  </si>
  <si>
    <t>Class Publishing</t>
  </si>
  <si>
    <t>Hans, Ragnar; Kilvert, Anne</t>
  </si>
  <si>
    <t>Chronic Obstructive Pulmonary Disease in Primary Care</t>
  </si>
  <si>
    <t>Demos Medical Publishing, Incorporated</t>
  </si>
  <si>
    <t>Costello, Kathleen; Halper, June; Harris, Colleen; Harris, Colleen</t>
  </si>
  <si>
    <t>Ultimate Review for the Neurology Boards</t>
  </si>
  <si>
    <t>Fernandez, Hubert H; Eisenschenk, Stephan</t>
  </si>
  <si>
    <t>Wakely, Paul; Suster,  Saul</t>
  </si>
  <si>
    <t>Manual of Cancer Treatment Recovery : What the Practitioner Needs to Know and Do</t>
  </si>
  <si>
    <t>Fleishman, Stewart B., MD</t>
  </si>
  <si>
    <t>Neoplastic Mimics in Dermatopathology</t>
  </si>
  <si>
    <t>Wick, Mark R.; Patterson, James W.</t>
  </si>
  <si>
    <t>Androgen Deprivation Therapy : An Essential Guide for Prostate Cancer Patients and Their Loved Ones</t>
  </si>
  <si>
    <t>Wassersug, Richard J.; Walker, Lauren; Robinson, John; Higano, Celestia (Tia); Matthew, Andrew; Kukula, Kirsten; McLeod, Deborah; Lawlor-Savage, Linette; Santa Mina, Daniel; Currie, Kristen</t>
  </si>
  <si>
    <t>Handbook for Clinical Research : Design, Statistics, and Implementation</t>
  </si>
  <si>
    <t>Hammond, Flora; Malec, James; Buschbacher, Ralph; Buschbader, Ralph; Buschbacher, Ralph</t>
  </si>
  <si>
    <t>Neoplastic Mimics in Gastrointestinal and Liver Pathology</t>
  </si>
  <si>
    <t>Suriawinata, Arief</t>
  </si>
  <si>
    <t>Circulation of the Blood</t>
  </si>
  <si>
    <t>Electric Book Company</t>
  </si>
  <si>
    <t>Harvey, William</t>
  </si>
  <si>
    <t>Damned for Their Difference : The Cultural Construction of Deaf People as Disabled  : A Sociological History</t>
  </si>
  <si>
    <t>Gallaudet University Press</t>
  </si>
  <si>
    <t>Branson, Jan; Miller,  Don</t>
  </si>
  <si>
    <t>Genetics, Disability, and Deafness</t>
  </si>
  <si>
    <t>Van Cleve, John V.</t>
  </si>
  <si>
    <t>Coming to My Senses : One Woman's Cochlear Implant Journey</t>
  </si>
  <si>
    <t>Blatchford, Claire H.</t>
  </si>
  <si>
    <t>Sound and Healthy Environment</t>
  </si>
  <si>
    <t>Global Media</t>
  </si>
  <si>
    <t>Betty, Gilbert</t>
  </si>
  <si>
    <t>Health Care : A Complete Course</t>
  </si>
  <si>
    <t>James, Raymond</t>
  </si>
  <si>
    <t>Cosmetology</t>
  </si>
  <si>
    <t>Gonzalez, Anthony</t>
  </si>
  <si>
    <t>Parker, Henry</t>
  </si>
  <si>
    <t>Pharmaceutical Chemistry : Inorganic</t>
  </si>
  <si>
    <t>Chatwal, G.R.; Arora, M.</t>
  </si>
  <si>
    <t>Health Effects on Computer Users : Preventive Measures for the New Millennium</t>
  </si>
  <si>
    <t>Pal, Satish; Kalla, H.L.; Ravishankar, S.</t>
  </si>
  <si>
    <t>Minor Forest Produce Used in Pharmaceutical and Other Industries</t>
  </si>
  <si>
    <t>Murthy, T. Krishna</t>
  </si>
  <si>
    <t>Chatwal, G.R.</t>
  </si>
  <si>
    <t>Biostatistics</t>
  </si>
  <si>
    <t>Arora, P.N.; Malhan, P.K.</t>
  </si>
  <si>
    <t>Medical Biotechnology</t>
  </si>
  <si>
    <t>Research Methodology in Medical-Sciences</t>
  </si>
  <si>
    <t>Chandorkar, A.G.; Nagoba, B.S.</t>
  </si>
  <si>
    <t>Text Book of Microbiology : Immunology and Medical Microbiology</t>
  </si>
  <si>
    <t>Reddy, S. Ram; Reddy, K. Rajeshwar</t>
  </si>
  <si>
    <t>Comprehensive Remedial Mathematics for B. Pharmacy</t>
  </si>
  <si>
    <t>Patkar, Shyam; Bhardwaj, Ramakant; Agrawal, Sarvesh</t>
  </si>
  <si>
    <t>Yoga : A Gateway to Curb Social Evils</t>
  </si>
  <si>
    <t>Kumar, Ramesh</t>
  </si>
  <si>
    <t>Pharmaceutical Chemistry Organic</t>
  </si>
  <si>
    <t>Statistical and Mathematical Techniques in Nuclear Medicine</t>
  </si>
  <si>
    <t>Pharmaceutical Organic Chemistry, Volume II</t>
  </si>
  <si>
    <t>Fast Facts: Low Back Pain</t>
  </si>
  <si>
    <t>Borenstein, David; Calin, Andei</t>
  </si>
  <si>
    <t>HIV/AIDS's and the World of Work : An ILO Code of Practice</t>
  </si>
  <si>
    <t>International Labour Office Bureau International du Travail</t>
  </si>
  <si>
    <t>International Labour Office Geneva; Report, International Labour Office; International Labor Office,</t>
  </si>
  <si>
    <t>Workplace Action on HIV/AIDS : How to Access Funds at Country Level</t>
  </si>
  <si>
    <t>Hagen, Katherine</t>
  </si>
  <si>
    <t>Fundamental Principles of Occupational Health and Safety</t>
  </si>
  <si>
    <t>Alli, Benjamin O.</t>
  </si>
  <si>
    <t>How Does the Introduction of Health Insurance Change the Equity in the Health Care Provision in Bulgaria?</t>
  </si>
  <si>
    <t>Markova, Nora</t>
  </si>
  <si>
    <t>HIV/AIDS : The Impact on Poverty and Inequality</t>
  </si>
  <si>
    <t>Salinas, Gonzalo; Haacker, Markus</t>
  </si>
  <si>
    <t>Macroeconomics of HIV/AIDS</t>
  </si>
  <si>
    <t>Haacker, Markus</t>
  </si>
  <si>
    <t>Medical Response to Terror Threats</t>
  </si>
  <si>
    <t>Richman, A.; Shapira, S.C.; Sharan, Y.</t>
  </si>
  <si>
    <t>Bulimia Nervosa : A Cognitive Manual</t>
  </si>
  <si>
    <t>Cooper, Myra; Todd, Gillian; Wells, Adrian</t>
  </si>
  <si>
    <t>Diet Intervention and Autism : Implementing the Gluten Free and Casein Free Diet for Autistic Children and Adults - A Practical Guide for Parents</t>
  </si>
  <si>
    <t>Le Breton, Marilyn; Kessick, Rosemary</t>
  </si>
  <si>
    <t>Breaking Autism's Barriers : A Father's Story</t>
  </si>
  <si>
    <t>Davis, Bill; Schunick, Wendy Goldband; Kingsley, Jessica</t>
  </si>
  <si>
    <t>Younger People with Dementia : Planning, Practice and Development</t>
  </si>
  <si>
    <t>Cox, Sylvia; Marshall, Mary; Keady, John</t>
  </si>
  <si>
    <t>Behavioural Concerns and Autistic Spectrum Disorders : Explorations and Strategies for Change</t>
  </si>
  <si>
    <t>Clements, John; Zarkowska, Ewa</t>
  </si>
  <si>
    <t>Practical Approaches to Dramatherapy : The Shield of Perseus</t>
  </si>
  <si>
    <t>Grainger, Roger; Andersen-Warren, Madeline; Seymour, Anna</t>
  </si>
  <si>
    <t>Attention Deficit/Hyperactivity Disorder : A Multidisciplinary Approach</t>
  </si>
  <si>
    <t>Holowenko, Henryk</t>
  </si>
  <si>
    <t>Discovering My Autism : Apologia Pro Vita Sua (With Apologies to Cardinal Newman)</t>
  </si>
  <si>
    <t>Schneider, Edgar W.</t>
  </si>
  <si>
    <t>Spirituality and Mental Health Care : Rediscovering a 'Forgotten' Dimension</t>
  </si>
  <si>
    <t>Swinton, John</t>
  </si>
  <si>
    <t>Process in the Arts Therapies</t>
  </si>
  <si>
    <t>Bannerman-Haig, Sara; Cattanach, Ann; Barham, Michael; Daniel, Chris; Meldrum, Brenda; Mitchell, Steve; Ward, Cathy; Woodcock, John; Woodcock, John</t>
  </si>
  <si>
    <t>Drug Treatments and Dementia</t>
  </si>
  <si>
    <t>Hopker, Stephen</t>
  </si>
  <si>
    <t>Art Science and Art Therapy : Repainting the Picture</t>
  </si>
  <si>
    <t>Kaplan, Frances</t>
  </si>
  <si>
    <t>The Therapeutic Potential of Creative Writing : Writing Myself</t>
  </si>
  <si>
    <t>Bolton, Gillie; Field, Victoria; Thompson, Kate</t>
  </si>
  <si>
    <t>Survival Strategies for Parenting Children with Bipolar Disorder : Innovative Parenting and Counseling Techniques for Helping Children with Bipolar Disorder and the Conditions That May Occur with It</t>
  </si>
  <si>
    <t>Lynn, George T.</t>
  </si>
  <si>
    <t>Therapeutic Art Directives and Resources : Activities and Initiatives for Individuals and Groups</t>
  </si>
  <si>
    <t>Makin, Susan R.; Malchiodi, Cathy A.</t>
  </si>
  <si>
    <t>Learning to Live with High Functioning Autism : A Parent's Guide for Professionals</t>
  </si>
  <si>
    <t>Stanton, Mike</t>
  </si>
  <si>
    <t>The Self-Help Guide for Special Kids and Their Parents</t>
  </si>
  <si>
    <t>Matthews, Joan; Williams, James</t>
  </si>
  <si>
    <t>Our Journey Through High Functioning Autism and Asperger Syndrome : A Roadmap</t>
  </si>
  <si>
    <t>Andron, Linda Anne; Attwood, Tony; Willey, Liane Holliday</t>
  </si>
  <si>
    <t>Helping Children with Dyspraxia</t>
  </si>
  <si>
    <t>Confidentiality and Mental Health</t>
  </si>
  <si>
    <t>Cordess, Christopher</t>
  </si>
  <si>
    <t>Bright Splinters of the Mind : A Personal Story of Research with Autistics Savant</t>
  </si>
  <si>
    <t>Hermelin, Beate; Rutter, Sir Michael</t>
  </si>
  <si>
    <t>Practical Strategies for Living with Dyslexia</t>
  </si>
  <si>
    <t>From Thoughts to Obsessions : Obsessive Compulsive Disorder in Children and Adolescents</t>
  </si>
  <si>
    <t>Thomsen, Per Hove</t>
  </si>
  <si>
    <t>The Therapist's Encounters with Revenge and Forgiveness</t>
  </si>
  <si>
    <t>Durham, Mary Sherrill</t>
  </si>
  <si>
    <t>Interpersonal Psychoanalytic Perspectives on Relevance, Dismissal and Self-Definition</t>
  </si>
  <si>
    <t>Feiner, Arthur H.; Levenson, Edgar A.</t>
  </si>
  <si>
    <t>Autism : The Serarch for Coherence</t>
  </si>
  <si>
    <t>Alvarez, Anne; Richer, John; Coates, Sheila; Bogdashina, Olga; Danczak, Edward M.; Fleisher, Marc; Janert, Sibylle; Kobayashi, Ryuji; Lee, Anthony; Mavropoulou, Sophia</t>
  </si>
  <si>
    <t>Like Colour to the Blind : Soul Searching and Soul Finding</t>
  </si>
  <si>
    <t>The Perspectives of People with Dementia : Research Methods and Motivations</t>
  </si>
  <si>
    <t>Bowes, Alison; Bruce, Errollyn; Clarke, Charlotte L.; Downs, Murna; Wilkinson, Heather</t>
  </si>
  <si>
    <t>Therapeutic Interventions for Forensic Mental Health Nurses</t>
  </si>
  <si>
    <t>Aiyegbusi, Anne; Kettles; Collins, Mick; Woods, Phil</t>
  </si>
  <si>
    <t>Beyond Madness : Psychosocial Interventions in Psychosis</t>
  </si>
  <si>
    <t>Berke, Joseph H.; Schneider, Stanley; Berke, Joseph; Fagan, Margaret; Mak-Pearce, George; Pierides-Muller, Stella</t>
  </si>
  <si>
    <t>Caring for a Child with Autism : Practical Guide for Parents</t>
  </si>
  <si>
    <t>Ives, Martine; Munro, Nell; Wynn, Richard; Munro, Nell; Bleach, Fiona</t>
  </si>
  <si>
    <t>Tiny Bites : A Guide to Gastric Surgery for the Morbidly Obese</t>
  </si>
  <si>
    <t>Beauchamp-Parke, Saundra; MacGregor, Alex M C</t>
  </si>
  <si>
    <t>Systematic Treatment of Bulimia Nervosa : Women In Transition</t>
  </si>
  <si>
    <t>Kayrooz, Carole</t>
  </si>
  <si>
    <t>AiA Gluten and Dairy Free Cookbook</t>
  </si>
  <si>
    <t>Le Breton, Marilyn; Le Breton, Marilyn; Kessick, Rosemary</t>
  </si>
  <si>
    <t>Home Economics; Medicine; Pharmacy</t>
  </si>
  <si>
    <t>Primary Care and Dementia</t>
  </si>
  <si>
    <t>Iliffe, Steve; Drennan, Vari; Downs, Murna</t>
  </si>
  <si>
    <t>Reweaving the Autistic Tapestry : Autism, Asperger's Syndrome and ADHD</t>
  </si>
  <si>
    <t>Blakemore-Brown, Lisa</t>
  </si>
  <si>
    <t>Creating a Safe Place : Helping Children and Families Recover from Child Sexual Abuse</t>
  </si>
  <si>
    <t>NCH Children and Families Project Staff; Lahad, Mooli; Lahad, Mooli</t>
  </si>
  <si>
    <t>Anthropological Approaches to Psychological Medicine</t>
  </si>
  <si>
    <t>Bhugra, Dinesh; Skultans, Vieda; Cox, John; Campbell, John; Dein, Simon; Dongen, Els Van; Eisenbruch, Maurice; Fitzgerald, Maureen; Hutchinson, Gerard; Jackson, Jane</t>
  </si>
  <si>
    <t>Forensic Nursing and Multidisciplinary Care of the Mentally Disordered Offender</t>
  </si>
  <si>
    <t>Addo, Mary; Erven, Tom van; Robinson, David; Almvic, Roger; Donisch-Seidel, Uwe; Collins, Mick; Elliott, Karen; Ousley, Leah; Peternelji-Taylor, Cindy; Jones, Jean</t>
  </si>
  <si>
    <t>On Death, Dying and Not Dying</t>
  </si>
  <si>
    <t>Houghton, Peter</t>
  </si>
  <si>
    <t>Creative Advances in Groupwork</t>
  </si>
  <si>
    <t>Chesner, Anna; Hahn, Herbert</t>
  </si>
  <si>
    <t>Counsellors in Health Settings</t>
  </si>
  <si>
    <t>Gregory, Karl; Etherington, Kim; Kirk, Kate; Segal, Julia; Segal, Julia</t>
  </si>
  <si>
    <t>Autobiography of a Theory : Developing Systems-Centred Theory</t>
  </si>
  <si>
    <t>Agazarian, Yvonne M.; Gantt, Susan</t>
  </si>
  <si>
    <t>A Systems-Centered Approach to Inpatient Group Psychotherapy</t>
  </si>
  <si>
    <t>The Group as Therapist</t>
  </si>
  <si>
    <t>Chazan, Rachael; de Mar, Pat; Pines, Malcolm</t>
  </si>
  <si>
    <t>Home Educating Our Autistic Spectrum Children : Paths Are Made by Walking</t>
  </si>
  <si>
    <t>Cohen, Rachel; Cowlishaw, Kitt; Dowty, Terri; Pyles, Lise</t>
  </si>
  <si>
    <t>Healing Arts : The History of Art Therapy</t>
  </si>
  <si>
    <t>Hogan, Susan; Lomas, Mr David</t>
  </si>
  <si>
    <t>Race, Culture and Ethnicity in Secure Psychiatric Practice - Working with Difference : Working with Difference</t>
  </si>
  <si>
    <t>Boga, Nizar; Elvey, Elaine; Fernando, Suman; Ghosh, Chandra; Gnanasekaran, Krishnan; Grant, Stan; Hayes, Jayne; Inyama, Chinyere; Kaye, Charles; Lingiah, Tony</t>
  </si>
  <si>
    <t>Workplace Violence and Mental Illness</t>
  </si>
  <si>
    <t>Empie, Kristine M.</t>
  </si>
  <si>
    <t>Latino Families Broken by Immigration : The Adolescent's Perceptions</t>
  </si>
  <si>
    <t>Artico, Ceres I.</t>
  </si>
  <si>
    <t>Health and Behavior among Immigrant Youth</t>
  </si>
  <si>
    <t>Hamilton, Hayley A.</t>
  </si>
  <si>
    <t>Immigration, Acculturation, and Health : The Mexican Diaspora</t>
  </si>
  <si>
    <t>Reichman, Jill S.</t>
  </si>
  <si>
    <t>Mental Health and Violent Youth : A Developmental/Lifecourse Perspective</t>
  </si>
  <si>
    <t>Boots, Denise Paquette</t>
  </si>
  <si>
    <t>Sex Offender Treatment Programs in Correctional Settings : Participant Selection, Treatment Experience, and Treatment Completion</t>
  </si>
  <si>
    <t>Osborn, Leah</t>
  </si>
  <si>
    <t>Representing Autism : Culture, Narrative, Fascination</t>
  </si>
  <si>
    <t>Murray, Stuart</t>
  </si>
  <si>
    <t>Jesuit Health Sciences and the Promotion of Justice : An Invitation to a Discussion</t>
  </si>
  <si>
    <t>Welie, Jos V. M.; Kissell, Judith Lee</t>
  </si>
  <si>
    <t>Health System Performance Comparison : An Agenda For Policy, Information And Research</t>
  </si>
  <si>
    <t>Papanicolas, Irene; Smith, Peter</t>
  </si>
  <si>
    <t>Sargent, Andrew; Rowlands, Angela</t>
  </si>
  <si>
    <t>Venepuncture and Cannulation : A Practical Guide</t>
  </si>
  <si>
    <t>Brooks, Nicola</t>
  </si>
  <si>
    <t>Pharmacognosy and Pharmacobiotechnology</t>
  </si>
  <si>
    <t>MCQs in Pharmacology</t>
  </si>
  <si>
    <t>Vidya Sagar, G.</t>
  </si>
  <si>
    <t>Laboratory Manual of Organic Chemistry</t>
  </si>
  <si>
    <t>Bansal, Raj K.</t>
  </si>
  <si>
    <t>Psychiatry for General Practitioners</t>
  </si>
  <si>
    <t>Jiloha, R.C.; Bhatia, M.S.</t>
  </si>
  <si>
    <t>MCQs on Pharmacology</t>
  </si>
  <si>
    <t>Dixit, R.K.; Nath, Rajendra; Kumar, Amod</t>
  </si>
  <si>
    <t>Tuskegee Syphilis Study : The Real Story and Beyond</t>
  </si>
  <si>
    <t>NewSouth, Incorporated</t>
  </si>
  <si>
    <t>Gray, Fred D.</t>
  </si>
  <si>
    <t>Antidepressants: Types, Efficiency and Possible Side Effects</t>
  </si>
  <si>
    <t>Van Leeuwen, Jayden T.</t>
  </si>
  <si>
    <t>Food Chemistry</t>
  </si>
  <si>
    <t>Wang, Dongfeng; Lin, Hong; Kan, Jianqian; Liu, Linwei; Zeng, Xiaoxing; Shen, grong</t>
  </si>
  <si>
    <t>Medicinal Plants : Classification, Biosynthesis and Pharmacology</t>
  </si>
  <si>
    <t>Nova Science Publishers, Inc.</t>
  </si>
  <si>
    <t>Varela, Alejandro; Ibañez, Jasiah</t>
  </si>
  <si>
    <t>Breast Cancer Screening and Prevention</t>
  </si>
  <si>
    <t>Pegg, Jonathan D.</t>
  </si>
  <si>
    <t>Sleep Deprivation: Causes, Effects and Treatment</t>
  </si>
  <si>
    <t>Fulke, Pedr; Vaughan, Sior</t>
  </si>
  <si>
    <t>Aging : Mental Aspects, Social Welfare and Health</t>
  </si>
  <si>
    <t>Heckles, Jim P.; Bergin, Laura M.</t>
  </si>
  <si>
    <t>Autoimmune Disorders: Symptoms, Diagnosis and Treatment</t>
  </si>
  <si>
    <t>Petrov, Maria E.</t>
  </si>
  <si>
    <t>Bone Regeneration: Growth Factors, Augmentation Procedures and Tissue Engineering Applications</t>
  </si>
  <si>
    <t>Legard, Vincent; Schluter, Remi</t>
  </si>
  <si>
    <t>Congestive Heart Failure: Symptoms, Causes and Treatment</t>
  </si>
  <si>
    <t>García, Josia E.; Wright, Victor R.</t>
  </si>
  <si>
    <t>Cardiovascular Diseases and Liver Transplantation</t>
  </si>
  <si>
    <t>Milan, Zoka</t>
  </si>
  <si>
    <t>Intellectual Disability: Management, Causes and Social Perceptions</t>
  </si>
  <si>
    <t>Mancini, Domenico F.; Greco, Carlo M.</t>
  </si>
  <si>
    <t>The Knee: Current Concepts in Kinematics, Injury Types, and Treatment Options</t>
  </si>
  <si>
    <t>Mascarenhas, Randy</t>
  </si>
  <si>
    <t>Immunogenicity</t>
  </si>
  <si>
    <t>Villanueva, Christian J.</t>
  </si>
  <si>
    <t>Cardiac Rehabilitation</t>
  </si>
  <si>
    <t>Halliday, Jonathon T.</t>
  </si>
  <si>
    <t>Liver Disease and Peritonitis: Causes, Treatment and Prevention</t>
  </si>
  <si>
    <t>Voung, Mao Kang; Sung, Jiang Shi</t>
  </si>
  <si>
    <t>Dysplasia: Causes, Types and Treatment Options</t>
  </si>
  <si>
    <t>Sexton, Laurel M.; Leach, Hershel J.</t>
  </si>
  <si>
    <t>Acute Kidney Injury : Causes, Diagnosis, and Treatments</t>
  </si>
  <si>
    <t>Mendoza, Jonathan D.</t>
  </si>
  <si>
    <t>Cortisol: Physiology, Regulation and Health Implications</t>
  </si>
  <si>
    <t>Esposito, Alonzo; Bianchi, Vito</t>
  </si>
  <si>
    <t>Elderly Patients with Multi-Morbidity, Frailty and Geriatric Syndromes: Therapeutic Problem of Contemporary and Incoming Medicine at Intensive Care Unit (ICU)  from the Geriatrician’s Viewpoint</t>
  </si>
  <si>
    <t>Weber, Pavel</t>
  </si>
  <si>
    <t>Ulcers : Causes, Diagnosis, and Treatment</t>
  </si>
  <si>
    <t>Erceg, Danijel; Milojeviæ, Pero</t>
  </si>
  <si>
    <t>Speech Disorders:  Causes, Treatment and Social Effects</t>
  </si>
  <si>
    <t>Harrison, Alan E.</t>
  </si>
  <si>
    <t>Deep Brain Stimulation: New Developments, Procedures and Applications</t>
  </si>
  <si>
    <t>Sloan, Alden G.; Villarreal, Andrea I. Montes</t>
  </si>
  <si>
    <t>Aggressive Breast Cancer</t>
  </si>
  <si>
    <t>DeFrina, Regina H.; Barginear, Myra F; Budman, Daniel R; Azab, Samar S; El-Demerdash, Ebtehal; Al-Hendy, Ayman</t>
  </si>
  <si>
    <t>Liver Cirrhosis: Causes, Diagnosis and Treatment</t>
  </si>
  <si>
    <t>Michelli, Miranda L.</t>
  </si>
  <si>
    <t>Addiction to Exercise: A Symptom or a Disorder?</t>
  </si>
  <si>
    <t>Szabo, Atilla</t>
  </si>
  <si>
    <t>Ataxia: Causes, Symptoms and Treatment</t>
  </si>
  <si>
    <t>Hong, SungHoi</t>
  </si>
  <si>
    <t>Hematomas: Types, Treatments and Health Risks</t>
  </si>
  <si>
    <t>Salazar, Misael F. Garza; Mendoza, Araceli Ruiz</t>
  </si>
  <si>
    <t>Athlete Performance and Injuries</t>
  </si>
  <si>
    <t>Bastos, João H.; Silva, Andreia C.</t>
  </si>
  <si>
    <t>The Making of a Good Doctor</t>
  </si>
  <si>
    <t>Kirkcaldy, B.D.; Siefen, R.G.; Siefen, George R.</t>
  </si>
  <si>
    <t>Probiotics: Sources, Types and Health Benefits</t>
  </si>
  <si>
    <t>Smith, Abbey; Jones, Caleb L.</t>
  </si>
  <si>
    <t>Understanding Eating Disorders : Integrating Culture, Psychology and Biology</t>
  </si>
  <si>
    <t>Latzer, Yael; Merrick, Joav; Stein, Daniel</t>
  </si>
  <si>
    <t>Pregnancy : Risk Factors, Management and Recovery</t>
  </si>
  <si>
    <t>Frias, Teresa Altamirano; Cano, Miguel Jaquez</t>
  </si>
  <si>
    <t>Cancer Clusters</t>
  </si>
  <si>
    <t>Germanno, Bradley D.</t>
  </si>
  <si>
    <t>Iodine: Characteristics, Sources and Health Implications</t>
  </si>
  <si>
    <t>Martinez, Adelina H.; Perez, Edelmiro J.</t>
  </si>
  <si>
    <t>Dysphagia: Risk Factors, Diagnosis and Treatment</t>
  </si>
  <si>
    <t>Smith, Brian S.; Adams, Mikael</t>
  </si>
  <si>
    <t>Health Issues, Injuries and Diseases</t>
  </si>
  <si>
    <t>Shartava, Tsisana</t>
  </si>
  <si>
    <t>Psychology of Neuroticism and Shame</t>
  </si>
  <si>
    <t>Jackson, Raymond G.</t>
  </si>
  <si>
    <t>Infliximab: Pharmacology, Uses and Limitations</t>
  </si>
  <si>
    <t>Acevedo, Antonio D. Medrano; Gaitan, Montserrat Fajardo</t>
  </si>
  <si>
    <t>Improving the Value of Health Care</t>
  </si>
  <si>
    <t>Turner, Shaun C.; Nguyen, Erik S.</t>
  </si>
  <si>
    <t>Ventricular Fibrillation and Acute Coronary Syndrome</t>
  </si>
  <si>
    <t>Mandell Joyce E.</t>
  </si>
  <si>
    <t>Biomaterials Developments and Applications</t>
  </si>
  <si>
    <t>Lisle, Amaury; Bourg, Henri</t>
  </si>
  <si>
    <t>Deafness, Hearing Loss and the Auditory System</t>
  </si>
  <si>
    <t>Fiedler, Derick; Krause, Rowland</t>
  </si>
  <si>
    <t>Murphy, Ryan E.</t>
  </si>
  <si>
    <t>The H1N1 Influenza Pandemic of 2009</t>
  </si>
  <si>
    <t>Bartolotti, Charles R.</t>
  </si>
  <si>
    <t>Horizons in World Cardiovascular Research. Volume 2</t>
  </si>
  <si>
    <t>Horizons in World Cardiovascular Research</t>
  </si>
  <si>
    <t>Bennington, Eleanor H.</t>
  </si>
  <si>
    <t>Degradable Polymers for Skeletal Implants</t>
  </si>
  <si>
    <t>Wuisman, Paul. I. J. M.; Smit, Theo H.</t>
  </si>
  <si>
    <t>Advances in Medicine and Biology. Volume 4</t>
  </si>
  <si>
    <t>Advances in Medicine and Biology</t>
  </si>
  <si>
    <t>Berhardt, Leon V.</t>
  </si>
  <si>
    <t>Brain Mapping and Diseases</t>
  </si>
  <si>
    <t>Spinelle, Diane E.</t>
  </si>
  <si>
    <t>Suicidal Behavior in Alcohol and Drug Abuse and Dependence</t>
  </si>
  <si>
    <t>Sher, Leo; Vilens, Alexander</t>
  </si>
  <si>
    <t>Gadolinium: Compounds, Production and Applications</t>
  </si>
  <si>
    <t>Thompson, Caden C.</t>
  </si>
  <si>
    <t>Advances in Medicine and Biology. Volume 6</t>
  </si>
  <si>
    <t>Infectious Disease Modelling Research Progress</t>
  </si>
  <si>
    <t>Tchuenche, Jean Michel; Chiyaka, Christinah; Sowunmi, C.O.A.; Rwezaura, H.; Mtisi, E.; Bhunu, C.P.; Garira, W.; Munz, P.; Hudea, I.; Imad, J.</t>
  </si>
  <si>
    <t>Women and Aging: New Research</t>
  </si>
  <si>
    <t>Benninghouse, Harriet T.; Rosset, Andria G.</t>
  </si>
  <si>
    <t>Advances in Cardiovascular Research. Volume 1</t>
  </si>
  <si>
    <t>Schmitt, Lukas; Konig, Timm</t>
  </si>
  <si>
    <t>Oncologic Surgery of the Pterygopalantine Fossa and Adjacent Structures</t>
  </si>
  <si>
    <t>Jian, Xin-chun; Jian, Xin-Chun</t>
  </si>
  <si>
    <t>Angioplasty Research Progress</t>
  </si>
  <si>
    <t>Layton, Kevin G.; Percelle, Raymond A.</t>
  </si>
  <si>
    <t>Nose and Viral Cancer:  Etiology, Pathogenesis and Treatment</t>
  </si>
  <si>
    <t>Medeiros, Aloisio; Veloso, Carlitos</t>
  </si>
  <si>
    <t>Horizons in Neuroscience Research. Volume 1</t>
  </si>
  <si>
    <t>Costa, Andres; Villalba, Eugenio</t>
  </si>
  <si>
    <t>Molecular Therapy of Breast Cancer : Classicism Meets Modernity</t>
  </si>
  <si>
    <t>Lacroix, Marc</t>
  </si>
  <si>
    <t>Oxidative Stress and Antioxidants : Their Role in Human Disease</t>
  </si>
  <si>
    <t>Rodrigo, Ramon</t>
  </si>
  <si>
    <t>Congenital Heart Defects : Etiology, Diagnosis and Treatment</t>
  </si>
  <si>
    <t>Nakamura, Hiroto</t>
  </si>
  <si>
    <t>Cell, Gene, and Molecular Therapy : New Concepts</t>
  </si>
  <si>
    <t>Wiwanitkit, Viroj</t>
  </si>
  <si>
    <t>Education; Pharmacy; Medicine</t>
  </si>
  <si>
    <t>Ecotoxicology Research Developments</t>
  </si>
  <si>
    <t>Santos, Eduardo B.</t>
  </si>
  <si>
    <t>Science; Health; Social Science; Science: Biology/Natural History</t>
  </si>
  <si>
    <t>Pathophysiology of Nonalcoholic Steatohepatitis</t>
  </si>
  <si>
    <t>Basaranoglu, Metin; Neuschwander, Brent A.</t>
  </si>
  <si>
    <t>Hip Replacement : Approaches, Complications and Effectiveness</t>
  </si>
  <si>
    <t>Aoi, T.; Toshida, A.</t>
  </si>
  <si>
    <t>AIDS Vaccines, HIV Receptors, and AIDS Research</t>
  </si>
  <si>
    <t>Kendow, Lawrence B.</t>
  </si>
  <si>
    <t>Science; Pharmacy; Science: Biology/Natural History; Medicine</t>
  </si>
  <si>
    <t>Depression, Subjective Well-Being and Individual Aspirations of College Students</t>
  </si>
  <si>
    <t>Margitics, Ferenc; Pauwlik, Zsuzsa</t>
  </si>
  <si>
    <t>Angiotensin Converting Enzyme Inhibitors</t>
  </si>
  <si>
    <t>DeBrue, Anne N.</t>
  </si>
  <si>
    <t>Transcatheter Coil Embolization of Visceral Arterial Aneurysms</t>
  </si>
  <si>
    <t>Takebayashi, Shigeo; Torimoto, Izumi; Imoto, Kiyotaka</t>
  </si>
  <si>
    <t>Integrated Health Care Delivery</t>
  </si>
  <si>
    <t>Klein, Leonie A.; Neumann, Emily L.</t>
  </si>
  <si>
    <t>Schizoaffective Disorders: International Perspectives on Understanding, Intervention and Rehabilitation</t>
  </si>
  <si>
    <t>Yip, Kam-Shing</t>
  </si>
  <si>
    <t>New Insights into Functional Mapping in Cerebral Tumor Surgery</t>
  </si>
  <si>
    <t>Duffau, Hugues</t>
  </si>
  <si>
    <t>Psychological Factors and Cardiovascular Disorders : The Role of Psychiatric Pathology and Maladaptive Personality Features</t>
  </si>
  <si>
    <t>Sher, Leo</t>
  </si>
  <si>
    <t>Heart Transplantation: Indications and Contraindications, Procedures and Complications</t>
  </si>
  <si>
    <t>Fleming, Catherine T.</t>
  </si>
  <si>
    <t>Causes and Risks for Autism</t>
  </si>
  <si>
    <t>Giordano, Alessia C.; Lombardi, Viola A.</t>
  </si>
  <si>
    <t>Immunosuppression : New Research</t>
  </si>
  <si>
    <t>Taylor, Charles B.</t>
  </si>
  <si>
    <t>Science; Pharmacy; Medicine; Science: Biology/Natural History</t>
  </si>
  <si>
    <t>Borderline Personality Disorder : New Research</t>
  </si>
  <si>
    <t>Jackson, Marian H.; Westbrook, Linda F.</t>
  </si>
  <si>
    <t>Intracranial Hypertension</t>
  </si>
  <si>
    <t>Iencean, Stefan Mircea; Ciurea, Alexandru Vladimir</t>
  </si>
  <si>
    <t>Alcohol-Related Cognitive Disorders : Research and Clinical Perspectives</t>
  </si>
  <si>
    <t>Sher, Leo; Kandel, Isack; Merrick, Joav</t>
  </si>
  <si>
    <t>Children and Second-Hand Smoke Exposure</t>
  </si>
  <si>
    <t>Harrington, Janice R.</t>
  </si>
  <si>
    <t>Brain Mapping Research Progress</t>
  </si>
  <si>
    <t>Girard, Ines C.; Andre, Jade S.</t>
  </si>
  <si>
    <t>Anticancer Drugs : Design, Delivery and Pharmacology</t>
  </si>
  <si>
    <t>Spencer, Peter; Holt, Walter</t>
  </si>
  <si>
    <t>Guide to Public Health Research Needs</t>
  </si>
  <si>
    <t>Turner, Raymond I.</t>
  </si>
  <si>
    <t>Adverse Effects of Hormonal Contraceptives : Myth and Reality</t>
  </si>
  <si>
    <t>Rosa, Sabatini</t>
  </si>
  <si>
    <t>Psychological Factors and Cardiovascular Disorders : The Role of Stress and Psychosocial Influences</t>
  </si>
  <si>
    <t>New Topics in Aging</t>
  </si>
  <si>
    <t>Seplina, Pauline T.</t>
  </si>
  <si>
    <t>DNA Identification : Lessons Learned From 9-11</t>
  </si>
  <si>
    <t>Perkins, Charles B.</t>
  </si>
  <si>
    <t>Adolescent Schizophrenia</t>
  </si>
  <si>
    <t>Nillinghouse, James T.; Trotman, Robert P.</t>
  </si>
  <si>
    <t>Life Span Development in Genetic Disorders : Behavioral and Neurological Aspects</t>
  </si>
  <si>
    <t>Verri, Annapia</t>
  </si>
  <si>
    <t>Diagnostic Process in Medical Practice</t>
  </si>
  <si>
    <t>Groves, Michele</t>
  </si>
  <si>
    <t>Diet Quality of Americans</t>
  </si>
  <si>
    <t>Nelson, Victoria C.</t>
  </si>
  <si>
    <t>AIDS-Related Opportunistic Infections</t>
  </si>
  <si>
    <t>Galanda, Claudia D.</t>
  </si>
  <si>
    <t>Retinal Degeneration : Causes, Diagnosis, and Treatment</t>
  </si>
  <si>
    <t>Catlin, Robert B.</t>
  </si>
  <si>
    <t>Biomarkers for Early Diagnosis of Alzheimer's Disease</t>
  </si>
  <si>
    <t>Galimberti, Daniela; Scarpani, Elio</t>
  </si>
  <si>
    <t>Focus for Excellence Laboratory Practice</t>
  </si>
  <si>
    <t>Wiwanitkit, Viroj; Viroj Wiwanitkit,</t>
  </si>
  <si>
    <t>Deep Brain Stimulation : Applications, Complications and Side Effects</t>
  </si>
  <si>
    <t>Rogers, Mark H.; Anderson, Paul B.</t>
  </si>
  <si>
    <t>Statins: Indications and Uses, Safety and Modes of Action</t>
  </si>
  <si>
    <t>Holmqvist, Gunnar N.</t>
  </si>
  <si>
    <t>Leung, Alexander K. C.; Leung, James S. C.</t>
  </si>
  <si>
    <t>Epidemiology of Neuroblastoma</t>
  </si>
  <si>
    <t>Parodi, Stefano; Haupt, Riccardo</t>
  </si>
  <si>
    <t>Caffeine and Health Research</t>
  </si>
  <si>
    <t>Chambers, Kenneth P.</t>
  </si>
  <si>
    <t>Science; Science: Biology/Natural History; Health</t>
  </si>
  <si>
    <t>New Cancer Research Developments</t>
  </si>
  <si>
    <t>Ford, Thomas D.</t>
  </si>
  <si>
    <t>Progress in Food Chemistry</t>
  </si>
  <si>
    <t>Koeffer, Ernst N.; Koeffer, Ernst N.</t>
  </si>
  <si>
    <t>Heart Disease in Women</t>
  </si>
  <si>
    <t>Lardner, Benjamin V.; Pennelton, Harrison R.</t>
  </si>
  <si>
    <t>Behavioral Theories and Interventions for Autism</t>
  </si>
  <si>
    <t>Reed, Phil</t>
  </si>
  <si>
    <t>Nanocrystalline Apatite-Based Biomaterials</t>
  </si>
  <si>
    <t>Eichert, D.; Rey, C.; Drouet, C.; Rey, C.; Combes, C.</t>
  </si>
  <si>
    <t>Estrogens : Production, Functions and Applications</t>
  </si>
  <si>
    <t>Bartos, James R.</t>
  </si>
  <si>
    <t>HDL and LDL Cholesterol : Physiology and Clinical Significance</t>
  </si>
  <si>
    <t>Pagano, Irwin S.; Strait, Nathan B.</t>
  </si>
  <si>
    <t>Challenges in Acute Geriatric Care</t>
  </si>
  <si>
    <t>Naschitz, Jochanan E.</t>
  </si>
  <si>
    <t>Cell Differentiation of Neoplastic Cells Originating in the Oral and Craniofacial Regions</t>
  </si>
  <si>
    <t>Kawakami, Toshiyuki</t>
  </si>
  <si>
    <t>Medicinal Chemistry Research Progress</t>
  </si>
  <si>
    <t>Colombo, Giulia P.; Ricci, Sofia</t>
  </si>
  <si>
    <t>Ergonomics : Design, Integration and Implementation</t>
  </si>
  <si>
    <t>Brinkerhoff, Bram N.</t>
  </si>
  <si>
    <t>Air Pollution in India and Its Impact on the Health of Different Income Groups</t>
  </si>
  <si>
    <t>Mukhopadhyay, Kakali</t>
  </si>
  <si>
    <t>Molecular Aspects of Infectious Diseases</t>
  </si>
  <si>
    <t>Saleh, Mazen T.</t>
  </si>
  <si>
    <t>Abnormal Psychology : New Research</t>
  </si>
  <si>
    <t>Friedman, Helen D.; Revera, Paulina K.</t>
  </si>
  <si>
    <t>Non-Communicable Diseases (NCDs) in Developing Countries</t>
  </si>
  <si>
    <t>Phaswana-Mafuya, Nancy; Tassiopoulos, Dimitri</t>
  </si>
  <si>
    <t>Irritable Bowel Syndrome</t>
  </si>
  <si>
    <t>Driggers, Jonathon D.; Pellegrino, Calvin A.</t>
  </si>
  <si>
    <t>Physical Therapy: Theory, Practices and Benefits</t>
  </si>
  <si>
    <t>Bennett, James P.</t>
  </si>
  <si>
    <t>Role of Dispositional Optimism in Health Related Quality of Life Among Health Care Professionals with Musculoskeletal PainRUSH</t>
  </si>
  <si>
    <t>Lyrakos, George N.</t>
  </si>
  <si>
    <t>Cholera: Symptoms, Diagnosis and Treatment</t>
  </si>
  <si>
    <t>Melbourne, Evelyn L.</t>
  </si>
  <si>
    <t>Spasticity and its Management with Physical Therapy Applications</t>
  </si>
  <si>
    <t>Armutlu, Kadriye; Fil, Ayla; Özçelik, Yeliz</t>
  </si>
  <si>
    <t>Sex Chromosomes : Genetics, Abnormalities, and Disorders</t>
  </si>
  <si>
    <t>Weingarten, Cynthia N.; Jefferson, Sally E.</t>
  </si>
  <si>
    <t>Neuroplasticity in the Auditory Brainstem: From Physiology to the Drug Therapy</t>
  </si>
  <si>
    <t>Salami, Angelo</t>
  </si>
  <si>
    <t>Global View of the Fight Against Influenza</t>
  </si>
  <si>
    <t>Mitrasinovic, Petar M.</t>
  </si>
  <si>
    <t>Pharmacotherapy of Smoking Cessation: Current and Future Status</t>
  </si>
  <si>
    <t>Sondhi, Kiran</t>
  </si>
  <si>
    <t>Vascular Dementia: Risk Factors, Diagnosis and Treatment</t>
  </si>
  <si>
    <t>Jacobsen, Sarah R.</t>
  </si>
  <si>
    <t>Self-Management and the Health Care Consumer</t>
  </si>
  <si>
    <t>Harvey, Peter William</t>
  </si>
  <si>
    <t>Airborne Particulates</t>
  </si>
  <si>
    <t>Cheng, Ming; Liu, Wen</t>
  </si>
  <si>
    <t>Dental Composites with Nano-Scaled Fillers</t>
  </si>
  <si>
    <t>Little, Matthew J.; Fong, Hao</t>
  </si>
  <si>
    <t>Hysterectomy : Procedures, Complications and Alternatives</t>
  </si>
  <si>
    <t>Shimizu, Deborah J.</t>
  </si>
  <si>
    <t>Herpesviridae : Viral Structure, Life Cycle and Infections</t>
  </si>
  <si>
    <t>Gluckman, Toma R.</t>
  </si>
  <si>
    <t>Science; Science: Biology/Natural History; Health; Medicine</t>
  </si>
  <si>
    <t>Cognitive Behavioral Therapy : Applications, Methods and Outcomes</t>
  </si>
  <si>
    <t>Lee, Stephen A.; Edget, Delaney M.</t>
  </si>
  <si>
    <t>Alzheimer's Disease Diagnosis and Treatments</t>
  </si>
  <si>
    <t>Boyd, Marisa R.</t>
  </si>
  <si>
    <t>Textbook of Therapeutic Cortical Stimulation</t>
  </si>
  <si>
    <t>Periodontal Disease: Symptoms, Treatment and Prevention</t>
  </si>
  <si>
    <t>Yamamoto, Sho L.</t>
  </si>
  <si>
    <t>Clinical Aspects of Psychopharmacology in Childhood and Adolescence</t>
  </si>
  <si>
    <t>Greydanus, Donald E.; Calles Jr., Joseph L.; Patel, Dilip P.; Nazeer, Ahsan; Merrick, Professor Joav</t>
  </si>
  <si>
    <t>Tumor Suppressors</t>
  </si>
  <si>
    <t>Nguyen, Susan D.</t>
  </si>
  <si>
    <t>Crisis Management in Chinese Contexts</t>
  </si>
  <si>
    <t>Chan, Zenobia C. Y.</t>
  </si>
  <si>
    <t>Rheumatoid Arthritis: Prevalence, Risk Factors and Health Effects</t>
  </si>
  <si>
    <t>Madsen, Michael H.</t>
  </si>
  <si>
    <t>Clinical Dentistry</t>
  </si>
  <si>
    <t>Scardina, Giuseppe Alessandro</t>
  </si>
  <si>
    <t>Internet Addiction</t>
  </si>
  <si>
    <t>Price, Hannah O.</t>
  </si>
  <si>
    <t>Appendicitis: Symptoms, Diagnosis, and Treatments</t>
  </si>
  <si>
    <t>Ryan, William L.</t>
  </si>
  <si>
    <t>Biological and Environmental Applications of Gas Discharge Plasmas</t>
  </si>
  <si>
    <t>Brelles-Mariño, Graciela</t>
  </si>
  <si>
    <t>Molecular Mechanisms Involved in the Pathogenesis of Huntington's Disease</t>
  </si>
  <si>
    <t>Perandones, Claudia; Micheli, Federico Eduardo; Radrizzani, Martin</t>
  </si>
  <si>
    <t>Immunogenetics: Tolerance and Autoimmunity</t>
  </si>
  <si>
    <t>Lesage, Sylvie</t>
  </si>
  <si>
    <t>Eye Research Developments : Glaucoma, Corneal Transplantation, and</t>
  </si>
  <si>
    <t>Westerhouse, Alan N.</t>
  </si>
  <si>
    <t>Rabies:  Symptoms, Treatment and Prevention</t>
  </si>
  <si>
    <t>Williamson, John G.</t>
  </si>
  <si>
    <t>Complementary Medicine Systems : Comparison and Integration</t>
  </si>
  <si>
    <t>Kratky, Karl W.</t>
  </si>
  <si>
    <t>Calcium Channel Blockers and Renal Disease</t>
  </si>
  <si>
    <t>Robles, Nicolás Roberto</t>
  </si>
  <si>
    <t>Genes and Nutrition</t>
  </si>
  <si>
    <t>Viroj Wiwanitkit; Wiwanitkit, Viroj; Viroj Wiwanitkit,</t>
  </si>
  <si>
    <t>Focus on Milk and Infants</t>
  </si>
  <si>
    <t>Wiwanitkit, Viroj; Viroj Wiwanitkit,; Wiwanitkit, Viroj</t>
  </si>
  <si>
    <t>Safety Efforts in Pediatric Drug Development</t>
  </si>
  <si>
    <t>Byrne, Conor D.</t>
  </si>
  <si>
    <t>Ambiol As Base of New Effective Drugs</t>
  </si>
  <si>
    <t>Kuznetsov, Yury V.</t>
  </si>
  <si>
    <t>Health; Medicine; Pharmacy</t>
  </si>
  <si>
    <t>Cancer Biology : an Updated Global Overview</t>
  </si>
  <si>
    <t>El-Metwally, Tarek H.</t>
  </si>
  <si>
    <t>Prolactinomas, Prolactin and Weight Gain</t>
  </si>
  <si>
    <t>O. Naliato, Erika C.</t>
  </si>
  <si>
    <t>Rural Medical Education : Practical Strategies</t>
  </si>
  <si>
    <t>Bell, Erica; Zimitat, Craig; Merrick, Joav</t>
  </si>
  <si>
    <t>Cardiovascular Signals in Diabetes Mellitus: A New Tool to Detect Autonomic Neuropathy</t>
  </si>
  <si>
    <t>Javorka, Michal; Tonhajzerova, Ingrid; Turianikova, Zuzana; Javorka, Kamil; Baumert, Mathias</t>
  </si>
  <si>
    <t>Markos, A.R.</t>
  </si>
  <si>
    <t>Rectal Cancer : Etiology, Pathogenesis and Treatment</t>
  </si>
  <si>
    <t>Wells, Paula; Halstead, Regina</t>
  </si>
  <si>
    <t>Eye Infections, Blindness and Myopia</t>
  </si>
  <si>
    <t>Higgins, Jeffrey; Truax, Dominique</t>
  </si>
  <si>
    <t>Trends in Nursing Research</t>
  </si>
  <si>
    <t>Ryan, Adam J.; Doyle, Jack</t>
  </si>
  <si>
    <t>Multiple Sclerosis: A New Paradigm</t>
  </si>
  <si>
    <t>Geffard, Michel</t>
  </si>
  <si>
    <t>Older Adults with HIV : An In-Depth Examination of an Emerging Population</t>
  </si>
  <si>
    <t>Brennan, Mark; Karpiak, Stephen E.; Shippy, R. Andrew; Cantor, Marjorie H.</t>
  </si>
  <si>
    <t>Advances in Medicine and Biology, Volume 3</t>
  </si>
  <si>
    <t>Magnetic Resonance Spectroscopy of Breast Tumors</t>
  </si>
  <si>
    <t>Tse, Gary M.</t>
  </si>
  <si>
    <t>Human Papillomavirus (HPV) Involvement in Esophageal Carcinogenesis</t>
  </si>
  <si>
    <t>Syrjänen, Kari</t>
  </si>
  <si>
    <t>Chance Action and Therapy: The Playful Way of Changing</t>
  </si>
  <si>
    <t>Wernik, Uri</t>
  </si>
  <si>
    <t>Practical Rapid ECG Interpretation (PREI)</t>
  </si>
  <si>
    <t>Kocheril, Abraham G.</t>
  </si>
  <si>
    <t>Steroid Use and Abuse</t>
  </si>
  <si>
    <t>Roberts, Paul K.</t>
  </si>
  <si>
    <t>Asbestos : Risks, Environment and Impact</t>
  </si>
  <si>
    <t>Soto, Antonio; Salazar, Gael</t>
  </si>
  <si>
    <t>Swine Flu and Pig Borne Diseases</t>
  </si>
  <si>
    <t>Viroj Wiwanitkit</t>
  </si>
  <si>
    <t>Family History of Osteoporosis</t>
  </si>
  <si>
    <t>Afghani, Afrooz</t>
  </si>
  <si>
    <t>Forensic Genetics Research Progress</t>
  </si>
  <si>
    <t>Gonzalez-Andrade, Fabricio</t>
  </si>
  <si>
    <t>Follicular Lymphoma and Other Cancer Research</t>
  </si>
  <si>
    <t>Safford, Michael P.; Haines, John G.</t>
  </si>
  <si>
    <t>Practitioner's Guide to Common Ano-Rectal Diseases</t>
  </si>
  <si>
    <t>Gupta, Pravin Jaiprakash</t>
  </si>
  <si>
    <t>Lung Transplantation: Therapies, Complications and Outcomes</t>
  </si>
  <si>
    <t>Ferguson, Richard D.; Holmer, Craig A.</t>
  </si>
  <si>
    <t>Palliative and Nursing Home Care: Policies, Challenges and Quality of Life</t>
  </si>
  <si>
    <t>Plunkett, Samuel E.</t>
  </si>
  <si>
    <t>Biodegradable Composites for Bone Regeneration</t>
  </si>
  <si>
    <t>Calandrelli, Luigi; Laurienzo, Paola; Malinconico, Mario</t>
  </si>
  <si>
    <t>Health Issues in Chinese Contexts</t>
  </si>
  <si>
    <t>Chan, Zenobia C.Y.</t>
  </si>
  <si>
    <t>Contemporary Issues in Intellectual Disabilities</t>
  </si>
  <si>
    <t>Prasher, V.P.</t>
  </si>
  <si>
    <t>Brain Cancer, Tumor Targeting and Cervical Cancer</t>
  </si>
  <si>
    <t>Salvatti, Elena K.</t>
  </si>
  <si>
    <t>Abdominal Aortic Aneurysms : New Approaches to Rupture Risk Assessment</t>
  </si>
  <si>
    <t>Doyle, Barry J.; Molony, David S.; Walsh, Michael T.; McGloughlin, Timothy M.</t>
  </si>
  <si>
    <t>Fungicides : Chemistry, Environmental Impact and Health Effects</t>
  </si>
  <si>
    <t>De Costa, Paul; Bezerra, Peter</t>
  </si>
  <si>
    <t>Obstructive Sleep Apnea: Causes, Treatment and Health Implications</t>
  </si>
  <si>
    <t>Mangiardi, Priscilla; Sacchetti, Lisandro M.</t>
  </si>
  <si>
    <t>Healing from the Trauma of Peacekeeping</t>
  </si>
  <si>
    <t>Ray, Susan L.; Ray, K.</t>
  </si>
  <si>
    <t>Surface Modified Biochemical Titanium Alloys</t>
  </si>
  <si>
    <t>Vadiraj, Aravind; Kamaraj, M .</t>
  </si>
  <si>
    <t>Gastrointestinal Tract in the Aged</t>
  </si>
  <si>
    <t>Malnick, Stephen D.H.; Tal, Sari; Tal, Sari</t>
  </si>
  <si>
    <t>Focus on Thyroid Cancer Research</t>
  </si>
  <si>
    <t>Milton, Carl A.</t>
  </si>
  <si>
    <t>Aerobic Exercise in Special Populations</t>
  </si>
  <si>
    <t>Perez, Carlos Ayan; Cancela Carral, Jose Maria; Martinez, Silvia Varela</t>
  </si>
  <si>
    <t>Allergies and Autism</t>
  </si>
  <si>
    <t>Dochniak, Michael J.; Dunn, Denise H.</t>
  </si>
  <si>
    <t>Sedentary Behavior: Physiology, Health Risks and Interventions</t>
  </si>
  <si>
    <t>Bergin, Maryanne G.</t>
  </si>
  <si>
    <t>Clinical Chemistry Research</t>
  </si>
  <si>
    <t>Mitchem, Brian H.; Sharnham, Charles L.</t>
  </si>
  <si>
    <t>Horizons in Cancer Research. Volume 42</t>
  </si>
  <si>
    <t>Watanabe, Hiroto S.</t>
  </si>
  <si>
    <t>Climate Change and Rural Child Health</t>
  </si>
  <si>
    <t>Bell, Erica; Seidel, Bastian M.; Merrick, Joav</t>
  </si>
  <si>
    <t>Biomaterials in Blood-Contacting Devices: Complications and Solutions</t>
  </si>
  <si>
    <t>Wang, Meng-Jiy; Tsai, Wei-Bor</t>
  </si>
  <si>
    <t>Food Protection and Safety</t>
  </si>
  <si>
    <t>Thomasson, Lyman F.</t>
  </si>
  <si>
    <t>Genetic Screening of Newborns: An Ethical Inquiry</t>
  </si>
  <si>
    <t>Valverde, Carlos</t>
  </si>
  <si>
    <t>AMPK-S6K1 Signaling Pathway as a Target for Treating Hepatic Insulin Resistance</t>
  </si>
  <si>
    <t>Kim, Sang Geon; Cho, Je; Yeon Kay, Hee</t>
  </si>
  <si>
    <t>Human Polyomaviruses : Molecular Mechanisms for Transformation and their Association with Cancers</t>
  </si>
  <si>
    <t>Moens, Ugo; Van Gheule, Marijke; Johannessen, Mona</t>
  </si>
  <si>
    <t>Squalene : Current Knowledge and Potential Therapeutical Uses</t>
  </si>
  <si>
    <t>Ramirez-Torres, A.; Gabas, C.; Barranquero, C.</t>
  </si>
  <si>
    <t>Colorectal Cancer: Risk, Diagnosis and Treatments</t>
  </si>
  <si>
    <t>Jenkins, Julianne E.</t>
  </si>
  <si>
    <t>Viral Cancers : Cytologic Tools in Diagnosis and Management</t>
  </si>
  <si>
    <t>Das, Dilip K.</t>
  </si>
  <si>
    <t>Genetic Endocrinology of the Metabolic Syndrome</t>
  </si>
  <si>
    <t>Rodríguez, Santiago; Gaunt, Tom R.; Reza, Mohammad</t>
  </si>
  <si>
    <t>Dietary Supplements</t>
  </si>
  <si>
    <t>Riley, Timothy H.</t>
  </si>
  <si>
    <t>Cognitive Therapy of Eating Disorders on Control and Worry</t>
  </si>
  <si>
    <t>Sassaroli, Sandra; Ruggiero, Giovanni Maria</t>
  </si>
  <si>
    <t>Mental Depression : Forms, Causes and Treatment</t>
  </si>
  <si>
    <t>Moy, Rafael D.</t>
  </si>
  <si>
    <t>Insect Viruses : Detection, Characterization and Roles</t>
  </si>
  <si>
    <t>Connell, Christopher J.; Ralston, Dominick P.</t>
  </si>
  <si>
    <t>Pediatric Neurology</t>
  </si>
  <si>
    <t>Lawson, Peter N.; McCarthy, Eliot A.</t>
  </si>
  <si>
    <t>Methadone-Related Overdose Deaths: Factors and Prevention Measures</t>
  </si>
  <si>
    <t>Lejeune, Maxime G.</t>
  </si>
  <si>
    <t>Neurological Lists : Neurology - Laboratory and Clinical Research Developments</t>
  </si>
  <si>
    <t>Zare, Mohammed; Fatehi, Farzad; Saadatnia, Mohammed; Basiri, Keivan</t>
  </si>
  <si>
    <t>Meconium Aspiration Syndrome: From Pathomechanisms to TreatmentRUSH</t>
  </si>
  <si>
    <t>Mokra, Daniela; Mokry, Juraj</t>
  </si>
  <si>
    <t>Economic Challenges in the Fight Against HIV/AIDS</t>
  </si>
  <si>
    <t>Leoni, Patrick</t>
  </si>
  <si>
    <t>Melamine and Other Problematic Food Carcinogens</t>
  </si>
  <si>
    <t>Stress of Family Members in Caring for A Relative with Schizophrenia</t>
  </si>
  <si>
    <t>Chien, Wai-Tong</t>
  </si>
  <si>
    <t>Treatment of Ventricular FibrillationRUSH</t>
  </si>
  <si>
    <t>Sankaranarayanan, Rajiv; James, Michael; James, Michael</t>
  </si>
  <si>
    <t>Generic Drugs : Needs and Issues</t>
  </si>
  <si>
    <t>Blanton, Ryan S.</t>
  </si>
  <si>
    <t>Hypertension, Heredity and Stroke</t>
  </si>
  <si>
    <t>Moratinos, Cristina; Cárdenas, Bruno</t>
  </si>
  <si>
    <t>Malaria Resistance or Susceptibility in Red Cells Disorders</t>
  </si>
  <si>
    <t>Faye, Farba Balle Khodia</t>
  </si>
  <si>
    <t>The Psychological Impact of Living Under Violence and Poverty in Brazil</t>
  </si>
  <si>
    <t>Lovisi, Giovani Marcos; Mari, Jair de Jesus; Valencia, Elie S.</t>
  </si>
  <si>
    <t>Advancements in Cancer Research</t>
  </si>
  <si>
    <t>Viktorsson, Kajsa</t>
  </si>
  <si>
    <t>Microwave Applications in Pathology</t>
  </si>
  <si>
    <t>Leong, Anthony S.Y.</t>
  </si>
  <si>
    <t>Cancer Biomarkers</t>
  </si>
  <si>
    <t>Kristoff, Helen C.</t>
  </si>
  <si>
    <t>Cognitive and Neuroscientific Aspects of Human Love: A Guide for Marriage and Couples Counseling</t>
  </si>
  <si>
    <t>Lambos, Wiiliam A.; Emener, William G.</t>
  </si>
  <si>
    <t>National Strategy for Influenza Pandemic</t>
  </si>
  <si>
    <t>Bradley, Nancy T.</t>
  </si>
  <si>
    <t>Hunger in America : Issues and Assistance</t>
  </si>
  <si>
    <t>LaBue, Gaston T.</t>
  </si>
  <si>
    <t>Medicare Payment Policies to Physicians</t>
  </si>
  <si>
    <t>Bergen, Katherine V.</t>
  </si>
  <si>
    <t>The Power of the Gene: The Origin and Impact of Genetic Disorders</t>
  </si>
  <si>
    <t>Murgatroyd, Chris</t>
  </si>
  <si>
    <t>Multiple Sclerosis: Causes, Diagnosis and Management</t>
  </si>
  <si>
    <t>Scholz, Erwin; Müller, Carl</t>
  </si>
  <si>
    <t>New Quinolones with Potential Anti-MRSA Activity</t>
  </si>
  <si>
    <t>Emami, Saeed</t>
  </si>
  <si>
    <t>Delusional Misidentification</t>
  </si>
  <si>
    <t>Young, Garry</t>
  </si>
  <si>
    <t>Cholera: Current African Perspectives</t>
  </si>
  <si>
    <t>Madoroba, E.</t>
  </si>
  <si>
    <t>Hospital-Acquired Infections</t>
  </si>
  <si>
    <t>Wilcox, Julia B.</t>
  </si>
  <si>
    <t>Liver Transplantation : Rejection, Therapy, and Post-Operative Complications</t>
  </si>
  <si>
    <t>Knudsen, Kirsten H.</t>
  </si>
  <si>
    <t>Hypertension and Bone Loss</t>
  </si>
  <si>
    <t>E. coli Infections: Causes, Treatment and Prevention</t>
  </si>
  <si>
    <t>Rogers, Morgan C.; Peterson, Nancy D.</t>
  </si>
  <si>
    <t>New Topics in Eye Research</t>
  </si>
  <si>
    <t>Korhonen, Lauri; Laine, Elias</t>
  </si>
  <si>
    <t>Amphetamines: Neurobiological Mechanisms, Pharmacology and Effects</t>
  </si>
  <si>
    <t>Rincón, Antoine</t>
  </si>
  <si>
    <t>Health Care Costs: Outlook and Options</t>
  </si>
  <si>
    <t>Inhurst, Raymond W.</t>
  </si>
  <si>
    <t>Vaccinations : Types, Potential Complications and Health Effects</t>
  </si>
  <si>
    <t>Steen, David B.; Dyson, Howard L.</t>
  </si>
  <si>
    <t>Antisocial Behavior: Causes, Correlations and Treatments</t>
  </si>
  <si>
    <t>Clarke, Rebecca M.</t>
  </si>
  <si>
    <t>Anorexia Nervosa: A Multi-Disciplinary Approach: From Biology to Philosophy</t>
  </si>
  <si>
    <t>Manichi, Antonio; Daini, Silvia; Caruana, Louis</t>
  </si>
  <si>
    <t>Drug Resistant Neoplasms</t>
  </si>
  <si>
    <t>Verrite, Ethan G.</t>
  </si>
  <si>
    <t>A Practical Guide to Reflux: Causes, Consequences and Care</t>
  </si>
  <si>
    <t>Birk, John W.</t>
  </si>
  <si>
    <t>Mechanisms of Cadmium Toxicity to Various Trophic Saltwater Organisms</t>
  </si>
  <si>
    <t>Wang, Zaosheng; Yan, Changzhou; Kong, Hainan; Wu, Deyi</t>
  </si>
  <si>
    <t>New Research on Personality Disorders</t>
  </si>
  <si>
    <t>Halvorsen, Ida V.; Olsen, Sarah N.</t>
  </si>
  <si>
    <t>Clostridum Difficile-Associated Diarrhea</t>
  </si>
  <si>
    <t>Kato, Hideaki; Kato, Haru</t>
  </si>
  <si>
    <t>Ecological Approaches to Health : Interactions Between Humans and Their Environment</t>
  </si>
  <si>
    <t>Dumont, Claire</t>
  </si>
  <si>
    <t>Abdel-Rahman, Emaad</t>
  </si>
  <si>
    <t>Drug Monitoring by Hplc : Recent Developments</t>
  </si>
  <si>
    <t>Samanidou, Victoria; Karageorgou, Eftichia</t>
  </si>
  <si>
    <t>Environmental Change and Medicine</t>
  </si>
  <si>
    <t>Comprehensive Models of Cardiovascular and Respiratory Systems : Their Mechanical Support and Interactions</t>
  </si>
  <si>
    <t>Darowski, Marek; Ferrari, Gianfranco</t>
  </si>
  <si>
    <t>Neuroscience Research Advances</t>
  </si>
  <si>
    <t>Figueredo, Benito; Meléndez, Fidel</t>
  </si>
  <si>
    <t>Head Restraints and Whiplash : The Past, Present and Future</t>
  </si>
  <si>
    <t>Desapriya, Ediriweera</t>
  </si>
  <si>
    <t>Aphasia: Symptoms, Diagnosis and Treatment</t>
  </si>
  <si>
    <t>Ibanescu, Grigore; Pescariu, Serafim</t>
  </si>
  <si>
    <t>Medicare Advantage: The Alternate Medicare Program</t>
  </si>
  <si>
    <t>Baylis, Charles V.</t>
  </si>
  <si>
    <t>Genetic Diagnoses</t>
  </si>
  <si>
    <t>Sarma, Radha Jonnalagedda</t>
  </si>
  <si>
    <t>Systemic and Metabolic Changes Observed in Alcohol Dependent Male Patients</t>
  </si>
  <si>
    <t>Klopocka, Maria; Budzynski, Jacek; Swiatkowski, Maciej; Pulkowski, Grzegorz</t>
  </si>
  <si>
    <t>Graduate Medical Education Issues</t>
  </si>
  <si>
    <t>Hansen, Caroline I.; Wood, Joshua A.</t>
  </si>
  <si>
    <t>Handbook of Stroke and Neurocritical Care</t>
  </si>
  <si>
    <t>Lee, Vivien H.</t>
  </si>
  <si>
    <t>Decreasing Oxidative Stress and Retarding the Aging Process</t>
  </si>
  <si>
    <t>Poljsak, Borut</t>
  </si>
  <si>
    <t>Sports Injuries and its Effects on Health</t>
  </si>
  <si>
    <t>Salerno, Robert R.</t>
  </si>
  <si>
    <t>Experimental Leukemia : History, Biology and Genetics</t>
  </si>
  <si>
    <t>Sugiyama, Taketoshi</t>
  </si>
  <si>
    <t>Microcirculation: Function, Malfunction and Measurement</t>
  </si>
  <si>
    <t>Thompson, Ralph</t>
  </si>
  <si>
    <t>Neurodegeneration: Theory, Disorders and Treatments</t>
  </si>
  <si>
    <t>McNeill, Alexander S.</t>
  </si>
  <si>
    <t>Breaking Down Barriers to Care: Treatment of Tobacco Dependence in Vulnerable Populations</t>
  </si>
  <si>
    <t>Snyder, John E.; Engelen, Megan J.</t>
  </si>
  <si>
    <t>Strong Women, Dangerous Times : Gender and HIV/AIDS in Africa</t>
  </si>
  <si>
    <t>Kalipeni, Ezekiel; Flynn, Karen; Pope, Cynthia</t>
  </si>
  <si>
    <t>Mental Illnesses : Descriptions, Causes and Treatments</t>
  </si>
  <si>
    <t>Koch, Jeremias</t>
  </si>
  <si>
    <t>Strategies in Evaluation of Complex Health Care Interventions for People with Physical or Mental Health Issues</t>
  </si>
  <si>
    <t>Comparative Effectiveness of Medical Treatments</t>
  </si>
  <si>
    <t>Villa, Peter; Brun, Sophia</t>
  </si>
  <si>
    <t>Development of New MDR-Tuberculosis Drugs</t>
  </si>
  <si>
    <t>Vinšová, Jarmila; Krátký, Martin</t>
  </si>
  <si>
    <t>Food Science Research and Technology</t>
  </si>
  <si>
    <t>Hülsen, Isaak; Ohnesorge, Egon</t>
  </si>
  <si>
    <t>Electrochemical Sensing of Deadly Toxin-Atrazine: An Overview</t>
  </si>
  <si>
    <t>Rao, T. Prasada; James, Dhanya; Elias, Milja T.</t>
  </si>
  <si>
    <t>Dental Materials Research</t>
  </si>
  <si>
    <t>Kaminski, Haden D.; DuPois, Easton A.</t>
  </si>
  <si>
    <t>Handbook of Neuropsychiatry Research</t>
  </si>
  <si>
    <t>Davies, Rebecca S.</t>
  </si>
  <si>
    <t>Bioceramics : Properties, Preparation and Applications</t>
  </si>
  <si>
    <t>Kossler, Wolffe; Fuchs, Jacob</t>
  </si>
  <si>
    <t>Differential Diagnosis of Hyperthyroidism</t>
  </si>
  <si>
    <t>Cakir, Mehtap</t>
  </si>
  <si>
    <t>Post-Traumatic Stress Disorder in Refugee Communities: The Importance of Culturally Sensitive Screening, Diagnosis, and Treatment</t>
  </si>
  <si>
    <t>McDonald, Theodore W.; Sand, Jaime N.</t>
  </si>
  <si>
    <t>Creating Livable Communities for People with Disabilities</t>
  </si>
  <si>
    <t>Vanags, Alise</t>
  </si>
  <si>
    <t>Aromatase Inhibitors: Types, Mode of Action and Indications</t>
  </si>
  <si>
    <t>Lamonte, Jean R.</t>
  </si>
  <si>
    <t>Stem Cells and Regenerative Medicine, Volume III : Pharmacology and Therapy</t>
  </si>
  <si>
    <t>Taupin, Phillippe</t>
  </si>
  <si>
    <t>Quantitative Immunohistology: Problems and Solutions (K)</t>
  </si>
  <si>
    <t>Leong, Anthony S-Y; Leong, Trishe Y-M</t>
  </si>
  <si>
    <t>Hemorrhoids: Symptoms, Diagnosis and Treatment</t>
  </si>
  <si>
    <t>Raspallo, Benjamin M.; Salinitri, Philip S.</t>
  </si>
  <si>
    <t>Diagnosis and Imaging of Chronic Pancreatitis</t>
  </si>
  <si>
    <t>Coenegrachts, Kenneth; De Wilde, Vincent; Denolin, Vincent; Denolin, Vincent</t>
  </si>
  <si>
    <t>Handbook of Common Problems in Clinical Nephrology</t>
  </si>
  <si>
    <t>Thorp, Micah L.</t>
  </si>
  <si>
    <t>Karyogamic Theory of Cancer Cell Formation from the View of the XXI Century</t>
  </si>
  <si>
    <t>Gogichadze, G.; Gogichadze, T.</t>
  </si>
  <si>
    <t>Alcoholic Beverage Consumption and Health</t>
  </si>
  <si>
    <t>Mazzei, Adam; D'Arco, Agostina</t>
  </si>
  <si>
    <t>Bisphenol A and Phthalates: Uses, Health Effects and Environmental Risks</t>
  </si>
  <si>
    <t>Vaughn, Bradley C.</t>
  </si>
  <si>
    <t>Antimicrobial Activity of Lactoferrin and Lactoferrin Derived Peptides</t>
  </si>
  <si>
    <t>Jenssen, Havard</t>
  </si>
  <si>
    <t>Pathogen Detection Methods: Biosensor Development</t>
  </si>
  <si>
    <t>Baldrich, Eva; Garcia-Aljaro, Cristina</t>
  </si>
  <si>
    <t>Recent Advances in BIS Guided TCI Anesthesia</t>
  </si>
  <si>
    <t>Ferreira, David A.; Antunes, Luís; Amorim, Pedro; Nunes, Catarina</t>
  </si>
  <si>
    <t>Reflux Disease: Causes, Symptoms and Treatment</t>
  </si>
  <si>
    <t>Esposito, Gabriella M.</t>
  </si>
  <si>
    <t>N-3 Fats: Nutritional Needs, Traditional and Novel Sources and Microbial Production Strategies</t>
  </si>
  <si>
    <t>Jakobsen, Anita Nordeng</t>
  </si>
  <si>
    <t>Diagnostic Modalities in Crohn's Disease</t>
  </si>
  <si>
    <t>Girelli, Carlo M.; Crespit, Luca G.</t>
  </si>
  <si>
    <t>COPD Is/Is Not a Systemic Disease?</t>
  </si>
  <si>
    <t>Donner, Claudio F.</t>
  </si>
  <si>
    <t>Nerve Growth Factor and Pain</t>
  </si>
  <si>
    <t>Sarchielli, Paola; Capocchi, Giuseppe; Nardi, Katiuscia</t>
  </si>
  <si>
    <t>Developmental Neurotoxicity of  PBDEs, Mechanisms and Implications</t>
  </si>
  <si>
    <t>Alm, Henrik; Scholz, Birger</t>
  </si>
  <si>
    <t>Oncoproteins: Types and Detection</t>
  </si>
  <si>
    <t>Davis, Jeremy R.</t>
  </si>
  <si>
    <t>Children and Pain</t>
  </si>
  <si>
    <t>Schofield, Patricia; Merrick, Professor Joav</t>
  </si>
  <si>
    <t>Stem Cells and Regenerative Medicine, Volume 1 : Adult Neurogenesis and Neural Stem Cells</t>
  </si>
  <si>
    <t>Taupin, Philippe</t>
  </si>
  <si>
    <t>Appetite and Nutritional Assessment</t>
  </si>
  <si>
    <t>Ellsworth, Shane J.; Schuster, Reece C.</t>
  </si>
  <si>
    <t>Trends in Human Performance Research</t>
  </si>
  <si>
    <t>Duncan, Michael J.; Lyons, Mark</t>
  </si>
  <si>
    <t>Infectious Pregnancy Complications</t>
  </si>
  <si>
    <t>Canfield, Richard N.</t>
  </si>
  <si>
    <t>Drug Targeting by Magnetically Responsive Colloids (K)</t>
  </si>
  <si>
    <t>Arias, José L.; Arias, Jos L</t>
  </si>
  <si>
    <t>Lupus Nephritis: Frontiers and Challenges</t>
  </si>
  <si>
    <t>Sheashaa, Hussein A.; Abbas, Tarek M.; Moustafa, Fatma E.</t>
  </si>
  <si>
    <t>Binge Eating : Psychological Factors, Symptoms and Treatment</t>
  </si>
  <si>
    <t>Chambers, Natalie</t>
  </si>
  <si>
    <t>Diagnosing Death ­ Issues, Ethics and Questions in Death Determinations</t>
  </si>
  <si>
    <t>Prokovyev, Luka</t>
  </si>
  <si>
    <t>MicroRNAs in Breast Cancer</t>
  </si>
  <si>
    <t>Nova Science Publishers, Inc.; Lacroix, Marc; Nova Science Publishers, Inc.</t>
  </si>
  <si>
    <t>Controlling Disease Outbreaks: The Changing Role of Hospitals</t>
  </si>
  <si>
    <t>Nap, Raoul E.; Meessen, Nico E.L.; Andriessen, Maarten P.H.M.; van der Werf, Tjip S.</t>
  </si>
  <si>
    <t>General Toxicology</t>
  </si>
  <si>
    <t>Evarc-Gajiu, Jaroslava</t>
  </si>
  <si>
    <t>Zinc, Copper, or Magnesium Supplementation Against Cadmium Toxicity</t>
  </si>
  <si>
    <t>Matović, Vesna; Bulat, Zorica Plamenac; Đukić-Ćosić, Danijela; Soldatovic, Danilo</t>
  </si>
  <si>
    <t>Edible Polysaccharide Films and Coatings</t>
  </si>
  <si>
    <t>Talens, Pau; Fabra, María José; Chiralt, Amparo</t>
  </si>
  <si>
    <t>Diabetes in Women</t>
  </si>
  <si>
    <t>Swahn, Eliza I.</t>
  </si>
  <si>
    <t>Copolymers in the Preparation of Parenteral  Drug Delivery Systems</t>
  </si>
  <si>
    <t>Dorati, Rossella; Colonna, Claudia; Genta, Ida</t>
  </si>
  <si>
    <t>Adaptive Mechanisms in Migraines</t>
  </si>
  <si>
    <t>Gupta, Vinod Kumar</t>
  </si>
  <si>
    <t>Human Motor Development in Individuals with and without Disabilities</t>
  </si>
  <si>
    <t>Payne, V. Gregory; Yan, Jin H.; Block, Martin</t>
  </si>
  <si>
    <t>Psychiatric Nurses Perceptions of the Constituents of the Therapeutic Relationship</t>
  </si>
  <si>
    <t>Scanlon, Adrian</t>
  </si>
  <si>
    <t>Handedness: Theories, Genetics and Psychology</t>
  </si>
  <si>
    <t>Dunham, James; Davenport, Todd</t>
  </si>
  <si>
    <t>Psychology; Science: Biology/Natural History; Science</t>
  </si>
  <si>
    <t>Biomedical Chromatography</t>
  </si>
  <si>
    <t>Elwood, John T.</t>
  </si>
  <si>
    <t>Cox-2 Inhibitor Research</t>
  </si>
  <si>
    <t>Howardell, Maynard J.</t>
  </si>
  <si>
    <t>Biosensors: Properties, Materials and Applications</t>
  </si>
  <si>
    <t>Comeaux, Rafael; Novotny, Pablo</t>
  </si>
  <si>
    <t>Desmoplastic Small Round Cell Tumor</t>
  </si>
  <si>
    <t>Yaqoob, Nausheen; Nemenqani, Dalal; Khoja, Hatem; Kamran, Ali; Raza, Syed Qasim; dayel, Fuoad Al; Ali, Ashraf</t>
  </si>
  <si>
    <t>Oral Health Care in Systemic Diseases</t>
  </si>
  <si>
    <t>Sangasapaviriya, Atik; Sangasapaviriya, Atik; Sutthavong, Sirikarn</t>
  </si>
  <si>
    <t>Sleep Disorders in Neurology</t>
  </si>
  <si>
    <t>Silvestri, Rosalia</t>
  </si>
  <si>
    <t>Applications of Natural Products in Food</t>
  </si>
  <si>
    <t>Voravuthikunchai, Supayang Piyawan; Ifesan, Beatrice Olawumi T.</t>
  </si>
  <si>
    <t>Obesity and Pregnancy</t>
  </si>
  <si>
    <t>Briese, Volker; Voigt, Manfred; Straube, Sebastian</t>
  </si>
  <si>
    <t>Poisons : Physiologically Active Substances</t>
  </si>
  <si>
    <t>Zotov, S.B.; Tuzhikov, O.I.</t>
  </si>
  <si>
    <t>Challenges in Adolescent Health : An Australian Perspective</t>
  </si>
  <si>
    <t>Bennett, David; Towns, Susan; Elliott, Elizabeth; Merrick, Professor Joav</t>
  </si>
  <si>
    <t>Experimental Animal Models in Neurobehavioral Research</t>
  </si>
  <si>
    <t>Kalueff, Allan V.; Porte, Justin L.</t>
  </si>
  <si>
    <t>Polyhedral Boron Hydrides in Use: Current Status and Perspectives</t>
  </si>
  <si>
    <t>Sivaev, Igor B.; Bregadze, Vladimir I.</t>
  </si>
  <si>
    <t>Noise-Induced Hearing Loss in Youth Caused by Leisure Noise</t>
  </si>
  <si>
    <t>Keppler, Hannah; Vinck, B.; Dhooge, I.</t>
  </si>
  <si>
    <t>Calcium Orthophosphate-Based Biocomposites and Hybrid Biomaterials</t>
  </si>
  <si>
    <t>Dorozhkin, Sergey V.</t>
  </si>
  <si>
    <t>Seaweed : Ecology, Nutrient Composition and Medicinal Uses</t>
  </si>
  <si>
    <t>Pomin, Vitor H.</t>
  </si>
  <si>
    <t>Obesity and Cancer Research</t>
  </si>
  <si>
    <t>Ramonde; Fochas</t>
  </si>
  <si>
    <t>Acute Lymphoblastic Leukemia: Etiology, Pathogenesis and Treatments</t>
  </si>
  <si>
    <t>Vecchione, Severo; Tedesco, Luigi</t>
  </si>
  <si>
    <t>Food Allergies: Symptoms, Diagnosis, and Treatment</t>
  </si>
  <si>
    <t>Rodgers, Patricia M.</t>
  </si>
  <si>
    <t>Inflammatory Conditions of the Colon</t>
  </si>
  <si>
    <t>Zheng, Jia-ju</t>
  </si>
  <si>
    <t>Our Loving Relationship</t>
  </si>
  <si>
    <t>Emener, William G.; Lambos, William A.</t>
  </si>
  <si>
    <t>Physical Activity in Rehabilitation and Recovery</t>
  </si>
  <si>
    <t>Blake, Holly</t>
  </si>
  <si>
    <t>Smoking : Health Effects, Psychological Aspects and Cessation</t>
  </si>
  <si>
    <t>Hayashi, Itsuki</t>
  </si>
  <si>
    <t>Brachytherapy: Types, Dosing and Side Effects</t>
  </si>
  <si>
    <t>Fischer, Leoni M.</t>
  </si>
  <si>
    <t>Weight Change: Patterns, Risks and Psychosocial Effects</t>
  </si>
  <si>
    <t>Gouveia, Camilo; Melo, Diego</t>
  </si>
  <si>
    <t>Chronic Diseases and Medication-Adherence Behaviors: Psychological Research in Ibero-American Countries</t>
  </si>
  <si>
    <t>Cadena, Cirilo H. García; Arnal, Rafael Ballester; López, Julio Alfonso Piña</t>
  </si>
  <si>
    <t>Heart Disease in Children</t>
  </si>
  <si>
    <t>Oliveira, Marius D.; Copley, William S.</t>
  </si>
  <si>
    <t>Pain. Brain Stimulation in the Treatment of Pain</t>
  </si>
  <si>
    <t>Knotkova, Helena; Cruciani, Ricardo; Merrick, Joav</t>
  </si>
  <si>
    <t>Salmonella Infections: New Research</t>
  </si>
  <si>
    <t>Giordano, Lorenzo S.; Moretti, Marco A.</t>
  </si>
  <si>
    <t>Science; Social Science; Science: Biology/Natural History; Health</t>
  </si>
  <si>
    <t>Oxidative Stress : A Focus on Cardiovascular Disease Pathogensis</t>
  </si>
  <si>
    <t>Pulmonary Hypertension: Pathogenesis, Diagnosis and Treatments</t>
  </si>
  <si>
    <t>Gan, Huili</t>
  </si>
  <si>
    <t>Cadmium Toxicity and the Antioxidant System</t>
  </si>
  <si>
    <t>Pappas, A.C.; Zoidis, E.; Fegeros,  K.; Surai, P. F.; Zervas, G.</t>
  </si>
  <si>
    <t>Physician Supply and Demand</t>
  </si>
  <si>
    <t>Berényi, Adam</t>
  </si>
  <si>
    <t>Nutrition Education and Change</t>
  </si>
  <si>
    <t>Realine, Beatra F.</t>
  </si>
  <si>
    <t>Advanced Nanomedicine and Nanobiotechnology</t>
  </si>
  <si>
    <t>Cancer and Stem Cells</t>
  </si>
  <si>
    <t>Dittmar, Thomas; Zanker, Kurt S.; Zander, Kurt S.</t>
  </si>
  <si>
    <t>Dietary Magnesium: New Research</t>
  </si>
  <si>
    <t>Yardley, Andrew W.</t>
  </si>
  <si>
    <t>Engineering: Chemical; Science: Biology/Natural History; Science; Engineering</t>
  </si>
  <si>
    <t>Conjunctivitis: Symptoms, Treatment and Prevention</t>
  </si>
  <si>
    <t>Sallinger, Anna R.</t>
  </si>
  <si>
    <t>Vitamin D Deficiency</t>
  </si>
  <si>
    <t>Lerner, Vladimir; Miodownik, Chanoch</t>
  </si>
  <si>
    <t>Medicine; Science: Biology/Natural History; Pharmacy; Science</t>
  </si>
  <si>
    <t>Crohn's Disease: Etiology, Pathogenesis and Interventions</t>
  </si>
  <si>
    <t>Cadwaller, Jack N.</t>
  </si>
  <si>
    <t>Black Women's Health: Challenges and Opportunities</t>
  </si>
  <si>
    <t>Wesley, Yvonne</t>
  </si>
  <si>
    <t>Microglia: Biology, Functions and Roles in Disease</t>
  </si>
  <si>
    <t>Kaur, Charanjit; Eng-Ang, Ling</t>
  </si>
  <si>
    <t>Estrogen Prevention for Breast Cancer</t>
  </si>
  <si>
    <t>Suba, Zsuzsanna</t>
  </si>
  <si>
    <t>Infertility: Genetic Factors, Treatment Risk and Benefits, Social and Psychological Consequences</t>
  </si>
  <si>
    <t>Nascimento, Renato; Boas, Henrique Vilas</t>
  </si>
  <si>
    <t>Health Risk Communication</t>
  </si>
  <si>
    <t>Lemal, Marijke; Merrick, Joav</t>
  </si>
  <si>
    <t>Environment, Mood Disorders and Suicide</t>
  </si>
  <si>
    <t>Postolache, Teodor T.; Merrick, Joav</t>
  </si>
  <si>
    <t>Pharmacological Activity-Based Quality Control of Chinese Herbs</t>
  </si>
  <si>
    <t>Li, Shao-Ping; Wang, Yi-Tao</t>
  </si>
  <si>
    <t>Exercise Therapy in Adult Individuals with Obesity</t>
  </si>
  <si>
    <t>Glaucoma: Etiology, Pathogenesis and Treatments</t>
  </si>
  <si>
    <t>Fei, Z.G.; Zeng, Seiji</t>
  </si>
  <si>
    <t>Psychosis : Causes, Diagnosis and Treatment</t>
  </si>
  <si>
    <t>Uric Acid: Biology, Functions and Diseases</t>
  </si>
  <si>
    <t>Castillo, Santiago E.; Maldonado, Ernesto W.</t>
  </si>
  <si>
    <t>Health Informatics : An Adaptive Communication Technology for Future Healthcare</t>
  </si>
  <si>
    <t>Antimicrobial Peptides : Properties, Functions and Role in Immune Response</t>
  </si>
  <si>
    <t>Nova Science Publishers, Inc.; Hak, Young-Il</t>
  </si>
  <si>
    <t>Cigarette Consumption and Health Effects</t>
  </si>
  <si>
    <t>Nonprescription Drugs: Considering A New Class for Behind-the-Counter Drugs</t>
  </si>
  <si>
    <t>Eliassen, Lars P.</t>
  </si>
  <si>
    <t>Duty-Split Approach in Robotic Surgery</t>
  </si>
  <si>
    <t>Michelini, Rinaldo C.; Frumento, Silvia; Razzoli, Roberto</t>
  </si>
  <si>
    <t>Hepatocellular Carcinoma: A Global Challenge</t>
  </si>
  <si>
    <t>Chemin, Isabelle</t>
  </si>
  <si>
    <t>Paranoia in the "Normal" Population</t>
  </si>
  <si>
    <t>Preti, Antonio; Cella, Matteo</t>
  </si>
  <si>
    <t>Organ Donation: Supply, Policies and Practices</t>
  </si>
  <si>
    <t>Grinkovskiy, Petr T.</t>
  </si>
  <si>
    <t>Cancer in the Elderly</t>
  </si>
  <si>
    <t>Todorov, Ivan; Novak, Filip</t>
  </si>
  <si>
    <t>Optimization of Research and Clinical Applications for Combat-related Posttraumatic Stress Disorder (PTSD): Progress Through Modern Translational Methodologies</t>
  </si>
  <si>
    <t>Norrholm, Seth D.; Jovanovic, Tanja; Rothbaum, Barbara O.</t>
  </si>
  <si>
    <t>Medical Education: The State of the Art</t>
  </si>
  <si>
    <t>Salerno-Kennedy, Rossana; O’Flynn, Siún</t>
  </si>
  <si>
    <t>A Guide to Hemorrhoidal Disease</t>
  </si>
  <si>
    <t>Osteoblasts: Morphology, Functions and Clinical Implications</t>
  </si>
  <si>
    <t>Scheurer, Hugo</t>
  </si>
  <si>
    <t>Psychoanalytic Psychotherapy: A Modern Kleinian Approach</t>
  </si>
  <si>
    <t>Obesity and Adolescence- A Public Health Concern</t>
  </si>
  <si>
    <t>Omar, Hatim A.; Greydanus, Donald E.</t>
  </si>
  <si>
    <t>Advanced Cancer. Pain and Quality of Life</t>
  </si>
  <si>
    <t>Chow, Edward; Merrick, Joav</t>
  </si>
  <si>
    <t>Differential Diagnosis of Malingering Versus Posttraumatic Stress Disorder</t>
  </si>
  <si>
    <t>Morel, Kenneth R.</t>
  </si>
  <si>
    <t>Hypnosis: Theories, Research and Applications</t>
  </si>
  <si>
    <t>Delisle, Pablo R.; Koester, Gael D.</t>
  </si>
  <si>
    <t>Parvovirus B19 and Hematological Disorders in Children</t>
  </si>
  <si>
    <t>Zaki, Maysaa El Sayed</t>
  </si>
  <si>
    <t>Progress in Neurodegeneration : The Role of Metals</t>
  </si>
  <si>
    <t>Avila-Costa, Maria Rosa; Martinez, Veronica Anaya</t>
  </si>
  <si>
    <t>Superparamagnetic Iron Oxide Nanoparticles: Synthesis, Surface Engineering, Cytotoxicity and Biomedical Applications</t>
  </si>
  <si>
    <t>Mahmoudi, Morteza; Stroeve, Pieter; Milani, Abbas S,; Arbab, Ali S.</t>
  </si>
  <si>
    <t>Focus on Climate Change and Health</t>
  </si>
  <si>
    <t>Emergency Preparedness</t>
  </si>
  <si>
    <t>Creighton, Paul V.</t>
  </si>
  <si>
    <t>Physical Activity Guidelines for Americans and a Review of Scientific Literature Used</t>
  </si>
  <si>
    <t>Cowell, Hailey A.</t>
  </si>
  <si>
    <t>Novel Drug Delivery Approaches in Dry Eye Syndrome Therapy</t>
  </si>
  <si>
    <t>Doktorovová, Slavomira; Souto, Eliana B.; Araújo, Joana R.; Egea, Maria A.; Garcia, Maria L.</t>
  </si>
  <si>
    <t>Female Hepatology : Favorable Role of Female Factors in Chronic Liver Disease</t>
  </si>
  <si>
    <t>Advances in Disease Epidemiology</t>
  </si>
  <si>
    <t>Tchuenche, Jean Michel; Mukandavire, Zindoga</t>
  </si>
  <si>
    <t>Immunological and Molecular Diagnosis of Cancer</t>
  </si>
  <si>
    <t>Albitar, Maher</t>
  </si>
  <si>
    <t>Beneficial Effects of Perhexiline in Cardiovascular Disease States (K)RUSH</t>
  </si>
  <si>
    <t>Chirkov, Yuliy Y.; Sverdlov, Aaron L.; Horowitz, John H.</t>
  </si>
  <si>
    <t>Pharmacological Intervention in Management of Neck Pain Disorders: A Review</t>
  </si>
  <si>
    <t>Al-Nimer, Marwan S.M.</t>
  </si>
  <si>
    <t>Genotoxicity : Evaluation, Testing and Prediction</t>
  </si>
  <si>
    <t>Kocsis, Andor; Molnar, Hajna</t>
  </si>
  <si>
    <t>Drugs During Pregnancy</t>
  </si>
  <si>
    <t>Källén, Bengt; Klln, Bengt</t>
  </si>
  <si>
    <t>Clinical Research Issues in Nursing</t>
  </si>
  <si>
    <t>Pain Control Support for People with Cancer</t>
  </si>
  <si>
    <t>Institute, National Cancer</t>
  </si>
  <si>
    <t>Magnesium and Pyridoxine : Fundamental Studies and Clinical Practice</t>
  </si>
  <si>
    <t>Torshin, Ivan Y.; Gromova, Olgar</t>
  </si>
  <si>
    <t>Social Anxiety: Symptoms, Causes, and Techniques</t>
  </si>
  <si>
    <t>Robinson, Theresa M.</t>
  </si>
  <si>
    <t>Milk Consumption and Health</t>
  </si>
  <si>
    <t>Lange, Ebbe; Vogel, Felix</t>
  </si>
  <si>
    <t>Medical Career Choice: A Gender Study</t>
  </si>
  <si>
    <t>Millan, Luiz Roberto</t>
  </si>
  <si>
    <t>Advances in Medicine and Biology. Volume 7</t>
  </si>
  <si>
    <t>Emerging Infectious Diseases in India</t>
  </si>
  <si>
    <t>Wiwanitkit, Viroj; Singh, Mohen Y.; Viroj Wiwanitkit,</t>
  </si>
  <si>
    <t>Health Care Costs : Causes, Effects and Control</t>
  </si>
  <si>
    <t>Hofmann, Bernice R.</t>
  </si>
  <si>
    <t>Hydrogels in Biology and Medicine</t>
  </si>
  <si>
    <t>Michalek, J.; Pradny, M.; Dusek, K.; Duskova, M.; Hobzova, R.; Sirc, J.</t>
  </si>
  <si>
    <t>Doctoring Medical Governance : Medical Self-regulation in Transition</t>
  </si>
  <si>
    <t>Chamberlain, John M.</t>
  </si>
  <si>
    <t>Substance Withdrawal Syndrome</t>
  </si>
  <si>
    <t>Rees, Janet P.; Woodhouse, Olivia B.</t>
  </si>
  <si>
    <t>Birth Defects: Issues on Prevention and Promotion</t>
  </si>
  <si>
    <t>Sahin, Nevin Hotun; Gungor, Ilkay</t>
  </si>
  <si>
    <t>Hepatitis C Infection in Dialysis</t>
  </si>
  <si>
    <t>Fahim, Magid A.; Johnson, David W.</t>
  </si>
  <si>
    <t>Medicare: A Primer</t>
  </si>
  <si>
    <t>Williamson, Alice R.</t>
  </si>
  <si>
    <t>Bioethics: Issues and Dilemmas</t>
  </si>
  <si>
    <t>Pace, Tyler N.</t>
  </si>
  <si>
    <t>Health Issues in Chinese Contexts, Volume 3</t>
  </si>
  <si>
    <t>Types and Causes of Childhood Diarrhea</t>
  </si>
  <si>
    <t>Ogunlesi, Tinuade A.</t>
  </si>
  <si>
    <t>Multiple Myeloma : Symptoms, Diagnosis and Treatment</t>
  </si>
  <si>
    <t>Georgiev, Milen; Bachev, Evgeni</t>
  </si>
  <si>
    <t>Hallucinations: Types, Stages and Treatments</t>
  </si>
  <si>
    <t>Payne, Meredith S.</t>
  </si>
  <si>
    <t>Nanostructured Materials for Electrochemical Biosensors</t>
  </si>
  <si>
    <t>Yogeswaran, Umasankar; Kumar, S. Ashok; Chen, Shen-Ming</t>
  </si>
  <si>
    <t>New Developments in Medicinal Chemistry</t>
  </si>
  <si>
    <t>Ortega, Marta P.; Gil, Irene C.</t>
  </si>
  <si>
    <t>Chest Pain: Causes, Diagnosis, and Treatment</t>
  </si>
  <si>
    <t>Weber, Sophie M.</t>
  </si>
  <si>
    <t>Advances in Medicine and Biology. Volume 12</t>
  </si>
  <si>
    <t>Insulin Resistance and Nonalcoholic Fatty Liver Disease (NAFLD) / Nonalcoholic Steatohepatitis (NASH)</t>
  </si>
  <si>
    <t>Yoneda, Masato; Nozaki, Yuichi; Fujita, Koji; Nakajima, Atsushi</t>
  </si>
  <si>
    <t>Impulsivity : Causes, Control and Disorders</t>
  </si>
  <si>
    <t>Lassiter, George H.</t>
  </si>
  <si>
    <t>New Directions in Aging Research : Health and Cognition</t>
  </si>
  <si>
    <t>Brougham, Ruby R.</t>
  </si>
  <si>
    <t>Nutritional Biochemistry of Space Flight</t>
  </si>
  <si>
    <t>Smith, Scott M.; Zwart, Sara R.; Heer, Martina; Heer, Martina</t>
  </si>
  <si>
    <t>The Human Genome: Features, Variations and Genetic Disorders</t>
  </si>
  <si>
    <t>Matsumoto, Akio; Nakano, Mai</t>
  </si>
  <si>
    <t>Exacerbation of Asthma : Epidemiological Evidence in Children</t>
  </si>
  <si>
    <t>Lee, Peter N.; Forey, Barbara</t>
  </si>
  <si>
    <t>Health Literacy in Context: International Perspectives</t>
  </si>
  <si>
    <t>Gillis, Doris; Begoray, Deborah L.; Rowlands, Gillian</t>
  </si>
  <si>
    <t>Osteoporosis: Risk Factors, Symptoms and Management</t>
  </si>
  <si>
    <t>Peña, Alejandro Romero; Perez, Virgilio Ortega</t>
  </si>
  <si>
    <t>Scoliosis : Causes, Symptoms and Treatment</t>
  </si>
  <si>
    <t>Bessette, Absolon; Rousseau, Coralie M.</t>
  </si>
  <si>
    <t>Beauty and Health</t>
  </si>
  <si>
    <t>Chan, Zenobia C. Y.; Ip, Queeni T. Y.</t>
  </si>
  <si>
    <t>Saturated Fats: Metabolism, Disease Risks and Public Awareness</t>
  </si>
  <si>
    <t>Langella, Joseph P.</t>
  </si>
  <si>
    <t>Applied Public Health: Examining Multifaceted Social or Ecological Problems and Child Maltreatment</t>
  </si>
  <si>
    <t>Lutzker, John R.; Merrick, Joav</t>
  </si>
  <si>
    <t>DNA Vaccines: Types, Advantages and Limitations</t>
  </si>
  <si>
    <t>Donnelly, Erin C.; Dixon, Arthur M.</t>
  </si>
  <si>
    <t>Understanding Autism Spectrum Disorder : Current Research Aspects</t>
  </si>
  <si>
    <t>Zachor, Ditza A.; Merrick, Professor Joav</t>
  </si>
  <si>
    <t>Lactobacillus: Classification, Uses and Health Implications</t>
  </si>
  <si>
    <t>Campos, Alba I. Perez; Mena, Arturo Leon</t>
  </si>
  <si>
    <t>Eating Disorder in Males</t>
  </si>
  <si>
    <t>Strumia, Renata; Emilia, Manzato; Malvina, Gualandi; Strumia, Renata</t>
  </si>
  <si>
    <t>The Quick Theory Reference Guide: A Resource for Expert and Novice Mental Health Professionals</t>
  </si>
  <si>
    <t>Jordan, Karin; Jordan, Karin</t>
  </si>
  <si>
    <t>Nicotine Addiction: Prevention, Health Effects and Treatment Options</t>
  </si>
  <si>
    <t>Giovanni, Giuseppe Di</t>
  </si>
  <si>
    <t>Herbs: Cultivation, Medicinal Uses and Environmental Concerns</t>
  </si>
  <si>
    <t>Ma, Shen Ten; Su, Zhi Yu</t>
  </si>
  <si>
    <t>Building Community Capacity: Minority and Immigrant Populations</t>
  </si>
  <si>
    <t>Caron, Rosemary M.; Merrick, Joav</t>
  </si>
  <si>
    <t>Stem Cells and Regenerative Medicine (Volume 7- Diseases and Therapy) : Diseases and Therapy</t>
  </si>
  <si>
    <t>Liver Cancer: Causes, Diagnosis and Treatment</t>
  </si>
  <si>
    <t>Valverde, Benjamin J.</t>
  </si>
  <si>
    <t>Alzheimer's Diagnosis</t>
  </si>
  <si>
    <t>Ronson, Charles E.</t>
  </si>
  <si>
    <t>Drug Delivery</t>
  </si>
  <si>
    <t>Popescu, Maria A.</t>
  </si>
  <si>
    <t>Health Insurance: Issues, Challenges and Perspectives</t>
  </si>
  <si>
    <t>Abrahamsen, Edvard; Fagerland, Aasta</t>
  </si>
  <si>
    <t>Food Chains: New Research</t>
  </si>
  <si>
    <t>Jensen, Melissa A.; Muller, Danielle W.</t>
  </si>
  <si>
    <t>Health; Science: Biology/Natural History; Science; Social Science</t>
  </si>
  <si>
    <t>Brain Damage : Causes, Management and Prognosis</t>
  </si>
  <si>
    <t>Schäfer, Aleric J.; Müller, Johann</t>
  </si>
  <si>
    <t>Body Fat: Composition, Measurements and Reduction Procedures</t>
  </si>
  <si>
    <t>Bienertová-Vašků, Julie</t>
  </si>
  <si>
    <t>Insulin Resistance: New Developments</t>
  </si>
  <si>
    <t>Freeman, John; Newman, Scott</t>
  </si>
  <si>
    <t>Psychology of Stress: New Research</t>
  </si>
  <si>
    <t>Cavalcanti, Leandro; Azevedo, Sofia</t>
  </si>
  <si>
    <t>Marijuana: Uses, Effects and the Law</t>
  </si>
  <si>
    <t>Rojas, Andrea S.</t>
  </si>
  <si>
    <t>Prostate Specific Antigen and Prostate Cancer</t>
  </si>
  <si>
    <t>Isharwal, Sudhir; Wang, Zhou</t>
  </si>
  <si>
    <t>Social Epileptology : Understanding Social Aspects of Epilepsy</t>
  </si>
  <si>
    <t>Epilepsy, Jaya Pinikahana; Epilepsy, Christine Walker</t>
  </si>
  <si>
    <t>Pathology: New Research</t>
  </si>
  <si>
    <t>Vultagione, Julie M.; Forester, Kyle N.</t>
  </si>
  <si>
    <t>Undernutrition : Effects, Causes and Management</t>
  </si>
  <si>
    <t>Lee, Jason E.</t>
  </si>
  <si>
    <t>Tongue: Anatomy, Kinematics and Diseases</t>
  </si>
  <si>
    <t>Katō, Hiroto; Shimizu, Taiga</t>
  </si>
  <si>
    <t>Tonsillar Disorders: Etiology, Diagnosis and Treatment</t>
  </si>
  <si>
    <t>Hallberg, Anne C.</t>
  </si>
  <si>
    <t>Meningitis: Causes, Diagnosis and Treatment</t>
  </si>
  <si>
    <t>Houllis, Grigoris; Karachalios, Magdalini</t>
  </si>
  <si>
    <t>Biomechanics of Dental Implants: Handbook for Researchers</t>
  </si>
  <si>
    <t>Cehreli, Murat</t>
  </si>
  <si>
    <t>Radiation Exposure in Medicine and the Environment: Risks and Protective Strategies</t>
  </si>
  <si>
    <t>Parnell, Nicole E.</t>
  </si>
  <si>
    <t>Pharmaceutical Industry: Innovation and Developments</t>
  </si>
  <si>
    <t>Mancuso, David A.; Grenada, Isobel M.</t>
  </si>
  <si>
    <t>Biochemistry and Biotechnology: Research and Development</t>
  </si>
  <si>
    <t>Varfolomeev, Sergey D.; Zaikov, G.E.; Krylova, Larisa P.</t>
  </si>
  <si>
    <t>Radiation Exposure: Sources, Impacts and Reduction Strategies</t>
  </si>
  <si>
    <t>Balenovic, Damijan; Stimac, Emilije</t>
  </si>
  <si>
    <t>On-Farm Strategies to Control Foodborne Pathogens</t>
  </si>
  <si>
    <t>Callaway, Todd R.; Edrington, Tom S.</t>
  </si>
  <si>
    <t>Parental Treatment and Mental Health of Personality</t>
  </si>
  <si>
    <t>Margitics, Ferenc; Paulwlik, Zsuzsa</t>
  </si>
  <si>
    <t>Electrospinning Process and Nanofiber Research</t>
  </si>
  <si>
    <t>Haghi, A.K.; Zaikov, G.E.</t>
  </si>
  <si>
    <t>Systolic Blood Pressure: Influences, Associations and Management</t>
  </si>
  <si>
    <t>Arfi, Robert A.</t>
  </si>
  <si>
    <t>Immunology in Clinic Practice</t>
  </si>
  <si>
    <t>Oktenli, Cagatay</t>
  </si>
  <si>
    <t>Heavy Metals : A Rapid Clinical Guide to Neurotoxicity and Other Common Concerns</t>
  </si>
  <si>
    <t>Spaeth, Kenneth R.; Tsismenakis, Antonios J.; Kales, Stefanos N.</t>
  </si>
  <si>
    <t>Hybrid Nanostructures in Cancer Therapy</t>
  </si>
  <si>
    <t>Adeli, Mohsen</t>
  </si>
  <si>
    <t>Varicose Veins: Symptoms, Causes and Treatments</t>
  </si>
  <si>
    <t>Nelson, Andrea L.</t>
  </si>
  <si>
    <t>Handbook of Clinical Neuroepidemiology</t>
  </si>
  <si>
    <t>Feigin, Valery L.; Bennett, Derrick A.</t>
  </si>
  <si>
    <t>Macular Degeneration: Causes, Diagnosis and Treatment</t>
  </si>
  <si>
    <t>Campbell, Eddie J.; McMann, Leslie M.</t>
  </si>
  <si>
    <t>Headaches: Causes, Treatment, and Prevention</t>
  </si>
  <si>
    <t>Gallo, Pietro G.; Giordano, Giovanna M.</t>
  </si>
  <si>
    <t>Eating Disorders: Causes, Diagnosis and Treatments</t>
  </si>
  <si>
    <t>Shapiro, Colleen M.</t>
  </si>
  <si>
    <t>Thyroid Cancer : Diagnosis, Treatment and Prognosis</t>
  </si>
  <si>
    <t>Krueger, Eduard; Trommler, Berta</t>
  </si>
  <si>
    <t>Deep Vein Thrombosis : Symptoms, Diagnosis and Treatments</t>
  </si>
  <si>
    <t>Yamaki, Takashi</t>
  </si>
  <si>
    <t>Handbook of Stress and Burnout in Health Care</t>
  </si>
  <si>
    <t>Halbesleben, Jonathon R.B.</t>
  </si>
  <si>
    <t>Perspectives in Psychiatry Research</t>
  </si>
  <si>
    <t>Levine, Nicole M.; Campbell, Donna J.</t>
  </si>
  <si>
    <t>Septic Shock : Symptoms, Management and Risk Factors</t>
  </si>
  <si>
    <t>Johnston, Melvin C.; Knight, Jerome E.</t>
  </si>
  <si>
    <t>ADHD : Cognitive Symptoms, Genetics and Treatment Outcomes</t>
  </si>
  <si>
    <t>Thompson, Russell; Miller, Naomi J.</t>
  </si>
  <si>
    <t>Horizons in Neuroscience Research</t>
  </si>
  <si>
    <t>Child Nutrition and Health</t>
  </si>
  <si>
    <t>Cvercko, Gregor; Predovnik, Luka</t>
  </si>
  <si>
    <t>Horizons in Cancer Research. Volume 45</t>
  </si>
  <si>
    <t>Sociology of Interprofessional Health Care Practice : Critical Reflections and Concrete Solutions</t>
  </si>
  <si>
    <t>Kitto, Simon; Chesters, Janice; Thistlethwaite, Jill; Reeves, Scott</t>
  </si>
  <si>
    <t>Anal Fissure: Symptoms, Diagnosis and Treatment</t>
  </si>
  <si>
    <t>Sileri, Pierpaolo; Gaspari, Achille Lucio</t>
  </si>
  <si>
    <t>Nutrition and Diet Research: Appetite and Weight Loss</t>
  </si>
  <si>
    <t>Hernias : Types, Symptoms and Treatment</t>
  </si>
  <si>
    <t>Wagner, James H.</t>
  </si>
  <si>
    <t>Maintaining a Healthy Diet</t>
  </si>
  <si>
    <t>Bernstein, Anna R.</t>
  </si>
  <si>
    <t>Pregnancy and Infants: Medical Issues, Diseases and Health</t>
  </si>
  <si>
    <t>Pneumonia: Symptoms, Diagnosis and Treatment</t>
  </si>
  <si>
    <t>Suárez, Micaela L.; Ortega, Steffani M.</t>
  </si>
  <si>
    <t>Role of Newly Detected and Emerging Viruses in Childhood Respiratory Diseases</t>
  </si>
  <si>
    <t>Schildgen, Oliver</t>
  </si>
  <si>
    <t>Lung Cancer Treatment</t>
  </si>
  <si>
    <t>West, Brandon S.; Stanley, Donna R.</t>
  </si>
  <si>
    <t>Metastatic Melanoma: Symptoms, Diagnoses and Treatments</t>
  </si>
  <si>
    <t>Klein, Sarah A.; Beckler, James P.</t>
  </si>
  <si>
    <t>Aspirin: Therapeutic Uses, Adverse Effects and Pharmacokinetics</t>
  </si>
  <si>
    <t>Demir, Dilan M.</t>
  </si>
  <si>
    <t>Drug Development: Principles, Methodology and Emerging Challenges</t>
  </si>
  <si>
    <t>Rossi, Marco; Bertone, Santina</t>
  </si>
  <si>
    <t>Resetting the Kitchen Table: Food Security, Culture, Health and Resilience in Coastal Communities</t>
  </si>
  <si>
    <t>Parrish, Christopher C.; Turner, Nancy J.; Solberg, Shirley M.</t>
  </si>
  <si>
    <t>Ovarian Cancer : New Research</t>
  </si>
  <si>
    <t>Bardos, A.P.</t>
  </si>
  <si>
    <t>ADHD and Fetal Alcohol Spectrum Disorders (FASD)</t>
  </si>
  <si>
    <t>O'Malley, Kieran D.</t>
  </si>
  <si>
    <t>Sleep and Breathing in Infants and Young Children</t>
  </si>
  <si>
    <t>Kelmanson, Igor A.</t>
  </si>
  <si>
    <t>Diabetes Mellitus Research Advances</t>
  </si>
  <si>
    <t>Huber, Maximilian N.</t>
  </si>
  <si>
    <t>Psychology of Stress</t>
  </si>
  <si>
    <t>Oxington, Kimberly V.</t>
  </si>
  <si>
    <t>Advances in Reproductive Technology Research</t>
  </si>
  <si>
    <t>Sanger, Ignatz</t>
  </si>
  <si>
    <t>Motor Neuron Diseases: Causes, Classification and Treatments</t>
  </si>
  <si>
    <t>Turner, Bradley J.; Atkin, Julie B.; Fedotova, Iosif; Ilyukhin, Vladimir</t>
  </si>
  <si>
    <t>Attention Deficit Hyperactivity Disorder: Creativity, Novelty Seeking and Risk</t>
  </si>
  <si>
    <t>Fitzgerald, Michael</t>
  </si>
  <si>
    <t>Neuroblastoma Research Trends</t>
  </si>
  <si>
    <t>Andre, Lucas H.; Roux, Nathan E.</t>
  </si>
  <si>
    <t>Myelodysplastic Syndromes : From Pathogenesis to Diagnosis and Therapy</t>
  </si>
  <si>
    <t>Sayar, Hamid</t>
  </si>
  <si>
    <t>Neural Tube Defects: Prevalence, Pathogenesis and Prevention</t>
  </si>
  <si>
    <t>Klein, Alberich</t>
  </si>
  <si>
    <t>Coronary Computed Tomography Angiography in Coronary Artery Disease: A Systematic Review of Image Quality, Diagnostic Accuracy and Radiation Dose</t>
  </si>
  <si>
    <t>Sun, Zhonghua</t>
  </si>
  <si>
    <t>Photodynamic Therapy: New Research</t>
  </si>
  <si>
    <t>Elsaie, Mohamed Lotfy Taha</t>
  </si>
  <si>
    <t>Heparin : Properties, Uses and Side Effects</t>
  </si>
  <si>
    <t>Piyathilake, David E.; Liang, Rhong</t>
  </si>
  <si>
    <t>Handbook Of Couple &amp; Family Assesment</t>
  </si>
  <si>
    <t>Jordan, Karin</t>
  </si>
  <si>
    <t>Use of Organosilanes in BiosensorsRUSH</t>
  </si>
  <si>
    <t>Dugas, V.; Chevolot, Y.; Souteyrand, E.</t>
  </si>
  <si>
    <t>Drug Related Encephalopathies</t>
  </si>
  <si>
    <t>Sechi, Gianpietro</t>
  </si>
  <si>
    <t>Posture: Types, Assessment and Control</t>
  </si>
  <si>
    <t>Wright, Adrienne M.; Rothenberg, Samuel P.</t>
  </si>
  <si>
    <t>Lupus: Symptoms, Treatment and Potential Complications</t>
  </si>
  <si>
    <t>Marquez, Thiago Devesa; Neto, Davi Urgeiro</t>
  </si>
  <si>
    <t>Movement Disorders: Causes, Diagnoses and Treatments</t>
  </si>
  <si>
    <t>Larsen, Barbara J.</t>
  </si>
  <si>
    <t>Use of the Ionizing Radiation Technique for Tissue Sterilization : The International Atomic Energy Agency (IAEA) Experience</t>
  </si>
  <si>
    <t>Morales Pedraza , Jorge</t>
  </si>
  <si>
    <t>Advances in Medicine and Biology. Volume 14 : Volume 14</t>
  </si>
  <si>
    <t>Tissue Engineering of the Aortic Heart Valve: Fundamentals and Developments</t>
  </si>
  <si>
    <t>Morsi, Yosry S.; Morsi, Yosry S</t>
  </si>
  <si>
    <t>Warfarin Monitoring: Standard Practice and Beyond</t>
  </si>
  <si>
    <t>Moore, Gary W.; Thomson, Graeme; Harrington, Dominic J.</t>
  </si>
  <si>
    <t>Irritable Bowel Syndrome: Diagnosis, Pathogenesis and Treatment Options</t>
  </si>
  <si>
    <t>El-Salhy, Magdy; Gundersen, D.; Hatlebakk, J. G.; Hausken, T.</t>
  </si>
  <si>
    <t>Cannabis Sativa for Health and Hemp</t>
  </si>
  <si>
    <t>Clark, Ethan L.</t>
  </si>
  <si>
    <t>Textbook on Evidence-Based Holistic Mind-Body Medicine: Basic Philosophy and Ethics of Traditional Hippocratic Medicine</t>
  </si>
  <si>
    <t>Ventegodt, Søren; Merrick, Joav</t>
  </si>
  <si>
    <t>Neuroscience Researcher Biographical Sketches and Research Summaries</t>
  </si>
  <si>
    <t>Chernyovskaya, Abram A.; Klossovsky, Graviil F.</t>
  </si>
  <si>
    <t>Antidepressants Therapy and Risk of Suicide among Patients with Major Depressive Disorders</t>
  </si>
  <si>
    <t>Pompili, Maurizio; Girardi, Paolo; Lester, David; Tatarelli, Roberto</t>
  </si>
  <si>
    <t>Body Story</t>
  </si>
  <si>
    <t>De Pree, Julia K.</t>
  </si>
  <si>
    <t>Cleansing the City : Sanitary Geographies in Victorian London</t>
  </si>
  <si>
    <t>Allen, Michelle</t>
  </si>
  <si>
    <t>Problem-based Learning in Nursing : A new model for a new context?</t>
  </si>
  <si>
    <t>Palgrave Publishers</t>
  </si>
  <si>
    <t>Glen, Sally; Wilkie, Kay; Alavi, Christine</t>
  </si>
  <si>
    <t>Positive Initiatives for People with Learning Difficulties : Promoting Healthy Lifestyles</t>
  </si>
  <si>
    <t>Astor, Roberta; Jeffereys, Karen</t>
  </si>
  <si>
    <t>Nursing and the Division of Labour in Healthcare</t>
  </si>
  <si>
    <t>Allen, Davina; Hughes, David; Hughes, D; Allen, D.; Griffiths, L.; Philpin, S.</t>
  </si>
  <si>
    <t>Challenges in Clinical Practice</t>
  </si>
  <si>
    <t>Bishop, Veronica; Scott, Irene</t>
  </si>
  <si>
    <t>Social Construction of Community Nursing</t>
  </si>
  <si>
    <t>Kelly, Anne; Symonds, Anthea</t>
  </si>
  <si>
    <t>Gender and Health Care in the UK</t>
  </si>
  <si>
    <t>Hayes, Bernadette; Prior, Pauline</t>
  </si>
  <si>
    <t>Public Health and Society</t>
  </si>
  <si>
    <t>Costello, John; Haggart, Monica</t>
  </si>
  <si>
    <t>Sexuality : A Biopsychosocial Approach</t>
  </si>
  <si>
    <t>Denman, Chess</t>
  </si>
  <si>
    <t>In and Out of Our Right Minds : The Mental Health of African American Women</t>
  </si>
  <si>
    <t>Brown, Diane; Keith, Verna</t>
  </si>
  <si>
    <t>Moving A Nation to Care : Post-Traumatic Stress Disorder and America's Returning Troops</t>
  </si>
  <si>
    <t>Ig Publishing</t>
  </si>
  <si>
    <t>Meagher, Ilona; Roerich, Robert</t>
  </si>
  <si>
    <t>Death, Drugs, and Muscle : Surviving the Steriod Underworld</t>
  </si>
  <si>
    <t>ECW Press</t>
  </si>
  <si>
    <t>Valentino, Gregg; Jendrick, Nathan</t>
  </si>
  <si>
    <t>Therafields : The Rise and Fall of Lea Hindley-Smith's Pyschoanalytic Commune</t>
  </si>
  <si>
    <t>Goodbrand, Grant</t>
  </si>
  <si>
    <t>Key to Medicine and a Guide for Students : Miftah al-tibb wa-minhaj Al-tullab</t>
  </si>
  <si>
    <t>Garnet Publishing Ltd</t>
  </si>
  <si>
    <t>ibn Hindu, Abu al-Faraj 'Ali ibn al-Husayn; Tibi, Aida</t>
  </si>
  <si>
    <t>An Immense New Power to Heal : The Promise of Personalized Medicine</t>
  </si>
  <si>
    <t>Fourth Chapter Books</t>
  </si>
  <si>
    <t>Gutkind, Lee; Kennedy, Pagan</t>
  </si>
  <si>
    <t>Clinical Management of Swallowing Disorders</t>
  </si>
  <si>
    <t>Murry, Thomas; Carrau, Ricardo L.</t>
  </si>
  <si>
    <t>Communication and Swallowing in Parkinson Disease : Essays in Honor of Dr. Sadanand Singh</t>
  </si>
  <si>
    <t>Goldfarb, Robert</t>
  </si>
  <si>
    <t>Rationing in Health Care : The Theory and Practice of Priority Setting</t>
  </si>
  <si>
    <t>Williams, Iestyn; Robinson, Suzanne; Dickinson, Helen</t>
  </si>
  <si>
    <t>What Works in Reducing Inequalities in Child Health</t>
  </si>
  <si>
    <t>Roberts, Helen</t>
  </si>
  <si>
    <t>Quantification and the Quest for Medical Certainty</t>
  </si>
  <si>
    <t>Matthews, J. Rosser</t>
  </si>
  <si>
    <t>Quality of Care for General Medical Conditions : A Review of the Literature and Quality Indicators</t>
  </si>
  <si>
    <t>RAND Corporation, The</t>
  </si>
  <si>
    <t>McGlynn, Elizabeth A.; Kerr, Eve A.; Asch, Steven M.</t>
  </si>
  <si>
    <t>Quality of Care for Cardiopulmonary Conditions : A Review of the Literature and Quality Indicators</t>
  </si>
  <si>
    <t>Review of the Scientific Literature As It Pertains to Gulf War Illness, Volume 4 : Stress</t>
  </si>
  <si>
    <t>Sherbourne, Cathy D.; Davis, Lois M.; Marshall, Grant N.</t>
  </si>
  <si>
    <t>Quality of Care for Children and Adolescents : A Review of Selected Clinical Conditions and Quality of Indicators</t>
  </si>
  <si>
    <t>Schuster, Mark A.; McGlynn, Elizabeth A.; Kerr, Eve A.</t>
  </si>
  <si>
    <t>Managed Care and the Evaluation and Adoption of Emerging Medical Technologies</t>
  </si>
  <si>
    <t>Garber, Steven; Ridgley, M. Susan; Taylor, Roger S.</t>
  </si>
  <si>
    <t>Handbook of Human Tissue Sources : A National Resource of Human Tissue Samples</t>
  </si>
  <si>
    <t>Eiseman, Elisa; Haga, Susanne B.</t>
  </si>
  <si>
    <t>Health Information Systems : Design Issues and Analytic Applications</t>
  </si>
  <si>
    <t>McGlynn, Elizabeth A.; Brook, Robert H.; Kerr, Eve A.</t>
  </si>
  <si>
    <t>Review of the Scientific Literature As It Pertains to Gulf War Illnesses, Volume 6 : Oil Well Fires</t>
  </si>
  <si>
    <t>Spektor, Dalia M.</t>
  </si>
  <si>
    <t>Vital Force : Women in American Homeopathy</t>
  </si>
  <si>
    <t>Kirschmann, Anne Taylor</t>
  </si>
  <si>
    <t>Medical Delivery Business : Health Reform, Childbirth, and the Economic Order</t>
  </si>
  <si>
    <t>Perkins, Barbara Bridgman</t>
  </si>
  <si>
    <t>Chemical Consequences : Environmental Mutagens, Scientist Activism, and the Rise of Genetic Toxicology</t>
  </si>
  <si>
    <t>Frickel, Scott</t>
  </si>
  <si>
    <t>In Sickness and In Play : Children Coping with Chronic Illness</t>
  </si>
  <si>
    <t>Clark, Cindy Dell; Bluebond-Langner, Myra</t>
  </si>
  <si>
    <t>Pain and Profits : The History of the Headache and its Remedies in America</t>
  </si>
  <si>
    <t>McTavish, Janice Rae; McTavish, Jan R</t>
  </si>
  <si>
    <t>Do You Really Need Surgery? A Sensible Guide to Hysterectomy and Other Procedures for Women</t>
  </si>
  <si>
    <t>Moore, Michele; De Costa, Caroline M.</t>
  </si>
  <si>
    <t>Worlds of Sleep</t>
  </si>
  <si>
    <t>Frank &amp; Timme</t>
  </si>
  <si>
    <t>Brunt, Lodewijk; Steger, Brigitte</t>
  </si>
  <si>
    <t>Intensive Care in Neurology and Neurosurgery : Pathophysiological Basis for the Management of Acute Cerebral Injury</t>
  </si>
  <si>
    <t>Godoy, Daniel Agustín; Godoy, Daniel Agustin</t>
  </si>
  <si>
    <t>Parkinson's Disease : A Guide to Medical Treatment</t>
  </si>
  <si>
    <t>Carranza, Michael; Snyder, Madeline R.; Davenport Shaw, Jessica; Zesiewicz, Theresa A</t>
  </si>
  <si>
    <t>Pharmacoeconomics : Principles and Practice</t>
  </si>
  <si>
    <t>Pradelli, Lorenzo; Wertheimer, Albert</t>
  </si>
  <si>
    <t>Multiple Sclerosis : A Guide to Pharmacologic Treatment</t>
  </si>
  <si>
    <t>Ontaneda, Daniel</t>
  </si>
  <si>
    <t>Health Education in Context : An International Perspective on Health Education in Schools and Local Communities</t>
  </si>
  <si>
    <t>Sense Publishers</t>
  </si>
  <si>
    <t>Taylor, Neil; Quinn, Frances; Littledyke, Michael</t>
  </si>
  <si>
    <t>Health Practice Relationships</t>
  </si>
  <si>
    <t>Higgs, Joy; Croker, Anne; Tasker, Diane</t>
  </si>
  <si>
    <t>Can We Read Letters? : Reflections on Fundamental Issues in Reading and Dyslexia Research</t>
  </si>
  <si>
    <t>TÃÂ¸nnessen, Egil; Uppstad, Per Henning</t>
  </si>
  <si>
    <t>Nursing Homes and Assisted Living Facilities : Your Practical Guide for Making the Right Decision</t>
  </si>
  <si>
    <t>Sphinx Publishing, an Imprint of Sourcebooks, Inc.</t>
  </si>
  <si>
    <t>Connell, Linda H.</t>
  </si>
  <si>
    <t>Older Cancer Patient : A Guide for Nurses and Related Professionals</t>
  </si>
  <si>
    <t>Overcash, Janine; Balducci, Lodovice</t>
  </si>
  <si>
    <t>Safe Patient Handling and Movement : A Guide for Nurses and Other Health Care Providers</t>
  </si>
  <si>
    <t>Nelson, Audrey L.; Audrey L Nelson Phd, Rn</t>
  </si>
  <si>
    <t>Counseling Hispanics Through Loss, Grief, and Bereavement : A Guide for Mental Health Professionals</t>
  </si>
  <si>
    <t>Houben, Ligia M.; Houben, Ligia M; Ligia M Houben Ma, Cpc</t>
  </si>
  <si>
    <t>Fast Facts for Developing a Nursing Academic Portfolio : What You Really Need to Know in a Nutshell</t>
  </si>
  <si>
    <t>Wittmann-Price, Ruth; Ruth Wittmann-Price Phd, Cns Rn</t>
  </si>
  <si>
    <t>Chemistry and Physics for Nurse Anesthesia, Second Edition : A Student-Centered Approach</t>
  </si>
  <si>
    <t>Shubert, David, PhD; Leyba, John, PhD</t>
  </si>
  <si>
    <t>Gerontology Nurse's Guide to the Community-Based Health Network</t>
  </si>
  <si>
    <t>Howe, Brenda Bonham; Brenda Bonham Howe Msn, Rn</t>
  </si>
  <si>
    <t>Nursing Research Using Phenomenology : Qualitative Designs and Methods</t>
  </si>
  <si>
    <t>Advanced Practice Nursing, Fifth Edition : Core Concepts for Professional Role Development</t>
  </si>
  <si>
    <t>Jansen, Michalene, Dr., PhD, RN,C, GNP-BC, NP-C; Jansen, Michaelene P., PhD, RN-C, GNP-BC, NP-C; Blair, Kathryn A., PhD, FNP, FAANP; Michaelene P Jansen Phd, Np-C</t>
  </si>
  <si>
    <t>Health Care Finance, Economics, and Policy for Nurses : A Foundational Guide</t>
  </si>
  <si>
    <t>Rambur, Betty, PhD, RN</t>
  </si>
  <si>
    <t>3D QSAR in Drug Design, Volume 3 : Recent Advances</t>
  </si>
  <si>
    <t>Kluwer Academic Publishers</t>
  </si>
  <si>
    <t>Kubinyi, Hugo; Martin, Yvonne C.; Folkers, Gerd</t>
  </si>
  <si>
    <t>3D QSAR in Drug Design, Volume 2 : Ligand–Protein Interactions and Molecular Similarity</t>
  </si>
  <si>
    <t>Annual Reports in Combinatorial Chemistry and Molecular Diversity</t>
  </si>
  <si>
    <t>Moos, Walter H.; Pavia, Michael R.; Kay, B. K.; Ellington, A. D.</t>
  </si>
  <si>
    <t>Manual of Biological Markers of Disease including Sections A; B; and C</t>
  </si>
  <si>
    <t>van Venrooij, W. J.; Maini, R. N.; Venrooij, W J Van</t>
  </si>
  <si>
    <t>Rapid Detection of Infectious Agents</t>
  </si>
  <si>
    <t>Spector, Steven; Bendinelli, Mauro; Friedman, Herman</t>
  </si>
  <si>
    <t>Novel Frontiers in the Production of Compounds for Biomedical Use</t>
  </si>
  <si>
    <t>Van Broekhoven, Annie; Shapiro, Fred; Annbe, Jozef</t>
  </si>
  <si>
    <t>Recent Developments in Alcoholism : Services Research in the Era of Managed Care, Volume 15</t>
  </si>
  <si>
    <t>Staphylococcus aureus Infection and Disease</t>
  </si>
  <si>
    <t>Honeyman, Allen; Friedman, Herman; Bendinelli, Mauro</t>
  </si>
  <si>
    <t>Women and AIDS : Coping and Care</t>
  </si>
  <si>
    <t>O'Leary, Ann; Jemmott, Loretta S.</t>
  </si>
  <si>
    <t>Suicide Science : Expanding the Boundaries</t>
  </si>
  <si>
    <t>Joiner, Thomas; Rudd, M. David</t>
  </si>
  <si>
    <t>Cancer Prevention : The Causes and Prevention of Cancer</t>
  </si>
  <si>
    <t>Colditz, Graham A.; Hunter, David</t>
  </si>
  <si>
    <t>Clinical Approach to Infection in the Compromised Host</t>
  </si>
  <si>
    <t>Rubin, Robert H.; Young, Lowell S.</t>
  </si>
  <si>
    <t>Assessing Attention-Deficit/Hyperactivity Disorder</t>
  </si>
  <si>
    <t>Anastopoulos, Arthur D.; Shelton, Terri L.</t>
  </si>
  <si>
    <t>Dictionary of Neurological Signs : Clinical Neurosemiology</t>
  </si>
  <si>
    <t>Choices for Living : Coping with Fear of Dying</t>
  </si>
  <si>
    <t>Langner, Thomas S.</t>
  </si>
  <si>
    <t>Case Studies in Forensic Epidemiology</t>
  </si>
  <si>
    <t>Social Networks, Drug Injectors' Lives and HIV-AIDS</t>
  </si>
  <si>
    <t>Friedman, S. R.; Curtis, R.; Neaigus, A.; Jose, Benny; Jarlais, Don des</t>
  </si>
  <si>
    <t>Learning Disabilities in Older Adolescents and Adults : Clinical Utility of the Neuropsychological Perspective</t>
  </si>
  <si>
    <t>Katz, Lynda J.; Goldstein, Gerald; Beers, Sue R.</t>
  </si>
  <si>
    <t>Social Relations and Chronic Pain</t>
  </si>
  <si>
    <t>Roy, R.</t>
  </si>
  <si>
    <t>Signal Transduction in Cancer</t>
  </si>
  <si>
    <t>Frank, David A.</t>
  </si>
  <si>
    <t>PDE and Level Sets : Algorithmic Approaches to Static and Motion Imagery</t>
  </si>
  <si>
    <t>Suri, Jasjit S.; Laxminarayan, Swamy</t>
  </si>
  <si>
    <t>Infections and the Cardiovascular System : New Perspectives</t>
  </si>
  <si>
    <t>Fong, I. W.</t>
  </si>
  <si>
    <t>Practitioner's Guide to Empirically Based Measures of School Behavior</t>
  </si>
  <si>
    <t>Kelley, Mary Lou; Reitman, David; Noell, George</t>
  </si>
  <si>
    <t>Reemergence of Established Pathogens in the 21st Century</t>
  </si>
  <si>
    <t>Fong, I. W.; Drlica, Karl</t>
  </si>
  <si>
    <t>Promoting Reproductive Security in Developing Countries</t>
  </si>
  <si>
    <t>Middleberg, Maurice I.</t>
  </si>
  <si>
    <t>ECG in Acute Myocardial Infarction and Unstable Angina</t>
  </si>
  <si>
    <t>Wellens, Hein J. J.; Gorgels, Anton M.; Doevendans, Pieter A.</t>
  </si>
  <si>
    <t>Brockstein, Bruce; Masters, Gregory</t>
  </si>
  <si>
    <t>Adamantiades-Behçet's Disease</t>
  </si>
  <si>
    <t>Zouboulis, Christos C.</t>
  </si>
  <si>
    <t>Clinical Guide to the Treatment of the Human Stress Response : Second Edition</t>
  </si>
  <si>
    <t>Everly, George S.; Lating, Jeffrey M.</t>
  </si>
  <si>
    <t>Principles of Forensic Mental Health Assessment</t>
  </si>
  <si>
    <t>Prostate Cancer : New Horizons in Research and Treatment</t>
  </si>
  <si>
    <t>Cher, Michael L.; Honn, Kenneth V.; Raz, Avraham</t>
  </si>
  <si>
    <t>Medicine Across Cultures. History and Practice of Medicine in Non-Western Cultures</t>
  </si>
  <si>
    <t>Selin, Helaine; Shapiro, Hugh</t>
  </si>
  <si>
    <t>Valve Surgery at the Turn of the Millenium</t>
  </si>
  <si>
    <t>Peels, C. H.; Baur, L. H. B.</t>
  </si>
  <si>
    <t>Dining at the Governor's Mansion</t>
  </si>
  <si>
    <t>McQueary, Carl</t>
  </si>
  <si>
    <t>The Therapeutic Relationship : Transference, Countertransference, and the Making of Meaning</t>
  </si>
  <si>
    <t>Wiener, Jan; Rosen, David H.</t>
  </si>
  <si>
    <t>Women Doctors in War</t>
  </si>
  <si>
    <t>Bellafaire, Judith; Graf, Mercedes Herrera</t>
  </si>
  <si>
    <t>The Polio Years in Texas : Battling a Terrifying Unknown</t>
  </si>
  <si>
    <t>Wooten, Heather Green</t>
  </si>
  <si>
    <t>Voices in the Kitchen : Views of Food and the World from Working-Class Mexican and Mexican American Women</t>
  </si>
  <si>
    <t>Abarca, Meredith E.</t>
  </si>
  <si>
    <t>Treating Allergies with the F.X. Mayr-Cure : Mobilizing the Body's Self-Healing Powers</t>
  </si>
  <si>
    <t>Stossier, Harald</t>
  </si>
  <si>
    <t>Epilepsy from A - Z : Dictionary of Medical Terms</t>
  </si>
  <si>
    <t>Georg Thieme Verlag</t>
  </si>
  <si>
    <t>Kraemer, Guenter</t>
  </si>
  <si>
    <t>Biophysical Therapy of Allergies</t>
  </si>
  <si>
    <t>Schumacher, Peter</t>
  </si>
  <si>
    <t>Teaching Atlas of Interventional Radiology : Non-Vascular Interventional Procedures</t>
  </si>
  <si>
    <t>Kadir, Saadoon; Kadir, Saadoon</t>
  </si>
  <si>
    <t>Periodontology : The Essentials</t>
  </si>
  <si>
    <t>Mueller, Hans-Peter</t>
  </si>
  <si>
    <t>Goldfarb, C.; Cooper, Jeffrey</t>
  </si>
  <si>
    <t>A-Z Health and Safety</t>
  </si>
  <si>
    <t>Thorogood</t>
  </si>
  <si>
    <t>Engineering: General; Social Science; Engineering</t>
  </si>
  <si>
    <t>Savage Barbecue : Race, Culture, and the Invention of America's First Food</t>
  </si>
  <si>
    <t>Warnes, Andrew</t>
  </si>
  <si>
    <t>Invention of Ecocide</t>
  </si>
  <si>
    <t>Zierler, David</t>
  </si>
  <si>
    <t>Science; Environmental Studies; Science: Biology/Natural History</t>
  </si>
  <si>
    <t>History of the Medical College of Georgia</t>
  </si>
  <si>
    <t>Spalding, Phinizy</t>
  </si>
  <si>
    <t>Deluxe Jim Crow : Civil Rights and American Health Policy, 1935-1954</t>
  </si>
  <si>
    <t>Thomas, Karen Kruse</t>
  </si>
  <si>
    <t>Essentials of Cardiovascular Physiology</t>
  </si>
  <si>
    <t>Sparks, Harvey V.; Rooke, Thom W.</t>
  </si>
  <si>
    <t>Parent's Guide to Heart Disorders</t>
  </si>
  <si>
    <t>Moller, James H.; Neal, William A.; Hoffman, William</t>
  </si>
  <si>
    <t>Psychodiagnosis : Selected Papers</t>
  </si>
  <si>
    <t>Meehl, Paul E.</t>
  </si>
  <si>
    <t>Health Care and the Ethics of Encounter : A Jewish Discussion of Social Justice</t>
  </si>
  <si>
    <t>Zoloth-Dorfman, Laurie</t>
  </si>
  <si>
    <t>Beyond Regulations : Ethics in Human Subjects Research</t>
  </si>
  <si>
    <t>King, Nancy M.; Henderson, Gail E.; Stein, Jane</t>
  </si>
  <si>
    <t>Sympathy and Science : Women Physicians in American Medicine</t>
  </si>
  <si>
    <t>Pepper Trail : History and Recipes from Around the World</t>
  </si>
  <si>
    <t>Andrews, Jean; Andrews, Jean</t>
  </si>
  <si>
    <t>Hiv/Aids and the Security Sector in Africa</t>
  </si>
  <si>
    <t>UNUP</t>
  </si>
  <si>
    <t>Aginam, Obijiofor; Rupiya, Martin R.</t>
  </si>
  <si>
    <t>What Every Senior Needs To..</t>
  </si>
  <si>
    <t>University Press of Colorado</t>
  </si>
  <si>
    <t>Nora, J</t>
  </si>
  <si>
    <t>Dr. Charles David Spivak : A Jewish Immigrant and the American Tuberculosis Movement</t>
  </si>
  <si>
    <t>Abrams, Jeanne</t>
  </si>
  <si>
    <t>A Caring Approach in Nursing Administration</t>
  </si>
  <si>
    <t>Nyberg, Jan J.</t>
  </si>
  <si>
    <t>Neurobehavioral Anatomy, Third Edition</t>
  </si>
  <si>
    <t>Filley, Christopher M.; Filley, Christopher M</t>
  </si>
  <si>
    <t>The Menial Art of Cooking : Archaeological Studies of Cooking and Food Preparation</t>
  </si>
  <si>
    <t>Graff, Sarah R.; Rodríguez-Alegría, Enrique</t>
  </si>
  <si>
    <t>Lousy Sex</t>
  </si>
  <si>
    <t>Callahan, Gerald N.</t>
  </si>
  <si>
    <t>Barossa Food</t>
  </si>
  <si>
    <t>Wakefield Press</t>
  </si>
  <si>
    <t>Heuzenroeder, Angela</t>
  </si>
  <si>
    <t>Health Promotion and Disease Prevention in the Family : Communicating Knowledge, Competence, and Health Behaviour</t>
  </si>
  <si>
    <t>Bergmann, Karl E.; Bergmann, Renate L.</t>
  </si>
  <si>
    <t>Anthropology and Mental Health : Setting a New Course</t>
  </si>
  <si>
    <t>Westermeyer, Joseph</t>
  </si>
  <si>
    <t>Renal and Rectal Disease Texts</t>
  </si>
  <si>
    <t>Language acquisition problems and reading Disorders : Aspects of diagnosis and Intervention</t>
  </si>
  <si>
    <t>Grimm, Hannelore; Skowronek, Helmut</t>
  </si>
  <si>
    <t>Postlingually Acquired Deafness : Speech Deterioration and the Wider Consequences</t>
  </si>
  <si>
    <t>Cowie, Roddy; Douglas-Cowie, Ellen</t>
  </si>
  <si>
    <t>Medical Theories in Hippocrates : Early Texts and the Epidemics</t>
  </si>
  <si>
    <t>Langholf, Volker</t>
  </si>
  <si>
    <t>Dictionary of Obstetrics and Gynecology</t>
  </si>
  <si>
    <t>Zink, Christoph</t>
  </si>
  <si>
    <t>Analysis of Volatiles : Methods. Applications. Proceedings. International Workshop Würzburg, Federal Republic of Germany, September 28-30, 1983</t>
  </si>
  <si>
    <t>Schreier, Peter</t>
  </si>
  <si>
    <t>Philosophy and Psychiatry</t>
  </si>
  <si>
    <t>Schramme, Thomas; Thome, Johannes</t>
  </si>
  <si>
    <t>Molecular Biology of Prostate Cancer</t>
  </si>
  <si>
    <t>Wirth, Manfred; Altwein, J. E.; Schmitz-Äger, B.; Kuptz, S.</t>
  </si>
  <si>
    <t>Die Gutachterliche Bewertung Von Hirnleistungsstörungen</t>
  </si>
  <si>
    <t>Tägert, Jochen; T Gert, Jochen</t>
  </si>
  <si>
    <t>Innere Medizin MIT Repetitorium</t>
  </si>
  <si>
    <t>Lohmann, Friedrich W.; Goebell, H.; Wagner, J.</t>
  </si>
  <si>
    <t>Mental Health in College and University</t>
  </si>
  <si>
    <t>Harvard University Press</t>
  </si>
  <si>
    <t>Farnsworth, Dana L.</t>
  </si>
  <si>
    <t>National Health Insurance and Health Resources : The European Experience</t>
  </si>
  <si>
    <t>Blanpain, Jan</t>
  </si>
  <si>
    <t>Basic Epidemiology</t>
  </si>
  <si>
    <t>World Health Organization (WHO)</t>
  </si>
  <si>
    <t>Beaglehole, R.; Bonita, R.; Kjellstrom, T.</t>
  </si>
  <si>
    <t>WHO Expert Committee on Specifications for Pharmaceutical Preparations, Thity-Sixth Report</t>
  </si>
  <si>
    <t>World Health Organization Staff</t>
  </si>
  <si>
    <t>Vector Control : Methods for Use by Individuals and Communities</t>
  </si>
  <si>
    <t>World Health Organization Staff; Rozendaal, Jan A.</t>
  </si>
  <si>
    <t>World Health Report, 1999 : Making a Difference</t>
  </si>
  <si>
    <t>Stationery Office Books</t>
  </si>
  <si>
    <t>Brundtland, Gro Harlem</t>
  </si>
  <si>
    <t>International Travel and Health : Situation as on 1 January 2002</t>
  </si>
  <si>
    <t>World Report on Violence and Health : Summary</t>
  </si>
  <si>
    <t>Krug, Etienne G.; Dahlberg, Linda L.; Mercy, James A.</t>
  </si>
  <si>
    <t>National Cancer Control Programmes : policies and managerial guidelines : executive summary</t>
  </si>
  <si>
    <t>Ethical Choices in Long-term Care : What Does Justice Require?</t>
  </si>
  <si>
    <t>State of the World’s Vaccines and Immunization</t>
  </si>
  <si>
    <t>Future Trends in Veterinary Public Health</t>
  </si>
  <si>
    <t>WHO Study Group</t>
  </si>
  <si>
    <t>International Statistical Classification of Diseases and Related Health Problems (ICD-10) in Occupational Health</t>
  </si>
  <si>
    <t>Karjalainen, Antti</t>
  </si>
  <si>
    <t>Women and Occupational Health</t>
  </si>
  <si>
    <t>Kane, Penny</t>
  </si>
  <si>
    <t>Strengthening of Health Surveillance of Working Populations : The Use of International Statistical Classification of Diseases (ICD-10) in Occupational Health</t>
  </si>
  <si>
    <t>Lead : Assessing the Environmental Burden of Disease at National and Local Levels : Environmental Burden of Disease Series</t>
  </si>
  <si>
    <t>World Health Organisation Staff</t>
  </si>
  <si>
    <t>Assessing the environmental burden of disease at national and local levels : introduction and methods</t>
  </si>
  <si>
    <t>Strategic Approaches to the Prevention of HIV Infection in Infants : Report of a WHO Meeting</t>
  </si>
  <si>
    <t>Laboratory Diagnosis and Monitoring of Diabetes Mellitus</t>
  </si>
  <si>
    <t>Reinauer, H.; Home, P.; Kanagasabapathy, A.; Reinauer, H.</t>
  </si>
  <si>
    <t>International Pharmacopoeia</t>
  </si>
  <si>
    <t>Informe sobre la salud en el Mundo 2003 : Forjemos el Futuro</t>
  </si>
  <si>
    <t>Organización Mundial de la Salud</t>
  </si>
  <si>
    <t>Rapport sur la santé dans le Monde 2003 : Façonner l'avenir</t>
  </si>
  <si>
    <t>Organisation mondiale de la Santé</t>
  </si>
  <si>
    <t>Macroeconomia y Salud : Invertir en Salud en Pro Del Desarrollo Economico Informe de la Comision Sobre Macroeconomia y Salud</t>
  </si>
  <si>
    <t>Point sur les vaccins et la vaccination dans le monde</t>
  </si>
  <si>
    <t>Organisation Mondiale de la Santé</t>
  </si>
  <si>
    <t>Estrategia Mundial para la Alimentación del Lactante y del Niño Pequeño</t>
  </si>
  <si>
    <t>Des Soins Novateurs pour les Affections Chroniques : Elements Constitutifs</t>
  </si>
  <si>
    <t>Comité OMS d'experts de la pharmacodépendence : trente troisième rapport</t>
  </si>
  <si>
    <t>Obésité : prévention et prise en charge de l’épidémie mondiale  : Rapport d'une consultation de l'OMS</t>
  </si>
  <si>
    <t>Comite de Expertos de la OMS en Farmacodependencia : 33 Informe</t>
  </si>
  <si>
    <t>Conséquences sanitaires de la présence d'acrylamide dans les denrées alimentaires : Rapport d'une consultation conjointe FAO/OMS</t>
  </si>
  <si>
    <t>Consecuencias sanitarias de las presencia de acrilamida en los alimentos : Informe de una Reunión consultativa mixta FAO/OMS</t>
  </si>
  <si>
    <t>Rapport sur l'épidémie mondiale de VIH/SIDA 2004</t>
  </si>
  <si>
    <t>Informe sobre la epidemia mundial de VIH/SIDA 2004</t>
  </si>
  <si>
    <t>Atlas : Child and Adolescent Mental Health Resources</t>
  </si>
  <si>
    <t>World Health Organization Staff; World Health Organization, ; UNAIDS, ; World Health Organization,</t>
  </si>
  <si>
    <t>Avoiding Heart Attacks and Strokes : Don't Be a Victim - Protect Yourself</t>
  </si>
  <si>
    <t>Preventing Chronic Diseases : A Vital Investment</t>
  </si>
  <si>
    <t>Mental Health Atlas : 2005 (Revised Edition)</t>
  </si>
  <si>
    <t>Human Resources and Training in Mental Health : Mental Health Policy and Services Guidance Package</t>
  </si>
  <si>
    <t>Atlas : Epilepsy Care in the World</t>
  </si>
  <si>
    <t>Wook, Kwon Jun</t>
  </si>
  <si>
    <t>Prevention of Blindness from Diabetes Mellitus : Report of a WHO Consultation in Geneva, Switzerland, 9-11 November 2005</t>
  </si>
  <si>
    <t>Physical Activity and Health in Europe (34th Report) : Evidence for Action</t>
  </si>
  <si>
    <t>Cavill, Nick; Kahlmeier, Sonja; Racioppi, Francesca</t>
  </si>
  <si>
    <t>Global Tuberculosis Control : Surveillance, Planning, Financing  : WHO Report 2007</t>
  </si>
  <si>
    <t>Integrating Poverty and Gender into Health Programmes. Module on Noncommunicable Diseases</t>
  </si>
  <si>
    <t>International Classification of Functioning, Disability and Health : Children and Youth Version ICF-CY</t>
  </si>
  <si>
    <t>WHO Model Prescribing Information : Drugs Used in Skin Diseases</t>
  </si>
  <si>
    <t>Technical Report Series, Number 944 : WHO Expert Committee on Problems Related to Alcohol Consumption (Russian)</t>
  </si>
  <si>
    <t>Health Research Methodology : A Guide for Training in Research Methods : WHO Pacific Regional Office, Education in Action Series, Number 5</t>
  </si>
  <si>
    <t>Science</t>
  </si>
  <si>
    <t>Cross-Cultural Dialogue on Health Care Ethics</t>
  </si>
  <si>
    <t>Coward, Harold; Ratanakul, Pinit</t>
  </si>
  <si>
    <t>Public Health Nutrition in Developing Countries</t>
  </si>
  <si>
    <t>Vir, S.</t>
  </si>
  <si>
    <t>Investing in Health : Development Effectiveness in the Health, Nutrition and Population Sector</t>
  </si>
  <si>
    <t>Johnston, Timothy A.; Stout, Susan</t>
  </si>
  <si>
    <t>Well-Being for All Beyond Generations : A Reproductive Health Review of the Middle East and North Africa Region</t>
  </si>
  <si>
    <t>Aoyama, Atsuko; World Bank,</t>
  </si>
  <si>
    <t>HIV/AIDS in the Caribbean : Issues and Options</t>
  </si>
  <si>
    <t>World Bank Staff</t>
  </si>
  <si>
    <t>Education and HIV/AIDS : A Window of Hope</t>
  </si>
  <si>
    <t>Better Health Systems for India’s Poor : Findings, Analysis, and Options</t>
  </si>
  <si>
    <t>Peters, David H.; Yazbeck, Abdo S.; Sharma, Rashmi R.; Yazbeck, Abdo S.; Wagstaff, Adam</t>
  </si>
  <si>
    <t>Prospects for Improving Nutrition in Eastern Europe and Central Asia</t>
  </si>
  <si>
    <t>Rokx, Claudia; Galloway, Rae; Brown, Lynn</t>
  </si>
  <si>
    <t>HIV/AIDS in Southeastern Europe : Case Studies from Bulgaria, Croatia, and Romania</t>
  </si>
  <si>
    <t>Novotny, Thomas E.; Haazen, Dominic; Adeyi, Olusoji</t>
  </si>
  <si>
    <t>Reducing Maternal Mortality : Learning from Bolivia, China, Egypt, Honduras, Indonesia, Jamaica, and Zimbabwe</t>
  </si>
  <si>
    <t>Koblinsky, Marjorie A.; Campbell, O.</t>
  </si>
  <si>
    <t>HIV/AIDS in the Middle East and North Africa : The Costs of Inaction</t>
  </si>
  <si>
    <t>Jenkins, Carol; Robalino, David A.</t>
  </si>
  <si>
    <t>Averting AIDS Crises in Eastern Europe and Central Asia : A Regional Support Strategy</t>
  </si>
  <si>
    <t>Adeyi, Olusoji; Novotny, Thomas; Baris, Enis; Chakraborty, Sarbani; Pavis, Ross</t>
  </si>
  <si>
    <t>Health Policy Research in South Asia : Building Capacity for Reform</t>
  </si>
  <si>
    <t>Yazbeck, Abdo; Peters, David H.</t>
  </si>
  <si>
    <t>HIV/AIDS and Tuberculosis in Central Asia : Country Profiles</t>
  </si>
  <si>
    <t>Godinho, Joana; Novotny, Thomas; Tadesse, Hiwote; Vinokur, Anatoly</t>
  </si>
  <si>
    <t>Combating Malnutrition : Time to Act</t>
  </si>
  <si>
    <t>World Bank; Gillespie, Stuart; McLachlan, Milla</t>
  </si>
  <si>
    <t>HIV/AIDS in Latin America : The Challenges Ahead</t>
  </si>
  <si>
    <t>Garcia-Abreu, Anabela; Noguer, Isabel; Cowgill, Karen</t>
  </si>
  <si>
    <t>HIV/AIDS in Georgia : Addressing the Crisis</t>
  </si>
  <si>
    <t>Gotsadze, Tamar; Chawla, Mukesh; Chkatarashvili, Ketevan</t>
  </si>
  <si>
    <t>Education and HIV/AIDS : A Sourcebook of HIV/AIDS Prevention Programs</t>
  </si>
  <si>
    <t>Valerio, Alexandria; Bundy, Donald A. P.</t>
  </si>
  <si>
    <t>Health Sector Reform in Bolivia : A Decentralization Case Study</t>
  </si>
  <si>
    <t>World Bank Staff; World Bank, , Policy</t>
  </si>
  <si>
    <t>Health Economics in Development</t>
  </si>
  <si>
    <t>Musgrove, Philip</t>
  </si>
  <si>
    <t>Health Financing for Poor People : Resource Mobilization and Risk Sharing</t>
  </si>
  <si>
    <t>Preker, Alexander S.; Carrin, Guy</t>
  </si>
  <si>
    <t>Health; Business/Management; Economics; Social Science</t>
  </si>
  <si>
    <t>Public Health in the Middle East and North Africa : Meeting the Challenges of the 21st Century</t>
  </si>
  <si>
    <t>Pierre-Louis, Anne Maryse; Akala, Francisco Ayodeji; Karam, Hadia Samaha</t>
  </si>
  <si>
    <t>Millennium Development Goals for Health in Europe and Central Asia : Relevance and Policy Implications</t>
  </si>
  <si>
    <t>Berndt, Rechel; Shapo, Laidon; McKee, Martin</t>
  </si>
  <si>
    <t>Health Sector in Eritrea</t>
  </si>
  <si>
    <t>Battling HIV/AIDS : A Decision Maker's Guide to the Procurement of Medicines and Related Supplies</t>
  </si>
  <si>
    <t>Tayler, Yolanda; World Bank</t>
  </si>
  <si>
    <t>Millennium Development Goals for Health, Nutrition and Population : Working Together to Accelerate Progress</t>
  </si>
  <si>
    <t>Wagstaff, Adam; Claeson, Mariam</t>
  </si>
  <si>
    <t>HIV/AIDS Treatment and Prevention in India : Modeling the Costs and Consequence</t>
  </si>
  <si>
    <t>Over, Mead</t>
  </si>
  <si>
    <t>Addressing HIV/AIDS in East Asia and the Pacific</t>
  </si>
  <si>
    <t>Borowitz, Michael; Wiley, Elizabeth; Saadah, Fadia; Baris, Enis</t>
  </si>
  <si>
    <t>Guide to Competitive Vouchers in Health</t>
  </si>
  <si>
    <t>Improving Health, Nutrition and Population Outcomes in Sub-Saharan Africa : The Role of the World Bank</t>
  </si>
  <si>
    <t>Strengthening Country Commitment to Human Development : Lessons from Nutrition</t>
  </si>
  <si>
    <t>Heaver, Richard</t>
  </si>
  <si>
    <t>Environmental Health and Traditional Fuel Use in Guatemala</t>
  </si>
  <si>
    <t>World Bank, The</t>
  </si>
  <si>
    <t>Ahmed, Kulsum; Awe, Yewande Aramide; Barnes, Douglas F.; Cropper, Maureen L.; Kojima, Masami</t>
  </si>
  <si>
    <t>Spending Wisely : Buying Health Services for the Poor</t>
  </si>
  <si>
    <t>Preker, Alexander S.; Langenbruner, John</t>
  </si>
  <si>
    <t>Corporate Responses to HIV/AIDS : Case Studies from India</t>
  </si>
  <si>
    <t>Investing in Maternal Health : Learning from Malaysia and Sri Lanka</t>
  </si>
  <si>
    <t>Pathmanathan, Indra; Liljestrand, Jerker</t>
  </si>
  <si>
    <t>Health, Nutrition and Population Outcomes in Madagascar 2000-2009 : A Country Status Report</t>
  </si>
  <si>
    <t>Sharp, Maryanne; Kruse, Ioana</t>
  </si>
  <si>
    <t>An Introduction to Metabolic and Cellular Engineering</t>
  </si>
  <si>
    <t>Cortassa, S.; Aon, M. A.; Iglesias, A. A.; Lloyd, D.</t>
  </si>
  <si>
    <t>Science; Engineering: Chemical; Engineering; Science: Biology/Natural History</t>
  </si>
  <si>
    <t>The New Global Threat : Severe Acute Respiratory Syndrome and Its Impacts</t>
  </si>
  <si>
    <t>Koh, Tommy T. B.; Plant, Aileen; Lee, Eng Hin</t>
  </si>
  <si>
    <t>Complex Population Dynamics : Nonlinear Modeling in Ecology, Epidemiology and Genetics</t>
  </si>
  <si>
    <t>Blasius, Bernd; Kurths, J; Stone, Lewi</t>
  </si>
  <si>
    <t>Methods in Research and Development of Biomedical Devices</t>
  </si>
  <si>
    <t>Wong, Kelvin Kian Loong; Sun, Zhong-Hua; Tu, Jiyuan</t>
  </si>
  <si>
    <t>Biological Data Mining and Its Applications in Healthcare</t>
  </si>
  <si>
    <t>Al, Li Xiaoli Et; Li, Xiaoli; Ng, See-Kiong</t>
  </si>
  <si>
    <t>Sport Psychological Interventions in Competitive Sports</t>
  </si>
  <si>
    <t>Beckmann, Jürgen; Elbe,  Anne-Marie</t>
  </si>
  <si>
    <t>Global Perspectives on Research, Theory, and Practice : A Decade of Gestalt!</t>
  </si>
  <si>
    <t>Mistler, Brian J.; Brownell,  Philip</t>
  </si>
  <si>
    <t>Implicit Meaning Comprehension in Autism Spectrum Disorders</t>
  </si>
  <si>
    <t>Formisano, Yhara</t>
  </si>
  <si>
    <t>Human Gross Anatomy : An Outline Text</t>
  </si>
  <si>
    <t>Leonard, Robert J.</t>
  </si>
  <si>
    <t>Hospice Care for Children</t>
  </si>
  <si>
    <t>Armstrong-Dailey, Ann; Goltzer, Sarah Z.</t>
  </si>
  <si>
    <t>Ethics in Nursing</t>
  </si>
  <si>
    <t>Benjamin, Martin; Curtis, Joy</t>
  </si>
  <si>
    <t>Nursing; Philosophy</t>
  </si>
  <si>
    <t>DNA Fingerprinting : An Introduction</t>
  </si>
  <si>
    <t>Kirby, Lorne T.</t>
  </si>
  <si>
    <t>Bioethics : A Return to Fundamentals</t>
  </si>
  <si>
    <t>Gert, Bernard; Culver, Charles M.; Clouser, K. Danner</t>
  </si>
  <si>
    <t>Social Injustice and Public Health</t>
  </si>
  <si>
    <t>Levy, Barry S.; Sidel, Victor W.; Edelman, Marian Wright</t>
  </si>
  <si>
    <t>Neurology of Autism</t>
  </si>
  <si>
    <t>Coleman, Mary</t>
  </si>
  <si>
    <t>Divide and Conquer : A Comparative History of Medical Specialization</t>
  </si>
  <si>
    <t>Weisz, George</t>
  </si>
  <si>
    <t>Effective and Emerging Treatments in Pediatric Psychology</t>
  </si>
  <si>
    <t>Spirito, Anthony; Kazak, Anne E.</t>
  </si>
  <si>
    <t>Healthier Societies : From Analysis to Action</t>
  </si>
  <si>
    <t>Heymann, Jody; Barer, Morris L.; Evans, Robert G.; Hertzman, Clyde</t>
  </si>
  <si>
    <t>Viral Fitness : The Next Sars and West Nile in the Making</t>
  </si>
  <si>
    <t>Mending Bodies, Saving Souls : A History of Hospitals</t>
  </si>
  <si>
    <t>Risse, Guenter B.</t>
  </si>
  <si>
    <t>Brave New Brain : Conquering Mental Illness in the Era of the Genome</t>
  </si>
  <si>
    <t>Andreasen, Nancy C.</t>
  </si>
  <si>
    <t>Plague and Fire : Battling Black Death and the 1900 Burning of Honolulu's Chinatown</t>
  </si>
  <si>
    <t>Hibbert, D. Brynn</t>
  </si>
  <si>
    <t>The Science of False Memory</t>
  </si>
  <si>
    <t>Buckley, Jorunn Jacobsen; Brainerd, C. J.; Reyna, V. F.</t>
  </si>
  <si>
    <t>Cholera, Chloroform, and the Science of Medicine : A Life of John Snow</t>
  </si>
  <si>
    <t>Paneth, Nigel; Brody, Howard; Rachman, Stephen; Rip, Michael; Vinten-Johansen, Peter; Zuck, David</t>
  </si>
  <si>
    <t>AIDS Epidemiology : A Quantitative Approach</t>
  </si>
  <si>
    <t>Brookmeyer, Ron; Gail, Mitchell H.</t>
  </si>
  <si>
    <t>American Health Care : Realities, Rights, and Reforms</t>
  </si>
  <si>
    <t>Dougherty, Charles J.</t>
  </si>
  <si>
    <t>Case Studies in Occupational Epidemiology</t>
  </si>
  <si>
    <t>Steenland, Kyle</t>
  </si>
  <si>
    <t>Feminism and Bioethics : Beyond Reproduction</t>
  </si>
  <si>
    <t>Wolf, Susan M.</t>
  </si>
  <si>
    <t>Applied Epidemiology : Theory to Practice</t>
  </si>
  <si>
    <t>Brownson, Ross C.; Petitti, Diana B.</t>
  </si>
  <si>
    <t>Beyond Consent : Seeking Justice in Research</t>
  </si>
  <si>
    <t>Kahn, Jeffrey P.; Mastroianni, Anna C.; Sugarman, Jeremy</t>
  </si>
  <si>
    <t>Diet, Life Expectancy, and Chronic Disease : Studies of Seventh-Day Adventists and Other Vegetarians</t>
  </si>
  <si>
    <t>Fraser, Gary E.</t>
  </si>
  <si>
    <t>Chasing Dirt : The American Pursuit of Cleanliness</t>
  </si>
  <si>
    <t>Hoy, Suellen</t>
  </si>
  <si>
    <t>Emerging Viruses</t>
  </si>
  <si>
    <t>Morse, Stephen S.</t>
  </si>
  <si>
    <t>Child Health and the Environment</t>
  </si>
  <si>
    <t>Wigle, Donald T.; Wigle, Donald T.</t>
  </si>
  <si>
    <t>Disentitlement? : The Threats Facing Our Public Health Care Programs and a Right-Based Response</t>
  </si>
  <si>
    <t>Jost, Timothy Stoltzfus</t>
  </si>
  <si>
    <t>Challenging Inequities in Health : From Ethics to Action</t>
  </si>
  <si>
    <t>Evans, Timothy; Bhuiya, Abbas; Diderichsen, Finn; Whitehead, Margaret; Wirth, Meg</t>
  </si>
  <si>
    <t>Perceptual Coherence : Hearing and Seeing</t>
  </si>
  <si>
    <t>Handel, Stephen</t>
  </si>
  <si>
    <t>Science: Biology/Natural History; Psychology; Science</t>
  </si>
  <si>
    <t>An Introduction to Health Planning for Developing Health Systems</t>
  </si>
  <si>
    <t>Green, Andrew</t>
  </si>
  <si>
    <t>Handbook of Physical Measurements</t>
  </si>
  <si>
    <t>Hall, Judith G.; Gripp, Karen</t>
  </si>
  <si>
    <t>Shattered Dreams? : An Oral History of the South African AIDS Epidemic</t>
  </si>
  <si>
    <t>Oppenheimer, Gerald M.; Bayer, Ronald</t>
  </si>
  <si>
    <t>Globalization and Health</t>
  </si>
  <si>
    <t>Kawachi, Ichiro; Wamala, Sarah</t>
  </si>
  <si>
    <t>Psychiatric Aspects of Neurologic Diseases : Practical Approaches to Patient Care</t>
  </si>
  <si>
    <t>Lyketsos, Constantine G.; Rabins, Peter V.; Lipsey, John R.</t>
  </si>
  <si>
    <t>Sorority Body Image Program Group Leader Guide</t>
  </si>
  <si>
    <t>Becker, Carolyn Black; Stice, Eric</t>
  </si>
  <si>
    <t>Brain Architecture : Understanding the Basic Plan</t>
  </si>
  <si>
    <t>Swanson, Larry W.</t>
  </si>
  <si>
    <t>Neurology and Trauma</t>
  </si>
  <si>
    <t>Evans, Randolph W.</t>
  </si>
  <si>
    <t>Dawning Answers : How the HIV/AIDS Epidemic Has Helped to Strengthen Public Health</t>
  </si>
  <si>
    <t>Valdiserri, Ronald O.</t>
  </si>
  <si>
    <t>Oxford American Handbook of Pulmonary Medicine</t>
  </si>
  <si>
    <t>Brown, Kevin K.; Lee-Chiong, Teófilo L., Jr.</t>
  </si>
  <si>
    <t>Menstrual Migraine</t>
  </si>
  <si>
    <t>Hutchinson, Susan; Peterlin, B. Lee</t>
  </si>
  <si>
    <t>The Handbook of International Adoption Medicine : A Guide for Physicians, Parents, and Providers</t>
  </si>
  <si>
    <t>Miller, Laurie C.</t>
  </si>
  <si>
    <t>Genetic Dilemmas : Reproductive Technology, Parental Choices, and Children's Futures</t>
  </si>
  <si>
    <t>Davis, Dena S.</t>
  </si>
  <si>
    <t>Stored Tissue Issue : Biomedical Research, Ethics, and Law in the Era of Genomic Medicine</t>
  </si>
  <si>
    <t>Weir, Robert F.; Murray, Jeffrey C.; Olick, Robert S.; Olick, Robert S.</t>
  </si>
  <si>
    <t>Health Planning for Effective Management</t>
  </si>
  <si>
    <t>Reinke, William A.</t>
  </si>
  <si>
    <t>How Doctors Think : Clinical Judgment and the Practice of Medicine</t>
  </si>
  <si>
    <t>Montgomery, Kathryn</t>
  </si>
  <si>
    <t>Simuni, Tanya; Pahwa, Rajesh</t>
  </si>
  <si>
    <t>Narrative Medicine : Honoring the Stories of Illness</t>
  </si>
  <si>
    <t>Charon, Rita</t>
  </si>
  <si>
    <t>From Detached Concern to Empathy : Humanizing Medical Practice</t>
  </si>
  <si>
    <t>Halpern, Jodi</t>
  </si>
  <si>
    <t>Getting Health Reform Right : A Guide to Improving Performance and Equity</t>
  </si>
  <si>
    <t>Roberts, Marc J.; Hsiao, William; Reich, Michael; Reich, Michael</t>
  </si>
  <si>
    <t>Oxford American Handbook of Otolaryngology</t>
  </si>
  <si>
    <t>Blitzer, Andrew; Corbridge, Rogan J.; Schwartz, Jerome; Young, Nwanmegha; Song, Phillip</t>
  </si>
  <si>
    <t>Short History of Medical Ethics</t>
  </si>
  <si>
    <t>Jonsen, Albert R.</t>
  </si>
  <si>
    <t>Workplace Health Surveillance : An Action-oriented Approach</t>
  </si>
  <si>
    <t>Maizlish, Neil A.; Maizlish, Neil A.</t>
  </si>
  <si>
    <t>The Injury Fact Book</t>
  </si>
  <si>
    <t>Baker, Susan P.; Ginsburg, Marvin J.; Li, Guohua; O'Neill, Brian; Guohua, Li</t>
  </si>
  <si>
    <t>The Nature of Suffering and the Goals of Medicine</t>
  </si>
  <si>
    <t>Migraine and Headache</t>
  </si>
  <si>
    <t>Mauskop, Alex</t>
  </si>
  <si>
    <t>Spare Parts : Organ Replacement in American Society</t>
  </si>
  <si>
    <t>Informed Consent : Legal Theory and Clinical Practice</t>
  </si>
  <si>
    <t>Berg, Jessica W.; Appelbaum, Paul S.; Lidz, Charles W.; Parker, Lisa S.; Berg, Jessica W.; Parker, Lisa S.; Parker, Lisa S.</t>
  </si>
  <si>
    <t>Nurturing the Premature Infant : Developmental Interventions in the Neonatal Intensive Care Nursery</t>
  </si>
  <si>
    <t>Goldson, Edward</t>
  </si>
  <si>
    <t>Holding Health Care Accountable : Law and the New Medical Marketplace</t>
  </si>
  <si>
    <t>Morreim, E. Haavi</t>
  </si>
  <si>
    <t>An Ethic for Health Promotion : Rethinking the Sources of Human Well-being</t>
  </si>
  <si>
    <t>Buchanan, David R.</t>
  </si>
  <si>
    <t>Fibrinolytic and Antithrombotic Therapy : Theory, Practice, and Management</t>
  </si>
  <si>
    <t>Becker, Richard C.; Spencer, Fredrick A.</t>
  </si>
  <si>
    <t>Health Management for Older Adults : Developing an Interdisciplinary Approach</t>
  </si>
  <si>
    <t>Satin, David G.</t>
  </si>
  <si>
    <t>The Diagnosis and Treatment of Breakthrough Pain</t>
  </si>
  <si>
    <t>Fine, Perry; Davies, Andrew; Fishman, Scott</t>
  </si>
  <si>
    <t>Handbook of Electrogastrography</t>
  </si>
  <si>
    <t>Koch, Kenneth L.; Stern, Robert M.</t>
  </si>
  <si>
    <t>Palliative Care Perspectives</t>
  </si>
  <si>
    <t>Hallenbeck, James L.</t>
  </si>
  <si>
    <t>Managing Death in the ICU : The Transition from Cure to Comfort</t>
  </si>
  <si>
    <t>Curtis, J. Randall; Rubenfeld, Gordon D.</t>
  </si>
  <si>
    <t>Space Physiology</t>
  </si>
  <si>
    <t>Buckey, Jay C.</t>
  </si>
  <si>
    <t>Handbook of Psychiatry in Palliative Medicine</t>
  </si>
  <si>
    <t>Chochinov, Harvey M.; Breitbart, William</t>
  </si>
  <si>
    <t>When Science Offers Salvation : Patient Advocacy and Research Ethics</t>
  </si>
  <si>
    <t>Dresser, Rebecca</t>
  </si>
  <si>
    <t>An Introduction to Quality Assurance in Health Care</t>
  </si>
  <si>
    <t>Donabedian, Avedis</t>
  </si>
  <si>
    <t>No Margin, No Mission : Health Care Organizations and the Quest for Ethical Excellence</t>
  </si>
  <si>
    <t>Pearson, Steven D.; Emanuel, Ezekiel J.; Sabin, James E.</t>
  </si>
  <si>
    <t>Blood Feuds : Aids, Blood, and the Politics of Medical Disaster</t>
  </si>
  <si>
    <t>Feldman, Eric; Bayer, Ronald</t>
  </si>
  <si>
    <t>What the Doctor Didn't Say : The Hidden Truth about Medical Research</t>
  </si>
  <si>
    <t>Menikoff, Jerry; Richards, Edward P.</t>
  </si>
  <si>
    <t>Psychosocial Genetic Counseling</t>
  </si>
  <si>
    <t>Weil, Jon</t>
  </si>
  <si>
    <t>Surgical Ethics</t>
  </si>
  <si>
    <t>Mccullough, Laurence B.; Brody, Baruch A.; Jones, James W.; Brody, Baruch A.</t>
  </si>
  <si>
    <t>Birnbaum, Gary</t>
  </si>
  <si>
    <t>Disrupted Dialogue : Medical Ethics and the Collapse of Physician-Humanist Communication (1770-1980)</t>
  </si>
  <si>
    <t>Erosion of Autonomy in Long-Term Care</t>
  </si>
  <si>
    <t>Lidz, Charles W.; Arnold, Robert M.; Fischer, Lynn</t>
  </si>
  <si>
    <t>The Black Stork : Eugenics and the Death of Defective Babies in American Medicine and Motion Pictures Since 1915</t>
  </si>
  <si>
    <t>Pernick, Martin S.</t>
  </si>
  <si>
    <t>Oxford American Handbook of Clinical Medicine</t>
  </si>
  <si>
    <t>Flynn, John A.; Longmore, J. M</t>
  </si>
  <si>
    <t>Improving Care for the End of Life : A Sourcebook for Health Care Managers and Clinicians</t>
  </si>
  <si>
    <t>Lynn, Joanne; Schuster, Janice Lynch; Simon, Lin Noyes; Wilkinson, Anne</t>
  </si>
  <si>
    <t>To Your Health : How to Understand What Research Tells Us about Risk</t>
  </si>
  <si>
    <t>Kraemer, Helena Chmura; Kupfer, David J.; Lowe, Karen Kraemer</t>
  </si>
  <si>
    <t>The Birth of Bioethics</t>
  </si>
  <si>
    <t>Medicine and Social Justice : Essays on the Distribution of Health Care</t>
  </si>
  <si>
    <t>Rhodes, Rosamond; Battin, Margaret Pabst; Silvers, Anita</t>
  </si>
  <si>
    <t>The Ethics of Environmentally Responsible Health Care</t>
  </si>
  <si>
    <t>Pierce, Jessica; Jameton, Andrew; Boulder, Canadan</t>
  </si>
  <si>
    <t>Human Rights and Public Health in the AIDS Pandemic</t>
  </si>
  <si>
    <t>Gostin, Lawrence O.; Lazzarini, Zita; Lasso, Jose Ayala; Piot, Peter</t>
  </si>
  <si>
    <t>Textbook of Family Medicine</t>
  </si>
  <si>
    <t>McWhinney, Ian R.; Freeman, Thomas</t>
  </si>
  <si>
    <t>To Cast Out Disease : A History of the International Health Division of the Rockefeller Foundation (1913-1951)</t>
  </si>
  <si>
    <t>Farley, John</t>
  </si>
  <si>
    <t>The Bottom Line or Public Health : Tactics Corporations Use to Influence Health and Health Policy and What We Can Do to Counter Them</t>
  </si>
  <si>
    <t>Wiist, William H.</t>
  </si>
  <si>
    <t>The Hippocratic Oath and the Ethics of Medicine</t>
  </si>
  <si>
    <t>Miles, Steven H.</t>
  </si>
  <si>
    <t>An Introduction to Healthcare Organizational Ethics</t>
  </si>
  <si>
    <t>Hall, Robert T.</t>
  </si>
  <si>
    <t>Caring for Patients at the End of Life : Facing an Uncertain Future Together</t>
  </si>
  <si>
    <t>Quill, Timothy E.</t>
  </si>
  <si>
    <t>Oxford American Handbook of Clinical Dentistry</t>
  </si>
  <si>
    <t>Da Silva, John D.; Mitchell, David A.; Mitchell, Laura</t>
  </si>
  <si>
    <t>Terrorism and Public Health : A Balanced Approach to Strengthening Systems and Protecting People</t>
  </si>
  <si>
    <t>Levy, Barry S.; Sidel, Victor W.</t>
  </si>
  <si>
    <t>Oxford American Handbook of Clinical Pharmacy</t>
  </si>
  <si>
    <t>McCarthy, Michelle W.; Wiffen, Phil; Kockler, Denise R.; McCarthy, Michelle</t>
  </si>
  <si>
    <t>Armstrong-Dailey, Ann; Zarbock, Sarah</t>
  </si>
  <si>
    <t>Evaluating Health Promotion Programs</t>
  </si>
  <si>
    <t>Valente, Thomas W.</t>
  </si>
  <si>
    <t>Measuring Medical Professionalism</t>
  </si>
  <si>
    <t>Stern, David Thomas</t>
  </si>
  <si>
    <t>The Virtues in Medical Practice</t>
  </si>
  <si>
    <t>Pellegrino, Edmund D.; Thomasma, David C.</t>
  </si>
  <si>
    <t>Statistical Methods in Genetic Epidemiology</t>
  </si>
  <si>
    <t>New Ethics for the Public's Health</t>
  </si>
  <si>
    <t>Beauchamp, Dan E.; Steinbock, Bonnie</t>
  </si>
  <si>
    <t>Crossing Over : Narratives of Palliative Care</t>
  </si>
  <si>
    <t>Barnard, David; Boston, Patricia; Lambrinidou, Yanna; Towers, Anna M.</t>
  </si>
  <si>
    <t>Daube, Jasper R.; Rubin, Devon I.</t>
  </si>
  <si>
    <t>Ourselves Unborn : A History of the Fetus in Modern America</t>
  </si>
  <si>
    <t>Dubow, Sara</t>
  </si>
  <si>
    <t>Nausea : Mechanisms and Management</t>
  </si>
  <si>
    <t>Stern, R. M.; Andrews, Paul, Jr.; Koch, Kenneth L.</t>
  </si>
  <si>
    <t>Supportive Care for the Renal Patient : Supportive Care for the Renal Patient</t>
  </si>
  <si>
    <t>Chambers, E. Joanna; Brown, Edwina; Germain, Michael</t>
  </si>
  <si>
    <t>Well-Mannered Medicine : Medical Ethics and Etiquette in Classical Ayurveda</t>
  </si>
  <si>
    <t>Wujastyk, Dagmar</t>
  </si>
  <si>
    <t>Spatial Representation : From Gene to Mind</t>
  </si>
  <si>
    <t>Landau, Barbara; Hoffman, James E.</t>
  </si>
  <si>
    <t>Magic Mineral to Killer Dust : Turner and Newall and the Asbestos Hazard</t>
  </si>
  <si>
    <t>Tweedale, Geoffrey</t>
  </si>
  <si>
    <t>Living Well with Parkinson's</t>
  </si>
  <si>
    <t>Atwood, Glenna Wotton; Hunnewell, Lila Green; Saucier, Roxanne Moore; Feldman, Robert G.</t>
  </si>
  <si>
    <t>Assessment, Interventions, and Policy</t>
  </si>
  <si>
    <t>Volkmar, Fred R.; Paul, Rhea; Klin, Ami</t>
  </si>
  <si>
    <t>Health IT JumpStart</t>
  </si>
  <si>
    <t>Sybex</t>
  </si>
  <si>
    <t>Wilson, Patrick; McEvoy, Scott</t>
  </si>
  <si>
    <t>Simplified Diet Manual</t>
  </si>
  <si>
    <t>John Wiley &amp; Sons</t>
  </si>
  <si>
    <t>Maher, Andrea K.</t>
  </si>
  <si>
    <t>Overactive Bladder : Practical Management</t>
  </si>
  <si>
    <t>Corcos, Jacques; MacDiarmid, Scott; Heesakkers, John</t>
  </si>
  <si>
    <t>The Characteristics of Aphasia</t>
  </si>
  <si>
    <t>Code, Chris</t>
  </si>
  <si>
    <t>Gas Chromatography In Forensic Science</t>
  </si>
  <si>
    <t>Tebbett, Ian</t>
  </si>
  <si>
    <t>The Spine and Medical Negligence</t>
  </si>
  <si>
    <t>Porter, R. W.</t>
  </si>
  <si>
    <t>Key Topics in Respiratory Medicine</t>
  </si>
  <si>
    <t>Kinnear, W J M; Johnston, I D A; Hall, Ian P.</t>
  </si>
  <si>
    <t>Key Topics in Neonatology</t>
  </si>
  <si>
    <t>Mupanemunda, Richard H.; Watkinson, Michael; Harvey, David R.</t>
  </si>
  <si>
    <t>Practical Anaesthesia and Analgesia for Day Surgery</t>
  </si>
  <si>
    <t>Hitchcock, Dr Mark; Hitchcock, M.; Millar, J.M.</t>
  </si>
  <si>
    <t>Managing Infections : Decision Making Options in Clinical Practice</t>
  </si>
  <si>
    <t>Bartzokas, C.A; Smith, G.A.</t>
  </si>
  <si>
    <t>Skin Penetration : Hazardous Chemicals At Work</t>
  </si>
  <si>
    <t>Grandjean, Philippe</t>
  </si>
  <si>
    <t>Molecular Mechanisms of Drug Action</t>
  </si>
  <si>
    <t>Coulson, Christopher J.</t>
  </si>
  <si>
    <t>Cardiac Rehabilitation : A Guide to Practice in the 21st Century</t>
  </si>
  <si>
    <t>Marcel Dekker Incorporated</t>
  </si>
  <si>
    <t>Wenger, Nanette K.; Smith, L. Kent ; Comoss, Patricia McCall</t>
  </si>
  <si>
    <t>Spontaneous Bacterial Peritonitis : The Disease, Pathogenesis and Treatment</t>
  </si>
  <si>
    <t>Conn, Harold O.; Rodes, Juan; Navasa, Miguel</t>
  </si>
  <si>
    <t>Hunter, Carrie P.; Johnson, Karen A.; Muss,  Hyman B.</t>
  </si>
  <si>
    <t>Practical Management of the Side Effects of Psychotropic Drugs</t>
  </si>
  <si>
    <t>Balon, Richard</t>
  </si>
  <si>
    <t>Physiological Pharmaceutics : Barriers to Drug Absorption</t>
  </si>
  <si>
    <t>Washington, Neena; Washington, Clive; Wilson, Clive; Washington, Neena</t>
  </si>
  <si>
    <t>Pharmaceutical Production Facilities : Design and Applications</t>
  </si>
  <si>
    <t>Cole, Graham C.</t>
  </si>
  <si>
    <t>Translational Medicine Series 7 : Pharmacogenetics of Breast Cancer  : Towards the Individualization of Therapy</t>
  </si>
  <si>
    <t>Leyland-Jones, Brian</t>
  </si>
  <si>
    <t>Translational Medicine Series 6 : Cancer Vaccines  : Challenges and Opportunities in Translation</t>
  </si>
  <si>
    <t>Bot, Adrian; Obrocea, Mihail</t>
  </si>
  <si>
    <t>Modified-Release Drug Delivery Technology : Modified Release Drug Delivery Technology, Volume 2</t>
  </si>
  <si>
    <t>Feminist Appraoches to Art Therapy</t>
  </si>
  <si>
    <t>Hogan, Susan</t>
  </si>
  <si>
    <t>Family Therapy : First Steps Towards a Systemic Approach</t>
  </si>
  <si>
    <t>Burnham, John B.</t>
  </si>
  <si>
    <t>Depression : The Way Out of Your Prison</t>
  </si>
  <si>
    <t>Rowe, Dorothy</t>
  </si>
  <si>
    <t>Cutting the Cost of Cold : Affordable Warmth for Healthier Homes</t>
  </si>
  <si>
    <t>Nicol, Fergus; Rudge, Janet; Boardman, Brenda</t>
  </si>
  <si>
    <t>The Taming of Solitude : Separation Anxiety in Psychoanalysis</t>
  </si>
  <si>
    <t>Quinodoz, Jean-Michel; Slotkin, Philip</t>
  </si>
  <si>
    <t>Illness : The Cry of the Flesh</t>
  </si>
  <si>
    <t>Carel, Havi</t>
  </si>
  <si>
    <t>Philosophy of Science and Psychiatry</t>
  </si>
  <si>
    <t>Acumen</t>
  </si>
  <si>
    <t>Ethical Choices in Contemporary Medicine</t>
  </si>
  <si>
    <t>Sassower, Raphael; Cutter, Mary Ann</t>
  </si>
  <si>
    <t>Alternative and Bio-Medicine in Israel : Boundaries and Bridges</t>
  </si>
  <si>
    <t>Academic Studies Press</t>
  </si>
  <si>
    <t>Shuval, Judith T.; Averbuch, Emma</t>
  </si>
  <si>
    <t>Granddaughters of the Holocaust : Never Forgetting What They Didn't Experience</t>
  </si>
  <si>
    <t>Gradwohl Pisano, Nirit</t>
  </si>
  <si>
    <t>Intersections : Gender, HIV, and Infrastructure Operations - Lessons from Selected ADB-Financed Transport Projects</t>
  </si>
  <si>
    <t>Asian Development Bank Institute</t>
  </si>
  <si>
    <t>Asian Development Bank Staff</t>
  </si>
  <si>
    <t>Social Science; Fine Arts; Health</t>
  </si>
  <si>
    <t>Asian Sanitation Data Book 2008</t>
  </si>
  <si>
    <t>Asian Development Bank</t>
  </si>
  <si>
    <t>Social Science; Health; Environmental Studies</t>
  </si>
  <si>
    <t>Guidebook on Public-Private Partnership in Hospital Management</t>
  </si>
  <si>
    <t>Velas-Suarin, Mary Anne; Suarin, Mary Anne Velas-; Asian Development Bank Staff</t>
  </si>
  <si>
    <t>Implementing HIV Prevention in the Context of Road Construction : A Case Study from Guangxi Zhuang Autonomous Region in the People's Republic of China</t>
  </si>
  <si>
    <t>Points to Consider : Responses to HIV/AIDS in Africa,Asia, and the Caribbean</t>
  </si>
  <si>
    <t>Adonis &amp; Abbey Publishers Ltd</t>
  </si>
  <si>
    <t>Gisselquist, David</t>
  </si>
  <si>
    <t>Health Services in Africa : Overcoming Challenges, Improving Outcomes</t>
  </si>
  <si>
    <t>Akukwe, Chinua</t>
  </si>
  <si>
    <t>Caregivers of Persons Living with HIV/AIDS in Kenya : An Ecological Perspective</t>
  </si>
  <si>
    <t>Gadling-Cole, Charnetta; Edmonds Crewe, Sandra; Joyner, Mildred C</t>
  </si>
  <si>
    <t>Arduous Climb : From the Creeks of the Niger Delta to Leading Obstetrician and University Chancellor</t>
  </si>
  <si>
    <t>Harrison, Kelsey</t>
  </si>
  <si>
    <t>As They See It</t>
  </si>
  <si>
    <t>Downing, Raymond</t>
  </si>
  <si>
    <t>Sowing the Seeds of Safe Motherhood in Sub-Saharan Africa</t>
  </si>
  <si>
    <t>Harrison, Kelsey A.</t>
  </si>
  <si>
    <t>Medicare Hospital Subsidies : Money in Search of a Purpose</t>
  </si>
  <si>
    <t>American Enterprise Institute for Public Policy Research</t>
  </si>
  <si>
    <t>Nicholson, Sean</t>
  </si>
  <si>
    <t>Sage of Seville : Ibn Zuhr, His Time and his Medical Legacy</t>
  </si>
  <si>
    <t>American University in Cairo Press</t>
  </si>
  <si>
    <t>Azar, Henry</t>
  </si>
  <si>
    <t>Gender, Behavior, and Health : Schistosomiasis Transmission and Control in Rural Egypt</t>
  </si>
  <si>
    <t>El Katsha, Samiha; Watts, Susan</t>
  </si>
  <si>
    <t>Roses in Salty Soil : Women and Depression in Egypt Today</t>
  </si>
  <si>
    <t>Mostafa, Dalia</t>
  </si>
  <si>
    <t>At Risk : Latino Children's Health</t>
  </si>
  <si>
    <t>Arte Público Press</t>
  </si>
  <si>
    <t>Perez-Escamilla, Rafael; Melgar-Quinonez, Hugo</t>
  </si>
  <si>
    <t>The Pharmacy Leadership Field Guide : Cases and Advice for Everyday Situations</t>
  </si>
  <si>
    <t>American Society of Health-System Pharmacists</t>
  </si>
  <si>
    <t>DeCoske, Michael; Tryon, Jennifer; White, Sara J.</t>
  </si>
  <si>
    <t>Concepts in Pharmacogenomics</t>
  </si>
  <si>
    <t>ASHP</t>
  </si>
  <si>
    <t>Zdanowicz, Martin M.</t>
  </si>
  <si>
    <t>Drug-Induced Diseases : Prevention, Detection, and Management</t>
  </si>
  <si>
    <t>Tisdale, James E.; Miller, Douglas A,</t>
  </si>
  <si>
    <t>Demystifying Opioid Conversion Calculations : A Guide for Effective Dosing</t>
  </si>
  <si>
    <t>McPherson, Mary Lynn</t>
  </si>
  <si>
    <t>Pharmacy in Public Health : Basics and Beyond</t>
  </si>
  <si>
    <t>Carter, Jean; Slack, Marion</t>
  </si>
  <si>
    <t>The Pharmacy Informatics Primer</t>
  </si>
  <si>
    <t>Dumitru, Doina; Gumpper, Karl</t>
  </si>
  <si>
    <t>Understanding Pharmacology for Pharmacy Technicians</t>
  </si>
  <si>
    <t>Stuhan, Mary Ann</t>
  </si>
  <si>
    <t>The Pharmacist's Guide to Evidence-Based Medicine for Clinical Decision Making</t>
  </si>
  <si>
    <t>Bryant, Patrick J.; Pace, Heather A.</t>
  </si>
  <si>
    <t>ASHP's Management Pearls</t>
  </si>
  <si>
    <t>Swartwood Ash, Deborah; Ash, Deborah Swartwood</t>
  </si>
  <si>
    <t>The Conscience of a Pharmacist : Essays on Vision and Leadership for a Profession</t>
  </si>
  <si>
    <t>Zellmer, Willam; Ashp,; Zellmer, Willam</t>
  </si>
  <si>
    <t>ASHP's Informatics Pearls</t>
  </si>
  <si>
    <t>Levin, Bonnie; Schlesselman, Michael</t>
  </si>
  <si>
    <t>Introduction to Hospital and Health-System Pharmacy Practice</t>
  </si>
  <si>
    <t>Holdford, David A.; Brown, Thomas R.</t>
  </si>
  <si>
    <t>The Legal Handbook for Pharmacy Technicians</t>
  </si>
  <si>
    <t>Darvey, Diane L.</t>
  </si>
  <si>
    <t>Best Practices for Hospital and Health-System Pharmacy 2012-2013</t>
  </si>
  <si>
    <t>Social Science; Pharmacy; Health; Medicine</t>
  </si>
  <si>
    <t>Cardiovascular Pharmacotherapy : A Point-of-Care Guide</t>
  </si>
  <si>
    <t>Crouch, Michael A.</t>
  </si>
  <si>
    <t>Assuring Continuous Complicance with Joint Commission Standards : A Pharmacy Guide</t>
  </si>
  <si>
    <t>Uselton, John P.; Kienle, Patricia; Murdaugh, Lee B.</t>
  </si>
  <si>
    <t>Compounding Sterile Preparations</t>
  </si>
  <si>
    <t>Buchanan, E. Clyde; Schneider, Phillip J.</t>
  </si>
  <si>
    <t>Pharmacy Technician Certification Review and Practice Exam</t>
  </si>
  <si>
    <t>Lacher, Barbara</t>
  </si>
  <si>
    <t>Concepts in Clinical Pharmacokinetics</t>
  </si>
  <si>
    <t>DiPiro, Joseph T.</t>
  </si>
  <si>
    <t>Managing and Leading : 44 Lessons Learned for Pharmacists</t>
  </si>
  <si>
    <t>Bush, Paul W.; Walesh, Stuart G.</t>
  </si>
  <si>
    <t>ASHP's Safety and Quality Pearls</t>
  </si>
  <si>
    <t>McNeil, Melodi J.; McNeil, Melodi J</t>
  </si>
  <si>
    <t>Women's Health Across the Lifespan : A Pharmacotherapeutic Approach</t>
  </si>
  <si>
    <t>Borgelt, Laura M.; O'Connell, Mary Beth; Smith, Judith A.; Calis, Karim Anton</t>
  </si>
  <si>
    <t>Manual for Pharmacy Technicians</t>
  </si>
  <si>
    <t>Bachenheimer, Bonnie S.</t>
  </si>
  <si>
    <t>ASHP's Clinical Pearls</t>
  </si>
  <si>
    <t>Canaday, Bruce</t>
  </si>
  <si>
    <t>Understanding Pharmacy Reimbursement</t>
  </si>
  <si>
    <t>Vogenberg, F. Randy; Vogenberg, F Randy</t>
  </si>
  <si>
    <t>Health; Pharmacy; Social Science; Medicine</t>
  </si>
  <si>
    <t>Medication Safety : A Guide for Health Care Facilities</t>
  </si>
  <si>
    <t>Manasse, Henri R.; Thompson, Kasey; Thompson, Kasey K</t>
  </si>
  <si>
    <t>Pediatric Injectable Drugs (The Teddy Bear Book)</t>
  </si>
  <si>
    <t>Phelps, Stephanie J.; Thompson, A. Jill; Hagemann, Tracy M.; Lee, Kelley R.</t>
  </si>
  <si>
    <t>Concepts in Clinical Pharmacokinetics : Sixth Edition</t>
  </si>
  <si>
    <t>Spruill, William; Wade, William; DiPiro, Joseph T.; Blouin, Robert A.; Pruemer, Jane M.</t>
  </si>
  <si>
    <t>Letters to a Young Pharmacist : Sage Advice on Life and Career from Extraordinary Pharmacists</t>
  </si>
  <si>
    <t>Cantrell, Susan A.; White, Sara J.; Scott, Bruce E.</t>
  </si>
  <si>
    <t>Pediatric Pharmacotherapy Self Assessment</t>
  </si>
  <si>
    <t>Benavides, Sandra; Phan, Hannah; Nahata, Milap C.; American Society of Health-System Pharmacists,</t>
  </si>
  <si>
    <t>Competence Assessment Tools for Health-System Pharmacists</t>
  </si>
  <si>
    <t>Murdaugh, Lee B.; American Society of Health-System Pharmacists,</t>
  </si>
  <si>
    <t>Medicinal Chemistry Self Assessment</t>
  </si>
  <si>
    <t>Zavod, Robin; Harrold, Marc</t>
  </si>
  <si>
    <t>Wisdom from the Pharmacy Leadership Trenches</t>
  </si>
  <si>
    <t>Clark, Toby; White, Sara J.</t>
  </si>
  <si>
    <t>Health Financing for the Developing World : Supporting Countries' Search for Viable Systems</t>
  </si>
  <si>
    <t>ASP</t>
  </si>
  <si>
    <t>Carrin, Guy</t>
  </si>
  <si>
    <t>Introducing a Human Dimension to Thai Health Care : the Case for Family Practice : Thesis Submitted in Fulfilment of the Requirements for the Award of the Degree of Doctor in the Medical Sciences by Yongyuth Pongsupap</t>
  </si>
  <si>
    <t>Pongsupap, Yongyuth</t>
  </si>
  <si>
    <t>Translation and Knowledge Mediation in Medical and Health Settings</t>
  </si>
  <si>
    <t>Montalt, Vicent; Shuttleworth, Mark</t>
  </si>
  <si>
    <t>Early Detection of Alzheimer's Disease : A Neuropsychological Approach</t>
  </si>
  <si>
    <t>Dierckx, Eva</t>
  </si>
  <si>
    <t>Life and Times of Guillaume Dupuytren, 1777-1835</t>
  </si>
  <si>
    <t>Wylock, Paul</t>
  </si>
  <si>
    <t>In Sickness and in Health : The Future of Medicine - Added Value and Global Access</t>
  </si>
  <si>
    <t>Wynants, Marleen</t>
  </si>
  <si>
    <t>Access to Medicines and Vaccines in the South : Coherence of Rules and Policies Applied by the European Union Commission</t>
  </si>
  <si>
    <t>Kingah, Stephen</t>
  </si>
  <si>
    <t>Beyond Reproduction : Women's Health, Activism, and Public Policy</t>
  </si>
  <si>
    <t>Fairleigh Dickinson University Press</t>
  </si>
  <si>
    <t>Baird, Karen</t>
  </si>
  <si>
    <t>Sino-American Friendship as Tradition and Challenge : Dr. Ailie Gale in China, 1908-1950</t>
  </si>
  <si>
    <t>Zaccarini, Maria C.</t>
  </si>
  <si>
    <t>Waterborne Pathogens</t>
  </si>
  <si>
    <t>American Water Works Assoc.</t>
  </si>
  <si>
    <t>AWWA Staff</t>
  </si>
  <si>
    <t>Managing Stress for Mental Fitness</t>
  </si>
  <si>
    <t>Course Technology Crisp</t>
  </si>
  <si>
    <t>Raber, Merill F.; Dyck, George; Crisp, Michael</t>
  </si>
  <si>
    <t>Case Examples of Music Therapy for Schizophrenia</t>
  </si>
  <si>
    <t>Barcelona Publishers</t>
  </si>
  <si>
    <t>Bruscia, Kenneth E.</t>
  </si>
  <si>
    <t>Case Examples of Music Therapy for Survivors of Abuse</t>
  </si>
  <si>
    <t>Case Examples of Music Therapy for Personality Disorders</t>
  </si>
  <si>
    <t>Case Examples of Music Therapy for Autism and Rett Syndrome</t>
  </si>
  <si>
    <t>Case Examples of Music Therapy for Substance Use Disorders</t>
  </si>
  <si>
    <t>Case Examples of Music Therapy for Alzheimer's Disease</t>
  </si>
  <si>
    <t>Case Examples of Music Therapy for Medical Conditions</t>
  </si>
  <si>
    <t>Case Examples of Music Therapy for End of Life</t>
  </si>
  <si>
    <t>Case Examples of Music Therapy for Multiple Disabilities</t>
  </si>
  <si>
    <t>Case Examples of Music Therapy for Developmental Problems in Learning and Communication</t>
  </si>
  <si>
    <t>Case Examples of Music Therapy for Event Trauma</t>
  </si>
  <si>
    <t>Case Examples of Music Therapy for Children with Emotional or Behavioral Problems</t>
  </si>
  <si>
    <t>Case Examples of Music Therapy for Mood Disorders</t>
  </si>
  <si>
    <t>Dictionary of Medical Terms</t>
  </si>
  <si>
    <t>Barron's Educational Series, Inc.</t>
  </si>
  <si>
    <t>Sell, Rebecca; Rothenberg, Mikel A.; Chapman, Charles</t>
  </si>
  <si>
    <t>Barron's P.C.A.T. : Pharmacy College Admission Test</t>
  </si>
  <si>
    <t>Chilsolm-Burns, Marie</t>
  </si>
  <si>
    <t>Cotton Dust Papers : Science, Politics, and Power in the Discovery of Byssinosis in the U.S.</t>
  </si>
  <si>
    <t>Baywood Publishing Company, Inc.</t>
  </si>
  <si>
    <t>Levenstein, Charles; DeLaurier, Gregory F.; Dunn, Mary Lee</t>
  </si>
  <si>
    <t>From Critical Science to Solutions : The Best of Scientific Solutions</t>
  </si>
  <si>
    <t>Clapp, Richard</t>
  </si>
  <si>
    <t>Who is Nursing Them? It Is Us : Neoliberalism, HIV/AIDS and the Occupational Health and Safety of South African Public Sector Nurses</t>
  </si>
  <si>
    <t>Zelnick, Jennifer R.; Levenstein, Charles; Forrant, Robert; Wooding, John</t>
  </si>
  <si>
    <t>A Cop Doc's Guide to Public Safety Complex Trauma Syndrome : Using Five Police Personality Styles</t>
  </si>
  <si>
    <t>Rudofossi, Daniel; Lund, Dale A.</t>
  </si>
  <si>
    <t>Robbery and Redemption : Cancer As Identity Theft</t>
  </si>
  <si>
    <t>Fiedler, Craig; Koppelman, Kent L.</t>
  </si>
  <si>
    <t>The Financial and Economic Crises and Their Impact on Health and Social Well-Being</t>
  </si>
  <si>
    <t>Navarro, Vicente; Muntaner, Carles</t>
  </si>
  <si>
    <t>Speak to Me : Grief, Love, and What Endures</t>
  </si>
  <si>
    <t>Beacon Press</t>
  </si>
  <si>
    <t>Hershman, Marcie</t>
  </si>
  <si>
    <t>Thief of Happiness : The Story of an Extraordinary Psychotherapy</t>
  </si>
  <si>
    <t>Friedman, Bonnie</t>
  </si>
  <si>
    <t>Blue Cotton Gown : A Midwife's Memoir</t>
  </si>
  <si>
    <t>Harman, Patricia</t>
  </si>
  <si>
    <t>Final Arc of Sky : A Memoir of Critical Care</t>
  </si>
  <si>
    <t>Culkin, Jennifer</t>
  </si>
  <si>
    <t>Dispatches from the Abortion Wars : The Costs of Fanaticism to Doctors, Patients, and the Rest of Us</t>
  </si>
  <si>
    <t>Joffe, Carole</t>
  </si>
  <si>
    <t>Protest Psychosis : How Schizophrenia Became a Black Disease</t>
  </si>
  <si>
    <t>Metzl, Jonathan M.</t>
  </si>
  <si>
    <t>Medicine in Translation : Journeys with My Patients</t>
  </si>
  <si>
    <t>Ofri, Danielle</t>
  </si>
  <si>
    <t>Match : Savior Siblings and One Family's Battle to Heal Their Daughter</t>
  </si>
  <si>
    <t>Whitehouse, Beth</t>
  </si>
  <si>
    <t>Portrait of Health in the United States : Major Statistical Trends and Guide to Resources 2001</t>
  </si>
  <si>
    <t>Bernan Associates</t>
  </si>
  <si>
    <t>Melnick, Daniel; Rouse, Beatrice A.</t>
  </si>
  <si>
    <t>Vital Statistics of the United States : Births, Life Expectancy, Deaths, and Selected Health Data</t>
  </si>
  <si>
    <t>Wendel, Helmut F.; Wendel, Christopher S.</t>
  </si>
  <si>
    <t>Sourcebook for Ancient Mesopotamian Medicine</t>
  </si>
  <si>
    <t>SBL Press</t>
  </si>
  <si>
    <t>Scurlock, JoAnn; Scurlock, Jo Ann</t>
  </si>
  <si>
    <t>A Profile in Alternative Medicine : The Eclectic Medical College of Cincinnati, 1835-1942</t>
  </si>
  <si>
    <t>The Kent State University Press</t>
  </si>
  <si>
    <t>Haller, Jr. John S.</t>
  </si>
  <si>
    <t>The CBT Toolbox : A Workbook for Clients and Clinicians</t>
  </si>
  <si>
    <t>Riggenbach PhD LPC, Jeff</t>
  </si>
  <si>
    <t>Mindfulness Skills Workbook For Clinicians and Clients : 111 Tools Techniques Activities &amp; Worksheets</t>
  </si>
  <si>
    <t>Burdick LCSWR BCN, Debra</t>
  </si>
  <si>
    <t>Animal-Assisted Psychotherapy : Theory, Issues, and Practice</t>
  </si>
  <si>
    <t>Purdue University Press</t>
  </si>
  <si>
    <t>Parish-Plass, Nancy</t>
  </si>
  <si>
    <t>The Country Doctor Revisited : A Twenty-First Century Reader</t>
  </si>
  <si>
    <t>Zink, Therese</t>
  </si>
  <si>
    <t>White Coats : Three Journeys through an American Medical School</t>
  </si>
  <si>
    <t>Marino, Jacqueline; Harrison, Tim</t>
  </si>
  <si>
    <t>Assessing Microbial Safety of Drinking Water Improving Approaches and Methods</t>
  </si>
  <si>
    <t>IWA Publishing</t>
  </si>
  <si>
    <t>Cotruvo, Al; Snozzi, Mario; Koster, Wolfgang</t>
  </si>
  <si>
    <t>Water Recreation and Disease Plausibility of Associated Infections : Acute Effects, Sequelae and Mortality</t>
  </si>
  <si>
    <t>Self-Regulation Interventions and Strategies : Keeping the Body Mind &amp; Emotions on Task in Children with Autism ADHD or Sensory Disorders</t>
  </si>
  <si>
    <t>Garland MOT OTR, Teresa</t>
  </si>
  <si>
    <t>Health Effects of Metals and Related Substances in Drinking Water</t>
  </si>
  <si>
    <t>Ferrante, Dr. Marco; Oliveri Conti, G.; Rasic-Milutinovic, Z.; Jovanovic, Dusan</t>
  </si>
  <si>
    <t>From Scattered to Centered : Understanding and Overcoming ADHD</t>
  </si>
  <si>
    <t>Maher, Alicia R.</t>
  </si>
  <si>
    <t>Overcoming Compassion Fatigue : A Practical Resilience Workbook</t>
  </si>
  <si>
    <t>Teater, Martha; Ludgate, John</t>
  </si>
  <si>
    <t>Co-Occurring Disorders : Integrated Assessment and Treatment of Substance Use and Mental Disorders</t>
  </si>
  <si>
    <t>Atkins, Charles</t>
  </si>
  <si>
    <t>Selective Mutism : An Assessment and Intervention Guide for Therapists, Educators Parents</t>
  </si>
  <si>
    <t>Kotrba, Aimee</t>
  </si>
  <si>
    <t>Clinician’s Guide to the Diagnosis and Treatment of Personality Disorders</t>
  </si>
  <si>
    <t>Fox, Daniel</t>
  </si>
  <si>
    <t>Dialectical Behavior Therapy Skills Training with Adolescents : A Practical Workbook for Therapists, Teens and Parents</t>
  </si>
  <si>
    <t>Eich, Jean</t>
  </si>
  <si>
    <t>Dictionary of Ophthalmology (English â Spanish || Spanish â English)  Diccionario de OftalmologÃ­a (EspaÃ±ol â InglÃ©s || InglÃ©s â EspaÃ±ol)</t>
  </si>
  <si>
    <t>Editorial Castilla La Vieja</t>
  </si>
  <si>
    <t>Hornak, Kenneth Allen</t>
  </si>
  <si>
    <t>Knowing God by Experience : The Spiritual Senses in the Theology of William of Auxerre</t>
  </si>
  <si>
    <t>Catholic University of America Press</t>
  </si>
  <si>
    <t>Coolman, Boyd Taylor</t>
  </si>
  <si>
    <t>Vital Conflicts in Medical Ethics : A Virtue Approach to Craniotomy and Tubal Pregnancies</t>
  </si>
  <si>
    <t>Rhonheimer, Martin; Murphy, William F.</t>
  </si>
  <si>
    <t>Ethics of Procreation and the Defense of Human Life : Contraception, Artficial Fertilization, and Abortion</t>
  </si>
  <si>
    <t>Medicine, Health Care, and Ethics : Catholic Voices</t>
  </si>
  <si>
    <t>Morris, John F.</t>
  </si>
  <si>
    <t>The Ethics of Organ Transplantation : A Beginner's Thomistic Ethics</t>
  </si>
  <si>
    <t>Jensen, Steven J.</t>
  </si>
  <si>
    <t>Buying Rx Drugs Online : Avoiding a Prescription for Disaster</t>
  </si>
  <si>
    <t>Course Technology</t>
  </si>
  <si>
    <t>Chase, Kate J.</t>
  </si>
  <si>
    <t>Jobsite First-Aid : A Field Guide for the Construction Industry</t>
  </si>
  <si>
    <t>Johnson, Dan</t>
  </si>
  <si>
    <t>Health, Hygiene and Eugenics in South-Eastern Europe In 1945</t>
  </si>
  <si>
    <t>Central European University Press</t>
  </si>
  <si>
    <t>Promitzer, Christian; Trubeta, Sevasti; Turda, Marius</t>
  </si>
  <si>
    <t>Medicine, Law, and the State in Imperial Russia</t>
  </si>
  <si>
    <t>Becker, Elisa</t>
  </si>
  <si>
    <t>Addressing the HIV/AIDS Pandemic : A U.S. Global AIDS Strategy for the Long Term</t>
  </si>
  <si>
    <t>Council on Foreign Relations</t>
  </si>
  <si>
    <t>Prion Biology &amp; Diseases</t>
  </si>
  <si>
    <t>Cold Spring Harbor Laboratory Press</t>
  </si>
  <si>
    <t>Prusiner, Stanley B.</t>
  </si>
  <si>
    <t>Cardiovascular System : Cold Spring Harbor Symposia on Quantitative Biology</t>
  </si>
  <si>
    <t>Stillman, Bruce ; Stewart, David J ; Cold Spring Harbor Laboratory Press</t>
  </si>
  <si>
    <t>Healing Together : The Labor-Management Partnership at Kaiser Permanente</t>
  </si>
  <si>
    <t>Cornell University Press</t>
  </si>
  <si>
    <t>Kochan, Thomas A.; Eaton, Adrienne E.; McKersie, Robert B.; Adler, Paul S.</t>
  </si>
  <si>
    <t>Inside Chronic Pain : An Intimate and Critical Account</t>
  </si>
  <si>
    <t>Heshusius, Lous; Fishman, Scott M.; Morris, David B.</t>
  </si>
  <si>
    <t>Biomedical Ambiguity : Race, Asthma, and the Contested Meaning of Genetic Research in the Caribbean</t>
  </si>
  <si>
    <t>Whitmarsh, Ian</t>
  </si>
  <si>
    <t>Differential Diagnoses : A Comparative History of Health Care Problems and Solutions in the United States and France</t>
  </si>
  <si>
    <t>Dutton, Paul V.</t>
  </si>
  <si>
    <t>When Chicken Soup isn't Enough : Stories of Nurses Standing Up for Themselves, Their Patients, and Their Profession</t>
  </si>
  <si>
    <t>Gordon, Suzanne</t>
  </si>
  <si>
    <t>Changing the Course of AIDS : Peer Education in South Africa and Its Lessons for the Global Crisis</t>
  </si>
  <si>
    <t>Dickinson, David; Deutsch, Charles</t>
  </si>
  <si>
    <t>My Imaginary Illness : A Journey into Uncertainty and Prejudice in Medical Diagnosis</t>
  </si>
  <si>
    <t>Atkins, Chloë G. K.; Hodges, Brian David; O'Connor, Bonnie Blair</t>
  </si>
  <si>
    <t>Motherhood, the Elephant in the Laboratory : Women Scientists Speak Out</t>
  </si>
  <si>
    <t>Monosson, Emily</t>
  </si>
  <si>
    <t>Circles of Exclusion : The Politics of Health Care in Israel</t>
  </si>
  <si>
    <t>Filc, Dani; Young, Quentin</t>
  </si>
  <si>
    <t>Blue-Green Coalitions : Fighting for Safe Workplaces and Healthy Communities</t>
  </si>
  <si>
    <t>Mayer, Brian</t>
  </si>
  <si>
    <t>Never Good Enough : Health Care Workers and the False Promise of Job Training</t>
  </si>
  <si>
    <t>Ducey, Ariel</t>
  </si>
  <si>
    <t>Changing Face of Medicine : Women Doctors and the Evolution of Health Care in America</t>
  </si>
  <si>
    <t>Boulis, Ann K.; Jacobs, Jerry A.</t>
  </si>
  <si>
    <t>Out of Practice : Fighting for Primary Care Medicine in America</t>
  </si>
  <si>
    <t>Barken, Frederick M.</t>
  </si>
  <si>
    <t>Phantom Billing, Fake Prescriptions, and the High Cost of Medicine : Health Care Fraud and What to Do about It</t>
  </si>
  <si>
    <t>Leap, Terry L.</t>
  </si>
  <si>
    <t>Divining without Seeds : The Case for Strengthening Laboratory Medicine in Africa</t>
  </si>
  <si>
    <t>Okeke, Iruka N.</t>
  </si>
  <si>
    <t>Socioeconomic Dimensions of HIV/AIDS in Africa : Challenges, Opportunities, and Misconceptions</t>
  </si>
  <si>
    <t>Sahn, David E.</t>
  </si>
  <si>
    <t>Vanishing Physician-Scientist?</t>
  </si>
  <si>
    <t>Schafer, Andrew I.</t>
  </si>
  <si>
    <t>Fields of Combat : Understanding PTSD among Veterans of Iraq and Afghanistan</t>
  </si>
  <si>
    <t>Finley, Erin P.</t>
  </si>
  <si>
    <t>The caring self : the work experiences of home care aides</t>
  </si>
  <si>
    <t>Stacey, Clare L.</t>
  </si>
  <si>
    <t>Safety in Numbers : Nurse-to-Patient Ratios and the Future of Health Care</t>
  </si>
  <si>
    <t>Gordon, Suzanne; Buchanan, John; Bretherton, Tanya</t>
  </si>
  <si>
    <t>Social Science; Nursing; Health</t>
  </si>
  <si>
    <t>Code Green : Money-Driven Hospitals and the Dismantling of Nursing</t>
  </si>
  <si>
    <t>Weinberg, Dana Beth; Gordon, Suzanne</t>
  </si>
  <si>
    <t>With God on Our Side : The Struggle for Workers' Rights in a Catholic Hospital</t>
  </si>
  <si>
    <t>Reich, Adam D.</t>
  </si>
  <si>
    <t>The World Health Organization between north and south</t>
  </si>
  <si>
    <t>Chorev, Nitsan</t>
  </si>
  <si>
    <t>The Complexities of Care : Nursing Reconsidered</t>
  </si>
  <si>
    <t>Nelson, Sioban; Gordon, Suzanne</t>
  </si>
  <si>
    <t>Nursing against the Odds : How Health Care Cost Cutting, Media Stereotypes, and Medical Hubris Undermine Nurses and Patient Care</t>
  </si>
  <si>
    <t>The contagious city : the politics of public health in early Philadelphia</t>
  </si>
  <si>
    <t>Finger, Simon</t>
  </si>
  <si>
    <t>First, Do Less Harm : Confronting the Inconvenient Problems of Patient Safety</t>
  </si>
  <si>
    <t>Koppel, Ross; Gordon, Suzanne</t>
  </si>
  <si>
    <t>The Big Squeeze : A Social and Political History of the Controversial Mammogram</t>
  </si>
  <si>
    <t>Reynolds, Handel</t>
  </si>
  <si>
    <t>Life Support : Three Nurses on the Front Lines</t>
  </si>
  <si>
    <t>Gordon, Suzanne; Fagin, Claire M.</t>
  </si>
  <si>
    <t>The Question of Competence : Reconsidering Medical Education in the Twenty-First Century</t>
  </si>
  <si>
    <t>Hodges, Brian D.; Lingard, Lorelei; Anderson, M. Brownell</t>
  </si>
  <si>
    <t>Beyond the Checklist : What Else Health Care Can Learn from Aviation Teamwork and Safety</t>
  </si>
  <si>
    <t>Gordon, Suzanne; Mendenhall, Patrick; O'Connor, Bonnie Blair; Sullenberger, Chesley B.</t>
  </si>
  <si>
    <t>Hidden Hunger : Gender and the Politics of Smarter Foods</t>
  </si>
  <si>
    <t>Kimura, Aya Hirata</t>
  </si>
  <si>
    <t>The Pathological family : Postwar America and the rise of family therapy</t>
  </si>
  <si>
    <t>Weinstein, Deborah</t>
  </si>
  <si>
    <t>Where Night Is Day : The World of the ICU</t>
  </si>
  <si>
    <t>Kelly, James</t>
  </si>
  <si>
    <t>A Disability of the Soul : An Ethnography of Schizophrenia and Mental Illness in Contemporary Japan</t>
  </si>
  <si>
    <t>Nakamura, Karen</t>
  </si>
  <si>
    <t>Cleaning Up : How Hospital Outsourcing Is Hurting Workers and Endangering Patients</t>
  </si>
  <si>
    <t>Zuberi, Dan</t>
  </si>
  <si>
    <t>Bedside Manners : Play and Workbook</t>
  </si>
  <si>
    <t>Gordon, Suzanne; Hayes, Lisa; Reeves, Scott; Leape, Lucian L.</t>
  </si>
  <si>
    <t>Creating the Health Care Team of the Future : The Toronto Model for Interprofessional Education and Practice</t>
  </si>
  <si>
    <t>Nelson, Sioban; Tassone, Maria; Hodges, Brian David</t>
  </si>
  <si>
    <t>Black Lung : Anatomy of a Public Health Disaster</t>
  </si>
  <si>
    <t>Derickson, Alan</t>
  </si>
  <si>
    <t>The Viral Network : A Pathography of the H1N1 Influenza Pandemic</t>
  </si>
  <si>
    <t>MacPhail, Theresa</t>
  </si>
  <si>
    <t>Voices in the Band : A Doctor, Her Patients, and How the Outlook on AIDS Care Changed from Doomed to Hopeful</t>
  </si>
  <si>
    <t>Ball, Susan C.</t>
  </si>
  <si>
    <t>Coherence Policy Markers for Psychoactive Substances</t>
  </si>
  <si>
    <t>Council of Europe</t>
  </si>
  <si>
    <t>Art and Madness</t>
  </si>
  <si>
    <t>The Davies Group, Publishers</t>
  </si>
  <si>
    <t>Guimón, José</t>
  </si>
  <si>
    <t>Logics of Delusion</t>
  </si>
  <si>
    <t>Bodei, Remo</t>
  </si>
  <si>
    <t>Nuclear Medicine : Radioactivity for Diagnosis and Therapy</t>
  </si>
  <si>
    <t>EDP Sciences</t>
  </si>
  <si>
    <t>Zimmermann, Richard</t>
  </si>
  <si>
    <t>Stress, Traumatismes et Insomnies</t>
  </si>
  <si>
    <t>Fresco, Jean-Pierre</t>
  </si>
  <si>
    <t>European Radiation Protection Course : Basics</t>
  </si>
  <si>
    <t>Massiot, Philippe; Vidal, Michel; Massiot, Philippe; Jimonet, Christine</t>
  </si>
  <si>
    <t>Emission Reduction Credit Trading Systems : An Overview of Recent Results and an Assessment of Best Practices</t>
  </si>
  <si>
    <t>Environmental Law Institute</t>
  </si>
  <si>
    <t>Swift, Byron</t>
  </si>
  <si>
    <t>Community Environmental Health Assessment Workbook : A Guide to Evaluating Your Community`s Health and Finding Ways to Improve It</t>
  </si>
  <si>
    <t>Locke, Paul A.; Keiner, Suellen T.</t>
  </si>
  <si>
    <t>Protecting Public Health at Superfund Sites : Can Institutional Controls Meet the Challenge</t>
  </si>
  <si>
    <t>Pendergrass, John A.</t>
  </si>
  <si>
    <t>The Role of Medical and Public Health Services in Sustainable Development</t>
  </si>
  <si>
    <t>Richards, Edward P.</t>
  </si>
  <si>
    <t>2012 Meet The Professor : Endocrine Case Management</t>
  </si>
  <si>
    <t>Endocrine Press</t>
  </si>
  <si>
    <t>The Endocrine Society; McCall, Anthony</t>
  </si>
  <si>
    <t>Diagnostic Dilemmas : Images In Endocrinology</t>
  </si>
  <si>
    <t>The Endocrine Society; Wartofsky, Leonard</t>
  </si>
  <si>
    <t>Clinical Approach To Endocrine and Metabolic Diseases</t>
  </si>
  <si>
    <t>The Endocrine Society; Ladenson, Paul</t>
  </si>
  <si>
    <t>The Endocrine Society</t>
  </si>
  <si>
    <t>2013 Meet The Professor : Endocrine Case Management</t>
  </si>
  <si>
    <t>Endocrine Society's Clinical Guidelines : 2013 Compendium of Clinical Practice Guidelines</t>
  </si>
  <si>
    <t>Endocrine Essentials : Endocrine Update for General Medicine</t>
  </si>
  <si>
    <t>GIS Tutorial for Health</t>
  </si>
  <si>
    <t>Esri Press</t>
  </si>
  <si>
    <t>Kurland, Kristen S.; Gorr, Wilpen L.</t>
  </si>
  <si>
    <t>Compendium of food additive specifications. Joint FAO/WHO Expert Committee on Food Additives. 76th meeting 2012</t>
  </si>
  <si>
    <t>FAO</t>
  </si>
  <si>
    <t>State of Food and Agriculture 2013 : Food Systems for Better Nutrition</t>
  </si>
  <si>
    <t>ESA/FAO</t>
  </si>
  <si>
    <t>FAO; Food and Agriculture Organization,</t>
  </si>
  <si>
    <t>Health; Social Science; Agriculture</t>
  </si>
  <si>
    <t>Global programme for the prevention and control of highly pathogenic avian influenza. Fifth report : January 2011 - January 2012</t>
  </si>
  <si>
    <t>Residue Evaluation Of Certain Veterinary Drugs. Joint Fao/Who Expert Committee On Food Additives. 75Th Meeting 2011</t>
  </si>
  <si>
    <t>FAO; Food and Agriculture Organization,; World Health Organization,</t>
  </si>
  <si>
    <t>Writings on Medicine</t>
  </si>
  <si>
    <t>Fordham University Press</t>
  </si>
  <si>
    <t>Canguilhem, Georges; Geroulanos, Stefanos; Meyers, Todd; Meyers, Todd</t>
  </si>
  <si>
    <t>The New Wounded : From Neurosis to Brain Damage</t>
  </si>
  <si>
    <t>Malabou, Catherine; Miller, Steven</t>
  </si>
  <si>
    <t>Tropical Medicine : A Clinical Text</t>
  </si>
  <si>
    <t>Cahill, Kevin M.</t>
  </si>
  <si>
    <t>Chagas Disease : History of a Continent's Scourge</t>
  </si>
  <si>
    <t>Delaporte, Franois; Meyers, Todd; Goldhammer, Arthur</t>
  </si>
  <si>
    <t>Deus in Machina : Religion, Technology, and the Things in Between</t>
  </si>
  <si>
    <t>Stolow, Jeremy</t>
  </si>
  <si>
    <t>Freud and the Scene of Trauma</t>
  </si>
  <si>
    <t>Fletcher, John</t>
  </si>
  <si>
    <t>Witnessing Witnessing : On the Reception of Holocaust Survivor Testimony</t>
  </si>
  <si>
    <t>Trezise, Thomas</t>
  </si>
  <si>
    <t>Affliction : Health, Disease, Poverty</t>
  </si>
  <si>
    <t>Das, Veena</t>
  </si>
  <si>
    <t>Dengue : Global Status</t>
  </si>
  <si>
    <t>GIDEON Informatics Inc</t>
  </si>
  <si>
    <t>Berger, Stephen</t>
  </si>
  <si>
    <t>Typhoid and Enteric Fever : Global Status</t>
  </si>
  <si>
    <t>Anthrax : Global Status</t>
  </si>
  <si>
    <t>GIDEON Guide to Antimicrobial Agents</t>
  </si>
  <si>
    <t>Taming the Troublesome Child : American Families, Child Guidance and the Limits of Psychiatric Authority</t>
  </si>
  <si>
    <t>Jones, Kathleen W.</t>
  </si>
  <si>
    <t>Gender, Emotion, and the Family</t>
  </si>
  <si>
    <t>Brody, Leslie; BRODY, Leslie</t>
  </si>
  <si>
    <t>Is It Me or My Meds? : Living with Antidepressants</t>
  </si>
  <si>
    <t>Karp, David A.; KARP, David Allen</t>
  </si>
  <si>
    <t>The Post-Revolutionary Self : Politics and Psyche in France, 1750-1850</t>
  </si>
  <si>
    <t>Goldstein, Jan; GOLDSTEIN, Jan</t>
  </si>
  <si>
    <t>Polio and Its Aftermath : The Paralysis of Culture</t>
  </si>
  <si>
    <t>Shell, Marc</t>
  </si>
  <si>
    <t>Stroke and the Family : A New Guide</t>
  </si>
  <si>
    <t>Stein, Joel; Stein, Joel M.D.</t>
  </si>
  <si>
    <t>Plants and Empire : Colonial Bioprospecting in the Atlantic World</t>
  </si>
  <si>
    <t>Schiebinger, Londa; Schiebinger, Londa L.</t>
  </si>
  <si>
    <t>Medicine; Science; Science: Botany</t>
  </si>
  <si>
    <t>Brain Arousal and Information Theory : Neural and Genetic Mechanisms</t>
  </si>
  <si>
    <t>Pfaff, Donald; PFAFF, Donald W</t>
  </si>
  <si>
    <t>The New Gay Teenager</t>
  </si>
  <si>
    <t>Savin-Williams, Ritch C.</t>
  </si>
  <si>
    <t>How Fat Works</t>
  </si>
  <si>
    <t>Wood, Philip A.</t>
  </si>
  <si>
    <t>Beyond the Zonules of Zinn : A Fantastic Journey Through Your Brain</t>
  </si>
  <si>
    <t>Bainbridge, David</t>
  </si>
  <si>
    <t>Real Kids : Creating Meaning in Everyday Life</t>
  </si>
  <si>
    <t>Engel, Susan L.; Engel, Susan</t>
  </si>
  <si>
    <t>Hysterical Men : The Hidden History of Male Nervous Illness</t>
  </si>
  <si>
    <t>Micale, Mark S.; MICALE, Mark S</t>
  </si>
  <si>
    <t>Hot and Bothered : Women, Medicine, and Menopause in Modern America</t>
  </si>
  <si>
    <t>Houck, Judith A.; HOUCK, Judith A</t>
  </si>
  <si>
    <t>Total Cure : The Antidote to the Health Care Crisis</t>
  </si>
  <si>
    <t>Luft, Harold S.</t>
  </si>
  <si>
    <t>Shaping the Industrial Century : The Remarkable Story of the Evolution of the Modern Chemical and Pharmaceutical Industries</t>
  </si>
  <si>
    <t>Chandler, Alfred D.; Chandler, Alfred Dupont</t>
  </si>
  <si>
    <t>Constructing Panic : The Discourse of Agoraphobia</t>
  </si>
  <si>
    <t>Capps, Lisa; Ochs, Elinor; CAPPS, Lisa.</t>
  </si>
  <si>
    <t>A Cursing Brain? : The Histories of Tourette Syndrome</t>
  </si>
  <si>
    <t>Kushner, Howard I.</t>
  </si>
  <si>
    <t>Families and Family Therapy</t>
  </si>
  <si>
    <t>Minuchin, Salvador; MINUCHIN, Salvador</t>
  </si>
  <si>
    <t>Hermaphrodites and the Medical Invention of Sex</t>
  </si>
  <si>
    <t>Dreger, Alice Domurat; DREGER, Alice Domurat</t>
  </si>
  <si>
    <t>Risk vs. Risk : Tradeoffs in Protecting Health and the Environment</t>
  </si>
  <si>
    <t>Wiener, Jonathan Baert; Graham, John D.; GRAHAM, John D.</t>
  </si>
  <si>
    <t>The Dread Disease : Cancer and Modern American Culture</t>
  </si>
  <si>
    <t>Patterson, James T.</t>
  </si>
  <si>
    <t>Heredity and Hope : The Case for Genetic Screening</t>
  </si>
  <si>
    <t>Fredrickson, George M.; COWAN, Ruth Schwartz</t>
  </si>
  <si>
    <t>On Fertile Ground : A Natural History of Human Reproduction</t>
  </si>
  <si>
    <t>Ellison, Peter T.; ELLISON, Peter Thorpe</t>
  </si>
  <si>
    <t>Science; Science: Anatomy/Physiology; Social Science</t>
  </si>
  <si>
    <t>Time-Limited Psychotherapy</t>
  </si>
  <si>
    <t>Mann, James; MANN, James</t>
  </si>
  <si>
    <t>Hearts of Wisdom : American Women Caring for Kin, 1850-1940</t>
  </si>
  <si>
    <t>Fat Talk : What Girls and Their Parents Say about Dieting</t>
  </si>
  <si>
    <t>Nichter, Mimi; NICHTER, Mimi</t>
  </si>
  <si>
    <t>Deadly Truth : A History of Disease in America</t>
  </si>
  <si>
    <t>Grob, Gerald N.</t>
  </si>
  <si>
    <t>Managed Care and Monopoly Power : The Antitrust Challenge</t>
  </si>
  <si>
    <t>Haas-Wilson, Deborah; HAAS-WILSON, Deborah</t>
  </si>
  <si>
    <t>Law; Business/Management; Economics</t>
  </si>
  <si>
    <t>Drug Addiction and Drug Policy : The Struggle to Control Dependence</t>
  </si>
  <si>
    <t>Brownsberger, William N.; Caulkins, Jonathan P.; Heyman, Gene M.; Kleiman, Mark; Moore, Mark H.; Reuter, Peter; Satel, Sally L.; Vaillant, George E.; Heymann, Philip B.; HEYMANN, Philip B.</t>
  </si>
  <si>
    <t>The Health Care Mess : How We Got into It and What It Will Take to Get Out</t>
  </si>
  <si>
    <t>Richmond, Julius B.; RICHMOND, Julius B.; Fein, Rashi</t>
  </si>
  <si>
    <t>L' Homme de Vérité : Neuroscience and Human Knowledge</t>
  </si>
  <si>
    <t>Changeux, Jean-Pierre; DeBevoise, M. B.</t>
  </si>
  <si>
    <t>Neural Plasticity : The Effects of Environment on the Development of the Cerebral Cortex</t>
  </si>
  <si>
    <t>Huttenlocher, Peter R.; HUTTENLOCHER, Peter R</t>
  </si>
  <si>
    <t>Needles, Herbs, Gods, and Ghosts : China, Healing, and the West to 1848</t>
  </si>
  <si>
    <t>Barnes, Linda L.; BARNES, Linda L.</t>
  </si>
  <si>
    <t>Spinal Cord Injury and the Family : A New Guide</t>
  </si>
  <si>
    <t>Alpert, Michelle J.; ALPERT, Michelle J.; Wisnia, Saul; Purcell, Ted</t>
  </si>
  <si>
    <t>African American Midwifery in the South : Dialogues of Birth, Race, and Memory</t>
  </si>
  <si>
    <t>Fraser, Gertrude Jacinta</t>
  </si>
  <si>
    <t>Creation of Psychopharmacology</t>
  </si>
  <si>
    <t>Body Heat : Temperature and Life on Earth</t>
  </si>
  <si>
    <t>Blumberg, Mark S.; BLUMBERG, Mark Samuel</t>
  </si>
  <si>
    <t>Whose View of Life? : Embryos, Cloning, and Stem Cells</t>
  </si>
  <si>
    <t>Maienschein, Jane; MAIENSCHEIN, Jane</t>
  </si>
  <si>
    <t>Rationalizing Epidemics : Meanings and Uses of American Indian Mortality since 1600</t>
  </si>
  <si>
    <t>Jones, David S.; JONES, David S.</t>
  </si>
  <si>
    <t>How to Win the Nobel Prize : An Unexpected Life in Science</t>
  </si>
  <si>
    <t>Bishop, J. Michael; BISHOP, J. Michael</t>
  </si>
  <si>
    <t>The Natural History of Alcoholism Revisited</t>
  </si>
  <si>
    <t>Vaillant, George E.; VAILLANT, George E.</t>
  </si>
  <si>
    <t>Family Therapy Techniques</t>
  </si>
  <si>
    <t>Minuchin, Salvador; Fishman, H. Charles; Fishman, H. Charles</t>
  </si>
  <si>
    <t>Death Investigation in America : Coroners, Medical Examiners, and the Pursuit of Medical Certainty</t>
  </si>
  <si>
    <t>Jentzen, Jeffrey M.</t>
  </si>
  <si>
    <t>The Monkey and the Inkpot : Natural History and Its Transformations in Early Modern China</t>
  </si>
  <si>
    <t>Nappi, Carla; Nappi, Carla Suzan</t>
  </si>
  <si>
    <t>Science; Science: General; Science: Biology/Natural History</t>
  </si>
  <si>
    <t>Biology Is Technology : The Promise, Peril, and New Business of Engineering Life</t>
  </si>
  <si>
    <t>Carlson, Robert H.</t>
  </si>
  <si>
    <t>Engineering; Science: Biology/Natural History; Science; Engineering: Chemical</t>
  </si>
  <si>
    <t>What Is Mental Illness?</t>
  </si>
  <si>
    <t>McNally, Richard J.</t>
  </si>
  <si>
    <t>Legally Poisoned : How the Law Puts Us at Risk from Toxicants</t>
  </si>
  <si>
    <t>Cranor, Carl F.</t>
  </si>
  <si>
    <t>Seeing Patients : Unconscious Bias in Health Care</t>
  </si>
  <si>
    <t>White, Augustus A., III; Chanoff, David; Chanoff, David</t>
  </si>
  <si>
    <t>American Madness : The Rise and Fall of Dementia Praecox</t>
  </si>
  <si>
    <t>Noll, Richard</t>
  </si>
  <si>
    <t>Invasion of the Body : Revolutions in Surgery</t>
  </si>
  <si>
    <t>Tilney, Nicholas L.</t>
  </si>
  <si>
    <t>Long Shot : Vaccines for National Defense</t>
  </si>
  <si>
    <t>Hoyt, Kendall</t>
  </si>
  <si>
    <t>The Omnivorous Mind : Our Evolving Relationship with Food</t>
  </si>
  <si>
    <t>Allen, John S.</t>
  </si>
  <si>
    <t>Mind, Modernity, Madness : The Impact of Culture on Human Experience</t>
  </si>
  <si>
    <t>Greenfeld, Liah</t>
  </si>
  <si>
    <t>Eugene Braunwald and the Rise of Modern Medicine</t>
  </si>
  <si>
    <t>Lee, Thomas H.</t>
  </si>
  <si>
    <t>Hospitalists : A Guide to Building and Sustaining a Successful Program</t>
  </si>
  <si>
    <t>Health Administration Press</t>
  </si>
  <si>
    <t>Miller, Joseph A.; Nelson, John; Whitcomb, Winthrop F.</t>
  </si>
  <si>
    <t>Healthcare Executive's Guide to Allocating Scarce Capital</t>
  </si>
  <si>
    <t>Sussman, Jason H.</t>
  </si>
  <si>
    <t>Going Lean : Busting Barriers to Patient Flow</t>
  </si>
  <si>
    <t>Smith, Amy C.; Barry, Robert; Brubaker, Cliff</t>
  </si>
  <si>
    <t>Inside the Physician Mind : Finding Common Ground with Doctors</t>
  </si>
  <si>
    <t>Bujak, Joseph S.</t>
  </si>
  <si>
    <t>Primary Care-Market Share Connection : How Hospitals Achieve Competitive Advantage</t>
  </si>
  <si>
    <t>Halley, Marc D.</t>
  </si>
  <si>
    <t>Marketing Matters : A Guide for Health Care Executives</t>
  </si>
  <si>
    <t>Thomas, Richard K.; Calhoun, Michael</t>
  </si>
  <si>
    <t>Reinventing the Patient Experience : Strategies for Hospital Leaders</t>
  </si>
  <si>
    <t>Christianson, Jon B.; Finch, Michael D.; Findlay, Barbara</t>
  </si>
  <si>
    <t>Toyota Way to Healthcare Excellence : Increase Efficiency and Improve Quality with Lean</t>
  </si>
  <si>
    <t>Black, John R.; Miller, David</t>
  </si>
  <si>
    <t>Beyond the Gift Shop : Boost Revenue, Your Brand, and Patient Satisfaction with Strategic Hospital Retail</t>
  </si>
  <si>
    <t>Thompson-Banko, Mindy</t>
  </si>
  <si>
    <t>Business/Management; Engineering: Manufacturing; Engineering</t>
  </si>
  <si>
    <t>Healthcare C-Suite : Leadership Development at the Top</t>
  </si>
  <si>
    <t>Garman, Andrew N.; Dye, Carson F.</t>
  </si>
  <si>
    <t>Creating Sustainable Physician-Hospital Strategies</t>
  </si>
  <si>
    <t>Warden, Jay</t>
  </si>
  <si>
    <t>Partnership of Equals : Practical Strategies for Healthcare CEOs and Their Boards</t>
  </si>
  <si>
    <t>McGinn, Peter</t>
  </si>
  <si>
    <t>Growing Leaders in Healthcare : Lessons from the Corporate World</t>
  </si>
  <si>
    <t>Lee, Brett D.; Herring, James W.</t>
  </si>
  <si>
    <t>Leading Healthcare Cultures : How Human Capital Drives Financial Performance</t>
  </si>
  <si>
    <t>Atchison, Thomas A.; Carlson, Greg</t>
  </si>
  <si>
    <t>Leadership in Healthcare : Essential Values and Skills</t>
  </si>
  <si>
    <t>Dye, Carson F.</t>
  </si>
  <si>
    <t>Best Practice Financial Management : Six Key Concepts for Healthcare Leaders</t>
  </si>
  <si>
    <t>Kaufman, Kenneth P.</t>
  </si>
  <si>
    <t>Anticipate, Respond, Recover : Healthcare Leadership and Catastrophic Events</t>
  </si>
  <si>
    <t>McGlown, K. Joanne; Robinson, Phillip</t>
  </si>
  <si>
    <t>Tyler's Guide : The Healthcare Executive's Job Search</t>
  </si>
  <si>
    <t>Tyler, J. Larry</t>
  </si>
  <si>
    <t>Make It Happen : Effective Execution in Healthcare Leadership</t>
  </si>
  <si>
    <t>McLaughlin, Daniel B.</t>
  </si>
  <si>
    <t>Reaching Excellence in Healthcare</t>
  </si>
  <si>
    <t>Griffith, John R.; White, Kenneth R.</t>
  </si>
  <si>
    <t>Consumer-Centric Healthcare : Opportunities and Challenges for Providers</t>
  </si>
  <si>
    <t>Konschak, Colin; Jarrell, Lindsey</t>
  </si>
  <si>
    <t>Getting It Done : Experienced Healthcare Leaders Reveal Field-Tested Strategies for Clinical and Financial Success</t>
  </si>
  <si>
    <t>Cohn, Kenneth H.; Fellows, Steven A.</t>
  </si>
  <si>
    <t>Healthcare Executive Compensation : A Guide for Leaders and Trustees</t>
  </si>
  <si>
    <t>Welch, Shari; Klauer, Kevin; Fontenot, Sarah Freymann</t>
  </si>
  <si>
    <t>Leading a Hospital Turnaround : A Practical Guide</t>
  </si>
  <si>
    <t>Developing Physician Leaders for Successful Clinical Integration</t>
  </si>
  <si>
    <t>Zidel, Thomas</t>
  </si>
  <si>
    <t>Tracks We Leave : Ethics and Management Dilemmas in Healthcare</t>
  </si>
  <si>
    <t>Taylor, Betsy Chapin</t>
  </si>
  <si>
    <t>Electronic Health Records : Strategies for Long-Term Success</t>
  </si>
  <si>
    <t>Rice, James; Perry, Frankie</t>
  </si>
  <si>
    <t>Inspired to Change : Improving Patient Care One Story at a Time</t>
  </si>
  <si>
    <t>Hospitals and Community Benefit : New Demands, New Approaches</t>
  </si>
  <si>
    <t>In Excellent Health : Setting the Record Straight on America's Health Care</t>
  </si>
  <si>
    <t>Atlas, Scott W.</t>
  </si>
  <si>
    <t>Eight Questions You Should Ask About Our Health Care System : (Even if the Answers Make You Sick)</t>
  </si>
  <si>
    <t>Phelps, Charles E.</t>
  </si>
  <si>
    <t>Health Reform without Side Effects : Making Markets Work for Individual Health Insurance</t>
  </si>
  <si>
    <t>Pauly, Mark V.</t>
  </si>
  <si>
    <t>Healthy, Wealthy, and Wise : Five Steps to a Better Health Care System</t>
  </si>
  <si>
    <t>Cogan, John F.; Hubbard, R. Glenn; Kessler, Daniel P.</t>
  </si>
  <si>
    <t>Power to the Patient : Selected Health Care Issues and Policy Solutions</t>
  </si>
  <si>
    <t>Atlas, MD, Scott W.; Pauly, Mark V.; Atlas, Scott W.</t>
  </si>
  <si>
    <t>Reforming America's Health Care System : The Flawed Vision of ObamaCare</t>
  </si>
  <si>
    <t>Diagnosis Corruption : Fraud in Latin America's Public Hospitals</t>
  </si>
  <si>
    <t>Inter-American Development Bank</t>
  </si>
  <si>
    <t>Di Tella, Rafael; D. Savedoff, William</t>
  </si>
  <si>
    <t>Servicios de salud en AmÃÂ©rica Latina</t>
  </si>
  <si>
    <t>Molina, Carlos Gerardo; NÃÂºÃÂ±ez del Arco, JosÃÂ©</t>
  </si>
  <si>
    <t>Informe Global de la CorrupciÃÂ³n : EdiciÃÂ³n de 2006  : CorrupciÃÂ³n y Salud</t>
  </si>
  <si>
    <t>Installation Qualification of IBM Systems and Storage for FDA Regulated Companies</t>
  </si>
  <si>
    <t>I B M</t>
  </si>
  <si>
    <t>IBM Redbooks</t>
  </si>
  <si>
    <t>AIDS, Drugs and Society</t>
  </si>
  <si>
    <t>International Debate Education Association</t>
  </si>
  <si>
    <t>Alexandrova, Anna</t>
  </si>
  <si>
    <t>Early Detection and Rehabilitation Technologies for Dementia : Neuroscience and Biomedical Applications</t>
  </si>
  <si>
    <t>IGI Global</t>
  </si>
  <si>
    <t>Wu, Jinglong</t>
  </si>
  <si>
    <t>Accidental Health Sciences Librarian</t>
  </si>
  <si>
    <t>Information Today, Inc.</t>
  </si>
  <si>
    <t>Ennis, Lisa A.; Mitchell, Nicole</t>
  </si>
  <si>
    <t>Library Science</t>
  </si>
  <si>
    <t>High Tech Trash : Digital Devices, Hidden Toxics, and Human Health</t>
  </si>
  <si>
    <t>Island Press</t>
  </si>
  <si>
    <t>Grossman, Elizabeth</t>
  </si>
  <si>
    <t>Engineering; Environmental Studies; Engineering: Environmental</t>
  </si>
  <si>
    <t>Urban Sprawl and Public Health : Designing, Planning, and Building for Healthy Communities</t>
  </si>
  <si>
    <t>Frumkin, Howard; Frank, Lawrence; Jackson, Richard J.</t>
  </si>
  <si>
    <t>Evolution in a Toxic World : How Life Responds to Chemical Threats</t>
  </si>
  <si>
    <t>Fighting Toxics : A Manual for Protecting Your Family, Community, and Workplace</t>
  </si>
  <si>
    <t>Bainbridge, David A.; National Toxics Campaign Staff; Cohen, Gary; O'Connor, John; Commoner, Barry</t>
  </si>
  <si>
    <t>Diagnosis : Mercury: Money, Politics, and Poison</t>
  </si>
  <si>
    <t>Hightower, Jane M.</t>
  </si>
  <si>
    <t>Orphan Drugs in Epilepsy</t>
  </si>
  <si>
    <t>Nikanorova, Marina; Johannessen, Svein I.; Genton, Pierre</t>
  </si>
  <si>
    <t>Medicine; General Works/Reference</t>
  </si>
  <si>
    <t>Dravet Syndrome</t>
  </si>
  <si>
    <t>Dravet, Charlotte; Guerrini Renzo</t>
  </si>
  <si>
    <t>Acute Seizures in Children in Emergency Setting</t>
  </si>
  <si>
    <t>Auvin, Stéphane; Sankar, Raman</t>
  </si>
  <si>
    <t>Progress in Epileptic Spasm and  West Syndrome</t>
  </si>
  <si>
    <t>Guzzetta, Franco; Bernardina, Bernardo Dalla; Guerrini, Renzo</t>
  </si>
  <si>
    <t>Epileptic Syndromes in Infancy, Childhood and Adolescence</t>
  </si>
  <si>
    <t>Bureau, Michelle; Genton, Pierre; Dravet, Charlotte; Delgado-Escueta, Antonio V.; Tassinari, Carlo Alberto; Thomas, Pierre; Wolf, Peter</t>
  </si>
  <si>
    <t>From First Unprovoked Seizure to Newly Diagnosted Epilepsy</t>
  </si>
  <si>
    <t>Ryvlin, Philippe; Beghi, Ettore; Camfield, Peter; Hesdorffer, Dale C.</t>
  </si>
  <si>
    <t>Reflex Epilepsies : Progress in understanding</t>
  </si>
  <si>
    <t>Wolf, Peter; Inoue, Yushi; Zifkin, Benjamin</t>
  </si>
  <si>
    <t>Generalized Seizures : From Clinical Phenomenology to Underlying Systems and Networks</t>
  </si>
  <si>
    <t>Hirsch, Edouard; Andermann, Frederick; Chauvel, Patrick; Engel, Jerome , Jr.; Silva, Fernando Lopes da; Luders, Hans</t>
  </si>
  <si>
    <t>Neurocutaneous Syndrome in Development Age</t>
  </si>
  <si>
    <t>Curatolo, Paolo; Riva, Daria</t>
  </si>
  <si>
    <t>Environmental Changes and Human Health 2012 : Zoonotic and Vector-borne diseases</t>
  </si>
  <si>
    <t>Armengaud, Alexis; Campbell-Lendrum, Diarmid; Delaunay, Pascal</t>
  </si>
  <si>
    <t>Journey into the heart of bipolarity</t>
  </si>
  <si>
    <t>Sellier, Marie; Bath, Jean-Paul; Nuss, Philippe</t>
  </si>
  <si>
    <t>Vaccinations : A History : From Lady Montagu to Jenner and Genetic Engineering</t>
  </si>
  <si>
    <t>Bazin, Hervé</t>
  </si>
  <si>
    <t>Transfusion medicine : The French model</t>
  </si>
  <si>
    <t>Beauplet, Alain; Courbil, Rémi; Ouazan, Jean-Marc</t>
  </si>
  <si>
    <t>My House Is Killing Me! : The Home Guide for Families with Allergies and Asthma</t>
  </si>
  <si>
    <t>Johns Hopkins University Press</t>
  </si>
  <si>
    <t>May, Jeffrey C.; Samet, Jonathan M.</t>
  </si>
  <si>
    <t>A Life Shaken : My Encounter with Parkinson's Disease</t>
  </si>
  <si>
    <t>Havemann, Joel; Reich, Stephen G.</t>
  </si>
  <si>
    <t>Eye Book : A Complete Guide to Eye Disorders and Health (Large Print Edition)</t>
  </si>
  <si>
    <t>Cassel M.D., Gary H.; Billig O.D., Michael D.; Randall M.D., Harry G.; Goldberg, Morton F.</t>
  </si>
  <si>
    <t>Telling the Stories of Life through Guided Autobiography Groups</t>
  </si>
  <si>
    <t>Birren, James E.; Cochran, Kathryn N.</t>
  </si>
  <si>
    <t>Ethical Patient Care : A Casebook for Geriatric Health Care Teams</t>
  </si>
  <si>
    <t>Mezey, Mathy D.; Cassel, Christine K.; Bottrell, Melissa M.; Howe, Judith L.; Fulmer, Terry T.; Hyer, Kathryn</t>
  </si>
  <si>
    <t>Medicine Moves to the Mall</t>
  </si>
  <si>
    <t>Sloane, David Charles; Sloane, Beverlie Conant</t>
  </si>
  <si>
    <t>Romanticism and Colonial Disease</t>
  </si>
  <si>
    <t>Bewell, Alan</t>
  </si>
  <si>
    <t>Literature; Medicine</t>
  </si>
  <si>
    <t>The Lost Art of Caring : A Challenge to Health Professionals, Families, Communities, and Society</t>
  </si>
  <si>
    <t>Cluff, Leighton E.; Binstock, Robert H.; Carter, Rosalynn</t>
  </si>
  <si>
    <t>Machines in Our Hearts : The Cardiac Pacemaker, the Implantable Defibrillator, and American Health Care</t>
  </si>
  <si>
    <t>Jeffrey, Kirk</t>
  </si>
  <si>
    <t>American Indian Health : Innovations in Health Care, Promotion, and Policy</t>
  </si>
  <si>
    <t>Rhoades, Everett R.</t>
  </si>
  <si>
    <t>Diagnosing Literary Genius : A Cultural History of Psychiatry in Russia, 1880-1930</t>
  </si>
  <si>
    <t>Sirotkina, Irina</t>
  </si>
  <si>
    <t>Bioethics in a Liberal Society : The Political Framework of Bioethics Decision Making</t>
  </si>
  <si>
    <t>May, Thomas</t>
  </si>
  <si>
    <t>Refined Tastes : Sugar, Confectionery, and Consumers in Nineteenth-Century America</t>
  </si>
  <si>
    <t>Woloson, Wendy A.</t>
  </si>
  <si>
    <t>The Medical Care of Terminally Ill Patients</t>
  </si>
  <si>
    <t>Enck, Robert E.</t>
  </si>
  <si>
    <t>Ecosystem Change and Public Health : A Global Perspective</t>
  </si>
  <si>
    <t>Aron, Joan L.; Patz, Jonathan A.</t>
  </si>
  <si>
    <t>Nonsurgical Sports Medicine : Preparticipation Exam through Rehabilitation</t>
  </si>
  <si>
    <t>Barry, N. Nichole; Dillingham, Michael F.; McGuire, James L.</t>
  </si>
  <si>
    <t>Descriptions and Prescriptions : Values, Mental Disorders, and the DSMs</t>
  </si>
  <si>
    <t>Sadler, John Z.</t>
  </si>
  <si>
    <t>Nursing Homes : The Family's Journey</t>
  </si>
  <si>
    <t>Silin, Peter S.</t>
  </si>
  <si>
    <t>The Case against Assisted Suicide : For the Right to End-of-Life Care</t>
  </si>
  <si>
    <t>Foley, Kathleen M.; Hendin, Herbert</t>
  </si>
  <si>
    <t>Ethical Issues in Biomedical Publication</t>
  </si>
  <si>
    <t>Jones, Anne Hudson; McLellan, Faith</t>
  </si>
  <si>
    <t>Bioethics in America : Origins and Cultural Politics</t>
  </si>
  <si>
    <t>Stevens, M. L. Tina</t>
  </si>
  <si>
    <t>Assisted Living : Needs, Practices, and Policies in Residential Care for the Elderly</t>
  </si>
  <si>
    <t>Zimmerman, Sheryl; Sloane, Philip D.; Eckert, J. Kevin; Lawton, M. Powell; Lawton, M. Powell</t>
  </si>
  <si>
    <t>Making Medicine Scientific : John Burdon Sanderson and the Culture of Victorian Science</t>
  </si>
  <si>
    <t>Romano, Terrie M.</t>
  </si>
  <si>
    <t>Malaria : Poverty, Race, and Public Health in the United States</t>
  </si>
  <si>
    <t>Humphreys, Margaret</t>
  </si>
  <si>
    <t>The Primary Care Physician's Guide to Common Psychiatric and Neurologic Problems : Advice on Evaluation and Treatment from Johns Hopkins</t>
  </si>
  <si>
    <t>Slavney, Phillip R.; Hurko, Orest</t>
  </si>
  <si>
    <t>No Place Like Home : A History of Nursing and Home Care in the United States</t>
  </si>
  <si>
    <t>Buhler-Wilkerson, Karen</t>
  </si>
  <si>
    <t>The Lazarus Case : Life-and-Death Issues in Neonatal Intensive Care</t>
  </si>
  <si>
    <t>Lantos, John D.</t>
  </si>
  <si>
    <t>Concepts of Alzheimer Disease : Biological, Clinical, and Cultural Perspectives</t>
  </si>
  <si>
    <t>Whitehouse, Peter J.; Maurer, Konrad; Ballenger, Jesse F.</t>
  </si>
  <si>
    <t>The Heart of a Child : What Families Need to Know about Heart Disorders in Children</t>
  </si>
  <si>
    <t>Neill, Catherine A.; Clark, Edward B.; Clark, Carleen</t>
  </si>
  <si>
    <t>Just and Lasting Change : When Communities Own Their Futures</t>
  </si>
  <si>
    <t>Taylor, Daniel C.; Taylor, Carl E.</t>
  </si>
  <si>
    <t>Respiratory Physiology of Newborn Mammals : A Comparative Perspective</t>
  </si>
  <si>
    <t>Mortola, Jacopo P.</t>
  </si>
  <si>
    <t>Bathsheba's Breast : Women, Cancer, and History</t>
  </si>
  <si>
    <t>Olson, James S.</t>
  </si>
  <si>
    <t>Johns Hopkins Guide to Diabetes : For Today and Tomorrow</t>
  </si>
  <si>
    <t>Saudek M.D., Christopher D.; Rubin Ph.D. CDE, Richard R.; Shump R.N. CDE, Cynthia S.</t>
  </si>
  <si>
    <t>Dementia : Presentations, Differential Diagnosis, and Nosology</t>
  </si>
  <si>
    <t>Emery, V. Olga B.; Oxman, Thomas E.</t>
  </si>
  <si>
    <t>Concepts of Psychiatry : Toward Understanding the Mind and Its Pathologies</t>
  </si>
  <si>
    <t>Ghaemi, S. Nassir; McHugh, Paul R.</t>
  </si>
  <si>
    <t>Cesarean Section : Understanding and Celebrating Your Baby's Birth</t>
  </si>
  <si>
    <t>Moore, Michele C.; de Costa, Caroline M.</t>
  </si>
  <si>
    <t>Living with Rheumatoid Arthritis</t>
  </si>
  <si>
    <t>Shlotzhauer, Tammi L. , M.D.; McGuire, James L. , M.D.; Ziminski, Carol M. , M.D.</t>
  </si>
  <si>
    <t>Governance of Teaching Hospitals : Turmoil at Penn and Hopkins</t>
  </si>
  <si>
    <t>Kastor, John A.</t>
  </si>
  <si>
    <t>Sexual Disorders : Perspectives on Diagnosis and Treatment</t>
  </si>
  <si>
    <t>Fagan, Peter J.; McH, Paul R.</t>
  </si>
  <si>
    <t>Useful Bodies : Humans in the Service of Medical Science in the Twentieth Century</t>
  </si>
  <si>
    <t>Goodman, Jordan; McElligott, Anthony; Marks, Lara</t>
  </si>
  <si>
    <t>Hysterectomy : Exploring Your Options</t>
  </si>
  <si>
    <t>Wallach, Edward E.; Eisenberg, Esther</t>
  </si>
  <si>
    <t>Understanding Sleeplessness : Perspectives on Insomnia</t>
  </si>
  <si>
    <t>Neubauer, David N.; McH, Paul R.</t>
  </si>
  <si>
    <t>Mind-Body Unity : A New Vision for Mind-Body Science and Medicine</t>
  </si>
  <si>
    <t>Dreher, Henry</t>
  </si>
  <si>
    <t>Integrated Treatment for Mood and Substance Use Disorders</t>
  </si>
  <si>
    <t>Westermeyer, Joseph J.; Weiss, Roger D.; Ziedonis, Douglas M.</t>
  </si>
  <si>
    <t>The Great Stink of Paris and the Nineteenth-Century Struggle against Filth and Germs</t>
  </si>
  <si>
    <t>Barnes, David S.</t>
  </si>
  <si>
    <t>Health; History; Social Science</t>
  </si>
  <si>
    <t>Better But Not Well : Mental Health Policy in the United States since 1950</t>
  </si>
  <si>
    <t>Frank, Richard G.; Glied, Sherry A.; Carter, Rosalynn</t>
  </si>
  <si>
    <t>Medicare Prospective Payment and the Shaping of U.S. Health Care</t>
  </si>
  <si>
    <t>Mayes, Rick; Berenson, Robert A.</t>
  </si>
  <si>
    <t>Adrenaline and the Inner World : An Introduction to Scientific Integrative Medicine</t>
  </si>
  <si>
    <t>Goldstein, David S.</t>
  </si>
  <si>
    <t>Surgically Shaping Children : Technology, Ethics, and the Pursuit of Normality</t>
  </si>
  <si>
    <t>Parens, Erik</t>
  </si>
  <si>
    <t>Making Sense of IBS : A Physician Answers Your Questions about Irritable Bowel Syndrome</t>
  </si>
  <si>
    <t>Lacy, Brian E.; Schaffer, Jackie</t>
  </si>
  <si>
    <t>Medicine by Design : The Practice and Promise of Biomedical Engineering</t>
  </si>
  <si>
    <t>Montaigne, Fen; Katona, Peter K.</t>
  </si>
  <si>
    <t>The Troubled Dream of Genetic Medicine : Ethnicity and Innovation in Tay-Sachs, Cystic Fibrosis, and Sickle Cell Disease</t>
  </si>
  <si>
    <t>Wailoo, Keith; Pemberton, Stephen</t>
  </si>
  <si>
    <t>Parkinson's Disease : A Complete Guide for Patients and Families</t>
  </si>
  <si>
    <t>Weiner, William J.; Shulman, Lisa M.; Lang, Anthony E.</t>
  </si>
  <si>
    <t>The Neurobiology of Autism</t>
  </si>
  <si>
    <t>Bauman, Margaret L.; Kemper, Thomas L.</t>
  </si>
  <si>
    <t>The Science of Orgasm</t>
  </si>
  <si>
    <t>Komisaruk, Barry R.; Beyer-Flores, Carlos; Whipple, Beverly</t>
  </si>
  <si>
    <t>Pregnancy and Parenting after Thirty-Five : Mid Life, New Life</t>
  </si>
  <si>
    <t>Medicine and the Market : Equity Versus Choice</t>
  </si>
  <si>
    <t>Callahan, Daniel; Wasunna, Angela A.</t>
  </si>
  <si>
    <t>Supporting the Caregiver in Dementia : A Guide for Health Care Professionals</t>
  </si>
  <si>
    <t>LoboPrabhu, Sheila M.; Molinari, Victor A.; Lomax, James W.</t>
  </si>
  <si>
    <t>Parkinson's Disease : A Complete Guide for Patients and Families (2nd Editon)</t>
  </si>
  <si>
    <t>Understanding Cancer : A Patient's Guide to Diagnosis, Prognosis, and Treatment</t>
  </si>
  <si>
    <t>Coleman, C. Norman; Halperin, Edward C.; Stovall, Ellen</t>
  </si>
  <si>
    <t>Persons, Humanity, and the Definition of Death</t>
  </si>
  <si>
    <t>Lizza, John P.</t>
  </si>
  <si>
    <t>Pneumonia Before Antibiotics : Therapeutic Evolution and Evaluation in Twentieth-Century America</t>
  </si>
  <si>
    <t>Podolsky, Scott H.</t>
  </si>
  <si>
    <t>Guide to Living with HIV Infection : Developed at the Johns Hopkins AIDS Clinic (6th Edition)</t>
  </si>
  <si>
    <t>Bartlett, John G.; Finkbeiner, Ann K.</t>
  </si>
  <si>
    <t>Cerebral Palsy : A Complete Guide for Caregiving</t>
  </si>
  <si>
    <t>Miller, Freeman; Bachrach, Steven J.; etc.,</t>
  </si>
  <si>
    <t>Neonatal Bioethics : The Moral Challenges of Medical Innovation</t>
  </si>
  <si>
    <t>Lantos, John D.; Meadow, William L.</t>
  </si>
  <si>
    <t>Governing Health : The Politics of Health Policy</t>
  </si>
  <si>
    <t>Weissert, Carol S.; Weissert, William G.</t>
  </si>
  <si>
    <t>Depression, the Mood Disease</t>
  </si>
  <si>
    <t>Mondimore, Francis Mark</t>
  </si>
  <si>
    <t>Journalists under Fire : The Psychological Hazards of Covering War</t>
  </si>
  <si>
    <t>Feinstein, Anthony; Hedges, Chris</t>
  </si>
  <si>
    <t>After Cancer Treatment : Heal Faster, Better, Stronger</t>
  </si>
  <si>
    <t>Silver, J. K.</t>
  </si>
  <si>
    <t>Designing a Better Day : Guidelines for Adult and Dementia Day Service Centers</t>
  </si>
  <si>
    <t>Diaz Moore, Keith; Geboy, Lyn Dally; Weisman, Gerald D.</t>
  </si>
  <si>
    <t>Understanding and Managing Your Child's Food Allergies</t>
  </si>
  <si>
    <t>Sicherer, Scott H.</t>
  </si>
  <si>
    <t>The Effects of Estrogen on Brain Function</t>
  </si>
  <si>
    <t>Rasgon, Natalie L.</t>
  </si>
  <si>
    <t>When Illness Goes Public : Celebrity Patients and How We Look at Medicine</t>
  </si>
  <si>
    <t>Narrative Matters : The Power of the Personal Essay in Health Policy</t>
  </si>
  <si>
    <t>Mullan, Fitzhugh; Ficklen, Ellen; Rubin, Kyna; Verghese, Abraham</t>
  </si>
  <si>
    <t>From Crib to Kindergarten : The Essential Child Safety Guide</t>
  </si>
  <si>
    <t>Drago, Dorothy A.</t>
  </si>
  <si>
    <t>The Medicalization of Society : On the Transformation of Human Conditions into Treatable Disorders</t>
  </si>
  <si>
    <t>Conrad, Peter</t>
  </si>
  <si>
    <t>The Ethics of Bioethics : Mapping the Moral Landscape</t>
  </si>
  <si>
    <t>Eckenwiler, Lisa A.; Cohn, Felicia G.</t>
  </si>
  <si>
    <t>The Great Plague : The Story of London's Most Deadly Year</t>
  </si>
  <si>
    <t>Moote, A. Lloyd; Moote, Dorothy C.</t>
  </si>
  <si>
    <t>Prescribing by Numbers : Drugs and the Definition of Disease</t>
  </si>
  <si>
    <t>Greene, Jeremy A.</t>
  </si>
  <si>
    <t>Working with Families of Psychiatric Inpatients : A Guide for Clinicians</t>
  </si>
  <si>
    <t>Heru, Alison M.; Drury, Laura M.</t>
  </si>
  <si>
    <t>Locating Medical History : The Stories and Their Meanings</t>
  </si>
  <si>
    <t>Huisman, Frank; Warner, John Harley</t>
  </si>
  <si>
    <t>Child Health in America : Making a Difference through Advocacy</t>
  </si>
  <si>
    <t>Palfrey, Judith S.</t>
  </si>
  <si>
    <t>Alcoholism in America : From Reconstruction to Prohibition</t>
  </si>
  <si>
    <t>Tracy, Sarah W.</t>
  </si>
  <si>
    <t>Shattered Nerves : How Science Is Solving Modern Medicine's Most Perplexing Problem</t>
  </si>
  <si>
    <t>Chase, Victor D.</t>
  </si>
  <si>
    <t>Leprosy in Premodern Medicine : A Malady of the Whole Body</t>
  </si>
  <si>
    <t>Demaitre, Luke</t>
  </si>
  <si>
    <t>The Estrogen Elixir : A History of Hormone Replacement Therapy in America</t>
  </si>
  <si>
    <t>Watkins, Elizabeth Siegel</t>
  </si>
  <si>
    <t>Planning for Uncertainty : Living Wills and Other Advance Directives for You and Your Family</t>
  </si>
  <si>
    <t>Doukas, David John; Reichel, William</t>
  </si>
  <si>
    <t>Innovation in Medical Technology : Ethical Issues and Challenges</t>
  </si>
  <si>
    <t>Eaton, Margaret L.; Kennedy, Donald</t>
  </si>
  <si>
    <t>The Ethics of Coercion in Mass Casualty Medicine</t>
  </si>
  <si>
    <t>Trotter, Griffin</t>
  </si>
  <si>
    <t>Menopause Matters : Your Guide to a Long and Healthy Life</t>
  </si>
  <si>
    <t>Edelman, Julia Schlam</t>
  </si>
  <si>
    <t>After Harm : Medical Error and the Ethics of Forgiveness</t>
  </si>
  <si>
    <t>Berlinger, Nancy</t>
  </si>
  <si>
    <t>The Soul in the Brain : The Cerebral Basis of Language, Art, and Belief</t>
  </si>
  <si>
    <t>Trimble, Michael R.</t>
  </si>
  <si>
    <t>Galen and the Rhetoric of Healing</t>
  </si>
  <si>
    <t>Mattern, Susan P.</t>
  </si>
  <si>
    <t>Uterine Fibroids : The Complete Guide</t>
  </si>
  <si>
    <t>Stewart, Elizabeth A.</t>
  </si>
  <si>
    <t>Last Call : Alcoholism and Recovery</t>
  </si>
  <si>
    <t>Hedblom, Jack H.; McH, Paul R.</t>
  </si>
  <si>
    <t>Our Present Complaint : American Medicine, Then and Now</t>
  </si>
  <si>
    <t>Rosenberg, Charles E.</t>
  </si>
  <si>
    <t>Handbook for Health Care Ethics Committees</t>
  </si>
  <si>
    <t>Post, Linda Farber; Blustein, Jeffrey; Dubler, Nancy Neveloff</t>
  </si>
  <si>
    <t>Planning Parenthood : Strategies for Success in Fertility Assistance, Adoption, and Surrogacy</t>
  </si>
  <si>
    <t>Clark, Rebecca A.; Richard-Davis, Gloria; Hayes, Jill; Murphy, Michelle; Theall, Katherine Pucheu; Murphy, Michelle</t>
  </si>
  <si>
    <t>Selling Teaching Hospitals and Practice Plans : George Washington and Georgetown Universities</t>
  </si>
  <si>
    <t>The Price of Perfection : Individualism and Society in the Era of Biomedical Enhancement</t>
  </si>
  <si>
    <t>Mehlman, Maxwell J.</t>
  </si>
  <si>
    <t>Forget Memory : Creating Better Lives for People with Dementia</t>
  </si>
  <si>
    <t>Basting, Anne Davis</t>
  </si>
  <si>
    <t>Seductive Delusions : How Everyday People Catch STDs</t>
  </si>
  <si>
    <t>Grimes, Jill</t>
  </si>
  <si>
    <t>Older Americans, Vital Communities : A Bold Vision for Societal Aging</t>
  </si>
  <si>
    <t>Achenbaum, W. Andrew</t>
  </si>
  <si>
    <t>Officer, Nurse, Woman : The Army Nurse Corps in the Vietnam War</t>
  </si>
  <si>
    <t>Vuic, Kara Dixon</t>
  </si>
  <si>
    <t>Medicine and Health Care in Early Christianity</t>
  </si>
  <si>
    <t>Ferngren, Gary B.</t>
  </si>
  <si>
    <t>Building Healthy Communities through Medical-Religious Partnerships</t>
  </si>
  <si>
    <t>Bennett, Richard G.; Hale, W. Daniel</t>
  </si>
  <si>
    <t>The Modern Period : Menstruation in Twentieth-Century America</t>
  </si>
  <si>
    <t>Freidenfelds, Lara</t>
  </si>
  <si>
    <t>Questioning the Premedical Paradigm : Enhancing Diversity in the Medical Profession a Century after the Flexner Report</t>
  </si>
  <si>
    <t>Barr, Donald A.</t>
  </si>
  <si>
    <t>The Great Pheromone Myth</t>
  </si>
  <si>
    <t>Doty, Richard L.</t>
  </si>
  <si>
    <t>Stay Healthy at Every Age : What Your Doctor Wants You to Know</t>
  </si>
  <si>
    <t>Nundy, Shantanu</t>
  </si>
  <si>
    <t>Nursing Homes and Assisted Living : The Family's Guide to Making Decisions and Getting Good Care (2nd Edition)</t>
  </si>
  <si>
    <t>Condom Nation : The U.S. Government's Sex Education Campaign from World War I to the Internet</t>
  </si>
  <si>
    <t>Lord, Alexandra M.</t>
  </si>
  <si>
    <t>Mortal Secrets : Truth and Lies in the Age of AIDS</t>
  </si>
  <si>
    <t>Klitzman, Robert; Bayer, Ronald</t>
  </si>
  <si>
    <t>Preventive Strikes : Women, Precancer, and Prophylactic Surgery</t>
  </si>
  <si>
    <t>Löwy, Ilana</t>
  </si>
  <si>
    <t>Getting What We Deserve : Health and Medical Care in America</t>
  </si>
  <si>
    <t>Sommer, Alfred</t>
  </si>
  <si>
    <t>Selling Beauty : Cosmetics, Commerce, and French Society, 1750–1830</t>
  </si>
  <si>
    <t>Martin, Morag</t>
  </si>
  <si>
    <t>Vaccine : The Debate in Modern America</t>
  </si>
  <si>
    <t>Largent, Mark A.</t>
  </si>
  <si>
    <t>The Morehouse Mystique : Becoming a Doctor at the Nation's Newest African American Medical School</t>
  </si>
  <si>
    <t>Gasman, Marybeth; Sullivan, Louis W.; Bush, Barbara</t>
  </si>
  <si>
    <t>Manly Meals and Mom's Home Cooking : Cookbooks and Gender in Modern America</t>
  </si>
  <si>
    <t>Neuhaus, Jessamyn</t>
  </si>
  <si>
    <t>Communities of Learned Experience : Epistolary Medicine in the Renaissance</t>
  </si>
  <si>
    <t>Siraisi, Nancy G.</t>
  </si>
  <si>
    <t>Imaging and Imagining the Fetus : The Development of Obstetric Ultrasound</t>
  </si>
  <si>
    <t>Nicolson, Malcolm; Fleming, John E. E.</t>
  </si>
  <si>
    <t>Psychiatric Consultation in Long-Term Care : A Guide for Health Care Professionals</t>
  </si>
  <si>
    <t>Desai, Abhilash K.; Grossberg, George T.</t>
  </si>
  <si>
    <t>Broken Hearts : The Tangled History of Cardiac Care</t>
  </si>
  <si>
    <t>Jones, David S.</t>
  </si>
  <si>
    <t>Ten Lessons in Public Health : Inspiration for Tomorrow's Leaders</t>
  </si>
  <si>
    <t>The Inevitable Hour : A History of Caring for Dying Patients in America</t>
  </si>
  <si>
    <t>Free Clinics : Local Responses to Health Care Needs</t>
  </si>
  <si>
    <t>Brennan, Virginia M.</t>
  </si>
  <si>
    <t>Speaking Honestly with Sick and Dying Children and Adolescents : Unlocking the Silence</t>
  </si>
  <si>
    <t>Niethammer, Dietrich; Schmeling-Kludas, Christoph; Nitschke, Ruprecht; Hill, Victoria W.</t>
  </si>
  <si>
    <t>Anxiety : A Short History</t>
  </si>
  <si>
    <t>Horwitz, Allan V.</t>
  </si>
  <si>
    <t>Ethical Issues in Rural Health Care</t>
  </si>
  <si>
    <t>Klugman, Craig M.; Dalinis, Pamela M.</t>
  </si>
  <si>
    <t>Social Science; Philosophy; Health</t>
  </si>
  <si>
    <t>The Soul of Medicine : Spiritual Perspectives and Clinical Practice</t>
  </si>
  <si>
    <t>Peteet, John R.; D'Ambra, Michael N.</t>
  </si>
  <si>
    <t>The Expert Cook in Enlightenment France</t>
  </si>
  <si>
    <t>Takats, Sean</t>
  </si>
  <si>
    <t>The PKU Paradox : A Short History of a Genetic Disease</t>
  </si>
  <si>
    <t>Paul, Diane B.; Brosco, Jeffrey P.</t>
  </si>
  <si>
    <t>Palliative Care for Infants, Children, and Adolescents : A Practical Handbook</t>
  </si>
  <si>
    <t>American Academy of Hospice and Palliative Medicine</t>
  </si>
  <si>
    <t>Carter, Brian S.; Levetown, Marcia; Friebert, Sarah E.</t>
  </si>
  <si>
    <t>The Psychotherapy of Hope : The Legacy of &lt;I&gt;Persuasion and Healing&lt;/I&gt;</t>
  </si>
  <si>
    <t>Alarcón, Renato D.; Frank, Julia B.; Alarcon, Renato D</t>
  </si>
  <si>
    <t>The Bleeding Disease : Hemophilia and the Unintended Consequences of Medical Progress</t>
  </si>
  <si>
    <t>Pemberton, Stephen</t>
  </si>
  <si>
    <t>A Clinician's Guide to Helping Children Cope and Cooperate with Medical Care : An Applied Behavioral Approach</t>
  </si>
  <si>
    <t>Slifer, Keith J.</t>
  </si>
  <si>
    <t>Noncommunicable Diseases in the Developing World : Addressing Gaps in Global Policy and Research</t>
  </si>
  <si>
    <t>Galambos, Louis; Sturchio, Jeffrey L.</t>
  </si>
  <si>
    <t>Aging Bones : A Short History of Osteoporosis</t>
  </si>
  <si>
    <t>Mental Health Issues and the University Student</t>
  </si>
  <si>
    <t>Iarovici, Doris</t>
  </si>
  <si>
    <t>Doctors Without Borders : Humanitarian Quests, Impossible Dreams of Médecins Sans Frontières</t>
  </si>
  <si>
    <t>Fox, Renée C.; Fox, Renee C</t>
  </si>
  <si>
    <t>Chronic Disease in the Twentieth Century : A History</t>
  </si>
  <si>
    <t>Pain : A Political History</t>
  </si>
  <si>
    <t>Wailoo, Keith</t>
  </si>
  <si>
    <t>Treatment of Child Abuse : Common Ground for Mental Health, Medical, and Legal Practitioners</t>
  </si>
  <si>
    <t>Reece, Robert M.; Hanson, Rochelle F.; Sargent, John; Mondale, Walter F.</t>
  </si>
  <si>
    <t>Aging Together : Dementia, Friendship, and Flourishing Communities</t>
  </si>
  <si>
    <t>McFadden, Susan H.; McFadden, John T.</t>
  </si>
  <si>
    <t>More Than Hot : A Short History of Fever</t>
  </si>
  <si>
    <t>Resilience and Aging : Research and Practice</t>
  </si>
  <si>
    <t>Lavretsky, Helen</t>
  </si>
  <si>
    <t>Pathologist of the Mind : Adolf Meyer and the Origins of American Psychiatry</t>
  </si>
  <si>
    <t>Lamb, S. D.</t>
  </si>
  <si>
    <t>Intolerant Bodies : A Short History of Autoimmunity</t>
  </si>
  <si>
    <t>Anderson, Warwick; Mackay, Ian R.</t>
  </si>
  <si>
    <t>Putting a Name to It : Diagnosis in Contemporary Society</t>
  </si>
  <si>
    <t>Jutel, Annemarie Goldstein; Conrad, Peter</t>
  </si>
  <si>
    <t>Mapping Disease Transmission Risk : Enriching Models Using Biogeography and Ecology</t>
  </si>
  <si>
    <t>Peterson, A. Townsend</t>
  </si>
  <si>
    <t>A Physician's Guide to Pain and Symptom Management in Cancer Patients</t>
  </si>
  <si>
    <t>Abrahm, Janet L.</t>
  </si>
  <si>
    <t>The Antibiotic Era : Reform, Resistance, and the Pursuit of a Rational Therapeutics</t>
  </si>
  <si>
    <t>Politics in the Corridor of Dying : AIDS Activism and Global Health Governance</t>
  </si>
  <si>
    <t>Chan, Jennifer</t>
  </si>
  <si>
    <t>Patients and Healers in the High Roman Empire</t>
  </si>
  <si>
    <t>Israelowich, Ido</t>
  </si>
  <si>
    <t>Ship's Surgeons of Dutch East India Company : Commerce and the Progress of Medicine in the Eighteenth Century</t>
  </si>
  <si>
    <t>Leiden University Press</t>
  </si>
  <si>
    <t>Bruijn, Iris</t>
  </si>
  <si>
    <t>Induction and Analysis of Antigen-Specific T Cell Responses in Melonoma Patients and Animal Models</t>
  </si>
  <si>
    <t>Bins, Adriaan</t>
  </si>
  <si>
    <t>Red Blood Cell Alloimmunization After Blood Transfusion</t>
  </si>
  <si>
    <t>Schonewille, Henk</t>
  </si>
  <si>
    <t>Representing Sounds and Spellings : Phonological Decline and Compensatory Working Memory in Acquired Hearing Impairment</t>
  </si>
  <si>
    <t>Linköping University Electronic Press</t>
  </si>
  <si>
    <t>Classon, Elisabet</t>
  </si>
  <si>
    <t>Guided Regeneration of the Human Skin : in vitro and in vivo studies</t>
  </si>
  <si>
    <t>Nyman, Erika</t>
  </si>
  <si>
    <t>Live long and Prosper : Health-promoting conditions at work</t>
  </si>
  <si>
    <t>Fagerlind Ståhl, Anna-Carin</t>
  </si>
  <si>
    <t>In the Fellowship of His Suffering : A Theological Interpretation of Mental Illness — A Focus on "Schizophrenia"</t>
  </si>
  <si>
    <t>The Lutterworth Press</t>
  </si>
  <si>
    <t>Hessamfar, Elahe</t>
  </si>
  <si>
    <t>People with Hyperactivity : Understanding and Managing Their Problems</t>
  </si>
  <si>
    <t>Mac Keith Press</t>
  </si>
  <si>
    <t>Angelman Syndrome</t>
  </si>
  <si>
    <t>Dan, Bernard</t>
  </si>
  <si>
    <t>Improving Hand Function in Children with Cerebral Palsy : Theory, Evidence and Intervention</t>
  </si>
  <si>
    <t>Eliasson, Ann-Christin; Burtner, Patricia A.</t>
  </si>
  <si>
    <t>Clinical Management of Craniosynostosis, The</t>
  </si>
  <si>
    <t>Hayward. Richard; Dunaway, David; Jones, Barry M</t>
  </si>
  <si>
    <t>Neurological Assessment in the First Two Years of Life</t>
  </si>
  <si>
    <t>Mercuri, Eugenio; Cioni, Giovanni</t>
  </si>
  <si>
    <t>Paediatric Orthotics</t>
  </si>
  <si>
    <t>Dias, Luciano; Morris, Christopher</t>
  </si>
  <si>
    <t>Management of Disorders of Bladder and Bowel Control in Childhood</t>
  </si>
  <si>
    <t>Nevéus, Tryggve</t>
  </si>
  <si>
    <t>Central Nervous System Tumours of Childhood</t>
  </si>
  <si>
    <t>Estlin, Eddy; Lowis, Stephen</t>
  </si>
  <si>
    <t>Postural Control : A Key Issue in Developmental Disorders</t>
  </si>
  <si>
    <t>Hadders-Algra, Mijna; Carlberg, Eva Brogren</t>
  </si>
  <si>
    <t>Placenta and Neurodisability</t>
  </si>
  <si>
    <t>Baker, Philip</t>
  </si>
  <si>
    <t>Alcohol, Drugs and Young People : Clinical approaches</t>
  </si>
  <si>
    <t>Gilvarry, Eilish; McArdle, Paul</t>
  </si>
  <si>
    <t>Handbook of Neurological Investigations in Children</t>
  </si>
  <si>
    <t>Stephenson, John P. B.; King, Mary</t>
  </si>
  <si>
    <t>Identification and Treatment of Gait Problems in Cerebral Palsy</t>
  </si>
  <si>
    <t>Gage, James R; Schwartz, Michael H.; Koop, Steven E.</t>
  </si>
  <si>
    <t>Shaking and Other Non-accidental Head Injuries in Children</t>
  </si>
  <si>
    <t>Minns, Robert A; Brown, J Keith</t>
  </si>
  <si>
    <t>Prechtl's Method on the Qualitative Assessment of General Movements in Preterm, Term and Young Infants</t>
  </si>
  <si>
    <t>Einspieler, Christa; Prechtl, Heinz F.R.; Bos, Arend F.; Cioni, Mercuri</t>
  </si>
  <si>
    <t>Inflammatory and Autoimmune Disorders of the Nervous System in Children</t>
  </si>
  <si>
    <t>Dale, Russell C; Vincent, Angela</t>
  </si>
  <si>
    <t>Cognitive and Behavioural Disorders of Epileptic Origin in Children</t>
  </si>
  <si>
    <t>Deonna, Thierry; Roulet-Perez, Eliane</t>
  </si>
  <si>
    <t>Visual impairment in children due to damage to the brain</t>
  </si>
  <si>
    <t>GORDON DUTTON; MARTIN BAX</t>
  </si>
  <si>
    <t>Comorbidities in Developmental Disorders</t>
  </si>
  <si>
    <t>MARTIN CO BAX; CHRISTOPHER GILLBERG</t>
  </si>
  <si>
    <t>Alcohol, Drugs and Medication in Pregnancy : The Long Term Outcome for the Child</t>
  </si>
  <si>
    <t>Preece, Philip M.; Riley, Edward P.</t>
  </si>
  <si>
    <t>Neonatal Behavioral Assessment Scale</t>
  </si>
  <si>
    <t>Nugent, Kevin J.; Brazelton, T. Berry</t>
  </si>
  <si>
    <t>Developing Human Brain : Growth and Adversities</t>
  </si>
  <si>
    <t>Gilles, Floyd H.; Nelson, Marvin D.; Gilles, F H</t>
  </si>
  <si>
    <t>Stroke and Cerebrovascular Disease in Childhood</t>
  </si>
  <si>
    <t>Ganesan, Vijeya; Kirkham, Fenella</t>
  </si>
  <si>
    <t>Cerebellar Disorders in Children</t>
  </si>
  <si>
    <t>Boltshauser, Eugen; Schmahmann, Jeremy</t>
  </si>
  <si>
    <t>Fetal Behaviour : A Neurodevelopmental Approach</t>
  </si>
  <si>
    <t>Einspieler, Christa; Prayer, Daniela; Prechtl, Heinz F.R.</t>
  </si>
  <si>
    <t>Leukodystrophies</t>
  </si>
  <si>
    <t>Raymond, V. Gerald; Fatemi, Ali; Naidu, Sakkubai</t>
  </si>
  <si>
    <t>Hemiplegia Handbook : For Parents and Professionals</t>
  </si>
  <si>
    <t>Barnes, Liz; Fairhurst, Charlie</t>
  </si>
  <si>
    <t>Clinical Aspects of Child Neurology in the First Year of Life</t>
  </si>
  <si>
    <t>Kennedy, Colin</t>
  </si>
  <si>
    <t>Acquired Brain Injury in the Fetus and Newborn</t>
  </si>
  <si>
    <t>Shevell, Michael; Miller, Steven</t>
  </si>
  <si>
    <t>Children with Neurodevelopmental Disabilities : The Essential Guide to Assessment and Management</t>
  </si>
  <si>
    <t>Seal, Arnab; Robinson, Gillian; Kelly, Anne M.</t>
  </si>
  <si>
    <t>Childhood Headache</t>
  </si>
  <si>
    <t>Physiotherapy and Occupational Therapy for People with Cerebral Palsy : A Problem-Based Approach to Assessment and Management</t>
  </si>
  <si>
    <t>Dodd, Barbara J.; Imms, Christine</t>
  </si>
  <si>
    <t>Feeding and Nutrition in Children with Neurodevelopmental Disability</t>
  </si>
  <si>
    <t>Sullivan, Peter B.</t>
  </si>
  <si>
    <t>Neurological Examination of the Child with Minor Neurological Dysfunction</t>
  </si>
  <si>
    <t>Hadders-Algra, Mijna</t>
  </si>
  <si>
    <t>Gross Motor Function Measure (GMFM-66 and GMFM-88) User's Manual</t>
  </si>
  <si>
    <t>Russell, Dianne J.; Rosenbaum, Peter L.; Wright, Marilyn; Avery, Lisa M.</t>
  </si>
  <si>
    <t>Central Nervous System Infections in Childhood</t>
  </si>
  <si>
    <t>Singhi, Pratibha; Griffin, Diane E.; Newton, Charles R.</t>
  </si>
  <si>
    <t>Down Syndrome : Current Perspectives</t>
  </si>
  <si>
    <t>Newton, Richard W.; Marder, Liz; Puri, Shiela</t>
  </si>
  <si>
    <t>Tics and Tourette Syndrome : Key Clinical Perspectives</t>
  </si>
  <si>
    <t>Freeman, Roger L.</t>
  </si>
  <si>
    <t>Whiplash and Other Useful Illnesses</t>
  </si>
  <si>
    <t>MQUP</t>
  </si>
  <si>
    <t>Malleson, Andrew</t>
  </si>
  <si>
    <t>Physician's Guide to Coping with Death and Dying</t>
  </si>
  <si>
    <t>Swanson MD, Jan</t>
  </si>
  <si>
    <t>Reconceiving Midwifery</t>
  </si>
  <si>
    <t>Bourgeault, Ivy  Lynn; Benoit, Cecilia</t>
  </si>
  <si>
    <t>Death Talk : The Case Against Euthanasia and Physician-Assisted Suicide</t>
  </si>
  <si>
    <t>Somerville, Margaret A.</t>
  </si>
  <si>
    <t>Jessie Luther at the Grenfell Mission</t>
  </si>
  <si>
    <t>Rompkey, Ronald; Rompkey, Ronald</t>
  </si>
  <si>
    <t>Negotiating Disease : Power and Cancer Care, 1900-1950</t>
  </si>
  <si>
    <t>Clow, Barbara</t>
  </si>
  <si>
    <t>Into the House of Old : A History of Residential Care in British Columbia</t>
  </si>
  <si>
    <t>Davies, Megan J.</t>
  </si>
  <si>
    <t>The Last Well Person : How to Stay Well Despite the Health-Care System</t>
  </si>
  <si>
    <t>McGill-Queen's University Press</t>
  </si>
  <si>
    <t>Best-Laid Plans : Health Care's Problems and Prospects</t>
  </si>
  <si>
    <t>McFarlane, Lawrie; Prado, Carlos</t>
  </si>
  <si>
    <t>Emotional and Interpersonal Dimensions of Health Services : Enriching the Art of Care with the Science of Care</t>
  </si>
  <si>
    <t>Dubé, Laurette; Ferland, Guylaine; Moskowitz</t>
  </si>
  <si>
    <t>J. B. Collip and the Evolution of Medical Research in Canada</t>
  </si>
  <si>
    <t>Li. A.</t>
  </si>
  <si>
    <t>For Patients of Moderate Means : A Social History of the Voluntary Public General Hospital in Canada, 1890-1950</t>
  </si>
  <si>
    <t>Gagan, David; Gagan, Rosemary R.</t>
  </si>
  <si>
    <t>Women, Health, and Nation : Canada and the United States since 1945</t>
  </si>
  <si>
    <t>Feldberg, Georgina; Ladd-Taylor, Molly</t>
  </si>
  <si>
    <t>Ontario Cancer Institute : Successes and Reverses at Sherbourne Street</t>
  </si>
  <si>
    <t>McCulloch, Ernest A.</t>
  </si>
  <si>
    <t>Local Hospitals in Ancien Régime France : Rationalization, Resistance, Renewal, 1530-1789</t>
  </si>
  <si>
    <t>Hickey, Daniel</t>
  </si>
  <si>
    <t>Sculptors and Physicians in Fifth-Century Greece : A Preliminary Study</t>
  </si>
  <si>
    <t>Métraux, Guy P.R.</t>
  </si>
  <si>
    <t>Labrador Memoir of Dr Harry Paddon, 1912-1938</t>
  </si>
  <si>
    <t>Paddon, Harry; Rompkey, Ronald</t>
  </si>
  <si>
    <t>Depression and the Social Environment : Research and Intervention with Neglected Populations</t>
  </si>
  <si>
    <t>Cappeliez, Philippe; Flynn, Robert J.</t>
  </si>
  <si>
    <t>Different Kind of Care : The Social Pediatrics Approach</t>
  </si>
  <si>
    <t>Julien, Gilles; Lieber, Kathe; Montreal Children's Hospital Staff</t>
  </si>
  <si>
    <t>Committed to the State Asylum : Insantity and Society in Nineteenth-Century Quebec and Ontario</t>
  </si>
  <si>
    <t>Moran, James E.</t>
  </si>
  <si>
    <t>Understand and Control Your Asthma</t>
  </si>
  <si>
    <t>Boutin, Hélène; Boulet, Louis-Philippe</t>
  </si>
  <si>
    <t>Cancer Stories : On Life and Suffering</t>
  </si>
  <si>
    <t>Gregory, David M.; Russell, Cynthia K.</t>
  </si>
  <si>
    <t>Risk and Responsibility</t>
  </si>
  <si>
    <t>Leiss, William; Chociolko, Christina</t>
  </si>
  <si>
    <t>Trials of Labour : The Re-emergence of Midwifery</t>
  </si>
  <si>
    <t>Burtch, Brian</t>
  </si>
  <si>
    <t>Mad Cows and Mother's Milk : The Perils of Poor Risk Communication</t>
  </si>
  <si>
    <t>Powell, Douglas; Leiss, William</t>
  </si>
  <si>
    <t>Risk, Science, and Politics : Regulating Toxic Substances in Canada and the United States</t>
  </si>
  <si>
    <t>Harrison, Kathryn; Hoberg, George</t>
  </si>
  <si>
    <t>Law; Environmental Studies</t>
  </si>
  <si>
    <t>Steps on the Road to Medicare : Why Saskatchewan Led the Way</t>
  </si>
  <si>
    <t>Houston, Stuart; Fedoruk, Sylvia O.</t>
  </si>
  <si>
    <t>St Mary's : The History of a London Teaching Hospital</t>
  </si>
  <si>
    <t>Heaman, E.A.</t>
  </si>
  <si>
    <t>Career Paths of Nursing Professionals : A Study of Employment Mobility</t>
  </si>
  <si>
    <t>Hiscott, Robert D.</t>
  </si>
  <si>
    <t>Island Doctor : John Mackieson and Medicine in Nineteenth-Century Prince Edward Island</t>
  </si>
  <si>
    <t>Shephard, David A. E.</t>
  </si>
  <si>
    <t>Current Perspectives on Nutrition and Health</t>
  </si>
  <si>
    <t>Carroll, Kenneth K.</t>
  </si>
  <si>
    <t>Medicine; Pharmacy; Health</t>
  </si>
  <si>
    <t>Diet, Nutrition, and Health</t>
  </si>
  <si>
    <t>Labour in the Laboratory : Medical Laboratory Workers in the Maritimes, 1900-1950</t>
  </si>
  <si>
    <t>Twohig, Peter</t>
  </si>
  <si>
    <t>Against the Current : The Memoirs of Boris Ragula</t>
  </si>
  <si>
    <t>Ragula Boris</t>
  </si>
  <si>
    <t>Mad Cows and Mothers Milk : The Perils of Poor Risk Communication</t>
  </si>
  <si>
    <t>Leiss, William</t>
  </si>
  <si>
    <t>Social Science; Engineering; Engineering: General</t>
  </si>
  <si>
    <t>Devotion to Their Science : Pioneer Women of Radioactivity</t>
  </si>
  <si>
    <t>Rayner-Canham, Marelene F.; Rayner-Canham, Geoffrey W.</t>
  </si>
  <si>
    <t>Body Counts : Medical Quantification in Historical and Sociological Perspectives / La Quantification Medicale, Perspectives Historiques et Sociologiques</t>
  </si>
  <si>
    <t>Jorland, Gerard; Opinel, Annick; Weisz, George</t>
  </si>
  <si>
    <t>Element of Hope : Radium and the Response to Cancer in Canada, 1900-1940</t>
  </si>
  <si>
    <t>Hayter, Charles</t>
  </si>
  <si>
    <t>Ethical Canary : Science, Society and the Human Spirit</t>
  </si>
  <si>
    <t>Somerville, M.</t>
  </si>
  <si>
    <t>Cystic Fibrosis and You : A Guide for Adolescents</t>
  </si>
  <si>
    <t>Korneluk, Y.G.</t>
  </si>
  <si>
    <t>McGill Medicine, Volume 2 : 1885-1936</t>
  </si>
  <si>
    <t>Hanaway Joseph; Darragh, James</t>
  </si>
  <si>
    <t>Push! : The Struggle for Midwifery in Ontario</t>
  </si>
  <si>
    <t>Bourgeault, Ivy Lynn</t>
  </si>
  <si>
    <t>Mental Health and Canadian Society : Historical Perspectives</t>
  </si>
  <si>
    <t>SARS in Context : Memory, History, and Policy</t>
  </si>
  <si>
    <t>Duffin, Jacalyn</t>
  </si>
  <si>
    <t>Adolescent Health : Policy, Science, and Human Rights</t>
  </si>
  <si>
    <t>Boyce, William; Roche, Jennifer</t>
  </si>
  <si>
    <t>Weariness of the Self : Diagnosing the History of Depression in the Contemporary Age</t>
  </si>
  <si>
    <t>Ehrenberg, Alain</t>
  </si>
  <si>
    <t>Tuberculosis Then and Now : Perspectives on the History of an Infectious Disease</t>
  </si>
  <si>
    <t>Condrau, Flurin</t>
  </si>
  <si>
    <t>SARS Unmasked : Risk Communication of Pandemics and Influenza in Canada</t>
  </si>
  <si>
    <t>Tyshenko, Michael G.; Paterson, Cathy</t>
  </si>
  <si>
    <t>Atlas of Congenital Cardiac Disease : New Edition</t>
  </si>
  <si>
    <t>Abbott, Maude E.; Fraser, Richard S.</t>
  </si>
  <si>
    <t>Lyndhurst : Canada's First Rehabilitation Centre for People with Spinal Cord Injuries, 1945-1998</t>
  </si>
  <si>
    <t>Reaume, Geoffrey</t>
  </si>
  <si>
    <t>Infection of the Innocents : Wet Nurses, Infants, and Syphilis in France, 1780-1900</t>
  </si>
  <si>
    <t>Sherwood, Joan</t>
  </si>
  <si>
    <t>Applied Research and Evaluation in Community Mental Health Services : An Update of Key Research Domains</t>
  </si>
  <si>
    <t>Vingilis, Evelyn; State, Stephen A.</t>
  </si>
  <si>
    <t>Canadian Medicare : We Need It and We Can Keep It</t>
  </si>
  <si>
    <t>Duckett, Stephen; Peetoom, Adrian</t>
  </si>
  <si>
    <t>Small Matters : Canadian Children in Sickness and Health, 1900-1940</t>
  </si>
  <si>
    <t>Gleason, Mona</t>
  </si>
  <si>
    <t>36 Steps on the Road to Medicare : How Saskatchewan Led the Way</t>
  </si>
  <si>
    <t>Houston, C. Stuart; Massie, Merle</t>
  </si>
  <si>
    <t>Health Care Federalism in Canada : Critical Junctures and Critical Perspectives</t>
  </si>
  <si>
    <t>Fierlbeck, Katherine; Lahey, William</t>
  </si>
  <si>
    <t>Death Talk, Second Edition : The Case Against Euthanasia and Physician-Assisted Suicide</t>
  </si>
  <si>
    <t>Somerville, Margaret</t>
  </si>
  <si>
    <t>Bethune in Spain</t>
  </si>
  <si>
    <t>Stewart, Roderick; Majada, Jesús</t>
  </si>
  <si>
    <t>Working Bodies : Chronic Illness in the Canadian Workplace</t>
  </si>
  <si>
    <t>Owen, Michelle; Stone, Sharon-Dale; Crooks, Valorie A.</t>
  </si>
  <si>
    <t>Psychiatry Disrupted : Theorizing Resistance and Crafting the (R)evolution</t>
  </si>
  <si>
    <t>Burstow, Bonnie; LeFrançois, Brenda A.; Diamond, Shaindl</t>
  </si>
  <si>
    <t>Bodily Subjects : Essays on Gender and Health, 1800-2000</t>
  </si>
  <si>
    <t>Light, Tracy Penny; Brookes, Barbara; Mitchinson, Wendy</t>
  </si>
  <si>
    <t>Expelling the Plague : The Health Office and the Implementation of Quarantine in Dubrovnik, 1377-1533</t>
  </si>
  <si>
    <t>Tomic, Zlata Blazina; Blazina, Vesna; Blazina Tomic, Zlata</t>
  </si>
  <si>
    <t>The Wonderful Art of the Eye : A Critical Edition of the Middle English Translation of His de Probatissimo Arte Oculorum</t>
  </si>
  <si>
    <t>Michigan State University Press</t>
  </si>
  <si>
    <t>Grassus, Benvenutus; Eldredge, L. M.</t>
  </si>
  <si>
    <t>The Quest for Cortisone</t>
  </si>
  <si>
    <t>Rooke, Thom; Rooke, Thom W.</t>
  </si>
  <si>
    <t>Bleeder : A Memoir</t>
  </si>
  <si>
    <t>Smoak, Shelby</t>
  </si>
  <si>
    <t>Anorexia and Mimetic Desire</t>
  </si>
  <si>
    <t>Girard, René</t>
  </si>
  <si>
    <t>Food in the Civil War Era : The North</t>
  </si>
  <si>
    <t>Veit, Helen Zoe</t>
  </si>
  <si>
    <t>The Ambivalence of Scarcity and Other Essays</t>
  </si>
  <si>
    <t>Dumouchel, Paul</t>
  </si>
  <si>
    <t>Microcircuits : The Interface between Neurons and Global Brain Function</t>
  </si>
  <si>
    <t>MIT Press</t>
  </si>
  <si>
    <t>Grillner, Sten; Graybiel, Ann M.; Graybiel, Ann M</t>
  </si>
  <si>
    <t>Building Genetic Medicine : Breast Cancer, Technology, and the Comparative Politics of Health Care</t>
  </si>
  <si>
    <t>Parthasarathy, Shobita; Bijker, Wiebe E.; Carlson, W. Bernard; Pinch, Trevor</t>
  </si>
  <si>
    <t>Working Minds : A Practitioner's Guide to Cognitive Task Analysis</t>
  </si>
  <si>
    <t>Crandall, Beth; Klein, Gary A.; Hoffman, Robert R.</t>
  </si>
  <si>
    <t>Healing Psychiatry : Bridging the Science/humanism Divide</t>
  </si>
  <si>
    <t>Brendel, David H.; Caplan, Arthur L.</t>
  </si>
  <si>
    <t>Feeling Pain and Being in Pain</t>
  </si>
  <si>
    <t>Grahek, Nikola; Dennett, Daniel C.</t>
  </si>
  <si>
    <t>Street Science : Community Knowledge and Environmental Health Justice</t>
  </si>
  <si>
    <t>Corburn, Jason</t>
  </si>
  <si>
    <t>Bioethics and Armed Conflict : Moral Dilemmas of Medicine and War</t>
  </si>
  <si>
    <t>Gross, Michael; Caplan, Arthur L.</t>
  </si>
  <si>
    <t>Against Bioethics</t>
  </si>
  <si>
    <t>Baron, Jonathan; Caplan, Arthur L.</t>
  </si>
  <si>
    <t>Perspectives on Imitation : From Neuroscience to Social Science</t>
  </si>
  <si>
    <t>Chater, Nick; Hurley, Susan</t>
  </si>
  <si>
    <t>Hurley, Susan; Chater, Nick</t>
  </si>
  <si>
    <t>Disorders of Volition</t>
  </si>
  <si>
    <t>Sebanz, Natalie; Prinz, Wolfgang; Ainslie, George; Dennett, Daniel C.; Grafman, Jordan</t>
  </si>
  <si>
    <t>Attachment and Bonding : A New Synthesis</t>
  </si>
  <si>
    <t>Carter, C. Sue; Ahnert, Lieselotte; Grossmann, K. E.; Hrdy, Sarah B.; Lamb, Michael E.; Porges, Stephen W.; Sachser, Norbert; Sachser, Norbert</t>
  </si>
  <si>
    <t>The Price of Smoking</t>
  </si>
  <si>
    <t>Sloan, Frank A.; Conover, Christopher; Ostermann, Jan; Taylor, Donald H., Jr.; Picone, Gabriel; Taylor, Donald H.</t>
  </si>
  <si>
    <t>Brain Fiction : Self-deception and the Riddle of Confabulation</t>
  </si>
  <si>
    <t>Hirstein, William; Dobson, Andrew</t>
  </si>
  <si>
    <t>Clearing the Air : The Health and Economic Damages of Air Pollution in China</t>
  </si>
  <si>
    <t>Ho, Mun S.; Nielsen, Chris P.</t>
  </si>
  <si>
    <t>Heredity Produced : At the Crossroads of Biology, Politics, and Culture, 1500-1870</t>
  </si>
  <si>
    <t>Müller-Wille, Staffan; Rheinberger, Hans-Jörg; Buchwald, Jed Z.</t>
  </si>
  <si>
    <t>Advances in Neural Information Processing Systems 19 : Proceedings of the 2006 Conference</t>
  </si>
  <si>
    <t>Schölkopf, Bernhard; Hofmann, Thomas; Platt, John</t>
  </si>
  <si>
    <t>Neurogenetic Developmental Disorders : Variation of Manifestation in Childhood</t>
  </si>
  <si>
    <t>Mazzocco, Michèle M.; Ross, Judith; Ross, Judith L</t>
  </si>
  <si>
    <t>Looking Within : A Sociocultural Examination of Fetoscopy</t>
  </si>
  <si>
    <t>Blizzard, Deborah; Caplan, Arthur L.</t>
  </si>
  <si>
    <t>Sex and the Brain : A Reader</t>
  </si>
  <si>
    <t>Einstein, Gillian</t>
  </si>
  <si>
    <t>The Healthcare Fix : Universal Insurance for All Americans</t>
  </si>
  <si>
    <t>Kotlikoff, Laurence J.</t>
  </si>
  <si>
    <t>Design and Destiny : Jewish and Christian Perspectives on Human Germline Modification</t>
  </si>
  <si>
    <t>Cole-Turner, Ronald; Caplan, Arthur L.</t>
  </si>
  <si>
    <t>Medical Malpractice</t>
  </si>
  <si>
    <t>Sloan, Frank A.; Chepke, Lindsey M.</t>
  </si>
  <si>
    <t>Law; Literature</t>
  </si>
  <si>
    <t>Midbrain Mutiny : The Picoeconomics and Neuroeconomics of Disordered Gambling : Economic Theory and Cognitive Science</t>
  </si>
  <si>
    <t>Ross, Don; Sharp, Carla; Spurrett, David; Vuchinich, Rudy E.</t>
  </si>
  <si>
    <t>The Asymmetrical Brain</t>
  </si>
  <si>
    <t>Hugdahl, Kenneth; Davidson, Richard J.</t>
  </si>
  <si>
    <t>Life Support : The Environment and Human Health</t>
  </si>
  <si>
    <t>McCally, Michael; McCally, Michael</t>
  </si>
  <si>
    <t>Is Human Nature Obsolete? : Genetics, Bioengineering, and the Future of the Human Condition</t>
  </si>
  <si>
    <t>Baillie, Harold W.; Casey, Timothy K.; Caplan, Arthur L.</t>
  </si>
  <si>
    <t>The Human Embryonic Stem Cell Debate : Science, Ethics, and Public Policy</t>
  </si>
  <si>
    <t>Lebacqz, Karen; Holland, Suzanne; Lebacqz, Karen; Zoloth, Laurie; Caplan, Arthur L.; Zoloth, Dr Laurie</t>
  </si>
  <si>
    <t>Philosophy; Science; Science: Anatomy/Physiology</t>
  </si>
  <si>
    <t>The Cognitive Neurosciences</t>
  </si>
  <si>
    <t>Gazzaniga, Michael S.</t>
  </si>
  <si>
    <t>The Psychopharmacology of Herbal Medicine : Plant Drugs That Alter Mind, Brain, and Behavior</t>
  </si>
  <si>
    <t>Spinella, Marcello</t>
  </si>
  <si>
    <t>The MIT Encyclopedia of Communication Disorders</t>
  </si>
  <si>
    <t>Incentives and Choice in Health Care</t>
  </si>
  <si>
    <t>Aaron, Henry J.; Berndt, Ernst R.; Cawley, John; Donohue, Julie M.; Gilleskie, Donna; Golden, Brian R.; Gowrisankaran, Gautam; Hsieh, Chee-Ruey; Sloan, Frank A.; Kasper, Hirschel</t>
  </si>
  <si>
    <t>Foundations in Social Neuroscience</t>
  </si>
  <si>
    <t>Cacioppo, John T.; Adolphs, Ralph; Berntson, Gary G.; Carter, C. Sue; Davidson, Richard J.; McClintock, Martha; McEwen, Bruce S.; Meaney, Michael; Schacter, Daniel L.; Sternberg, Esther M.</t>
  </si>
  <si>
    <t>Synesthesia : A Union of the Senses</t>
  </si>
  <si>
    <t>Cytowic, Richard E.</t>
  </si>
  <si>
    <t>Neurological Foundations of Cognitive Neuroscience</t>
  </si>
  <si>
    <t>D'Esposito, Mark; Gazzaniga, Michael S.; Mesulam, M.Marsel</t>
  </si>
  <si>
    <t>Better Than Conscious? : Decision Making, the Human Mind, and Implications for Institutions</t>
  </si>
  <si>
    <t>Engel, Christoph; Singer, Wolf; Boyd, Robert; Cohen, Jonathan; Glimcher, Paul W.; Kurzban, Robert; Lubell, Mark; McCabe, Kevin; Richerson, Peter J.; Stevens, Jeffrey R.</t>
  </si>
  <si>
    <t>Dyslexia, Learning, and the Brain</t>
  </si>
  <si>
    <t>Nicolson, Roderick I.; Fawcett, Angela</t>
  </si>
  <si>
    <t>Handbook of Developmental Cognitive Neuroscience</t>
  </si>
  <si>
    <t>Angulo-Barroso, Rosa M.; Aslin, Richard N.; Bardhan, Neil P.; Bauman, Melissa D.; Clayards, Meghan A.; Csibra, Gergely; Dannemiller, James L.; Ewing-Cobbs, Linda; Nelson, Charles A.; Luciana, Monica</t>
  </si>
  <si>
    <t>Conflicts of Conscience in Health Care : An Institutional Compromise</t>
  </si>
  <si>
    <t>Lynch, Holly Fernandez; Caplan, Arthur L.</t>
  </si>
  <si>
    <t>America's Food : What You Don't Know about What You Eat</t>
  </si>
  <si>
    <t>Blatt, Harvey</t>
  </si>
  <si>
    <t>Contagion and Chaos : Disease, Ecology, and National Security in the Era of Globalization</t>
  </si>
  <si>
    <t>Price-Smith, Andrew T.</t>
  </si>
  <si>
    <t>Wednesday Is Indigo Blue : Discovering the Brain of Synesthesia</t>
  </si>
  <si>
    <t>Cytowic, Richard E.; Eagleman, David M.; Nabokov, Dmitri</t>
  </si>
  <si>
    <t>The Social Neuroscience of Empathy</t>
  </si>
  <si>
    <t>Decety, Jean; Ickes, William; Batson, C. Daniel; Blair, Karina S.; Blair, R. J. R.; Bozarth, Jerold D.; Butler, Susan F.; Carlin, Michael; Carter, C. Sue; Craig, Kenneth D.</t>
  </si>
  <si>
    <t>Psychology; Philosophy</t>
  </si>
  <si>
    <t>The Ethics of Protocells : Moral and Social Implications of Creating Life in the Laboratory</t>
  </si>
  <si>
    <t>Bedau, Mark A.; Parke, Emily C.; Caplan, Arthur L.; Bennett, Gaymon; Cranor, Carl F.; Hessel, Andrew; Rabinow, Paul; Triant, Mark; Zoloth, Laurie; Hauskeller, Christine</t>
  </si>
  <si>
    <t>Engineering: Chemical; Philosophy; Engineering</t>
  </si>
  <si>
    <t>Health and Medicine on Display : International Expositions in the United States, 1876-1904</t>
  </si>
  <si>
    <t>Brown, Julie K.</t>
  </si>
  <si>
    <t>Brain Signal Analysis : Advances in Neuroelectric and Neuromagnetic Methods</t>
  </si>
  <si>
    <t>Cheyne, Douglas; Doesburg, Sam M.; Foxe, John J.; Green, Jessica J.; Herdman, Anthony T.; Liu-Ambrose, Teresa Y.; McDonald, John J.; Mickleborough, Marla J. S.; Nagamatsu, Lindsay S.; Handy, Todd C.</t>
  </si>
  <si>
    <t>Toward the Healthy City : People, Places, and the Politics of Urban Planning</t>
  </si>
  <si>
    <t>The Genetics of Cognitive Neuroscience</t>
  </si>
  <si>
    <t>Bigos, Kristin L.; Burdick, Katherine E.; Chen, Jingshan; Cummings, Jeffrey L.; Fan, Jin; Forbes, Erika E.; Fossella, John; Hariri, Ahmad R.; Goldberg, Terry E.; Weinberger, Daniel R.</t>
  </si>
  <si>
    <t>Chaos and Organization in Health Care</t>
  </si>
  <si>
    <t>Lee, Thomas H.; Mongan, James J.; Cushing-Kidney, Laura</t>
  </si>
  <si>
    <t>Computational Modeling Methods for Neuroscientists</t>
  </si>
  <si>
    <t>De Schutter, Erik; Calabrese, Ronald L.; Claiborne, Brenda; Cornelis, Hugo; Ermentrout, Bard; Harris, Kristen; Holmes, William R.; Huguenard, John R.; Jacobs, Gwen; Poggio, Tomaso A.</t>
  </si>
  <si>
    <t>A Hole in the Head : More Tales in the History of Neuroscience</t>
  </si>
  <si>
    <t>Gross, Charles G.</t>
  </si>
  <si>
    <t>Asylum : Inside the Closed World of State Mental Hospitals</t>
  </si>
  <si>
    <t>Payne, Christopher; Sacks, Oliver</t>
  </si>
  <si>
    <t>The Anatomy of Bias : How Neural Circuits Weigh the Options</t>
  </si>
  <si>
    <t>Lauwereyns, Jan</t>
  </si>
  <si>
    <t>Science: Biology/Natural History; Science; Psychology</t>
  </si>
  <si>
    <t>What Is Addiction?</t>
  </si>
  <si>
    <t>Bramen, Jennifer Ellison; Brandon, Karen O.; Brody, Arthur; Darkes, Jack; Goldman, Mark S.; Heyman, Gene M.; Ross, Don; Collins, Peter; Kincaid, Harold; Spurrett, David</t>
  </si>
  <si>
    <t>Health Care Turning Point : Why Single Payer Won't Work</t>
  </si>
  <si>
    <t>Battistella, Roger M.</t>
  </si>
  <si>
    <t>Biomedical Signal Analysis : Contemporary Methods and Applications</t>
  </si>
  <si>
    <t>Theis, Fabian J.; Meyer-Bäse, Anke</t>
  </si>
  <si>
    <t>The Cognitive Neuroscience of Mind : A Tribute to Michael S. Gazzaniga</t>
  </si>
  <si>
    <t>Gazzaniga, Michael S.; Chalupa, Leo M.; D'Esposito, Mark; Funnell, Margaret G.; Guerin, Scott A.; Heatherton, Todd F.; Reuter-Lorenz, Patricia A.; Baynes, Kathleen; Mangun, George R.; Phelps, Elizabeth A.</t>
  </si>
  <si>
    <t>Foundational Issues in Human Brain Mapping</t>
  </si>
  <si>
    <t>Bechtel, William; Glymour, Clark; Grill-Spector, Kalanit; Harman, Gilbert; Kanwisher, Nancy; Klein, Colin; Poldrack, Russell A.; Richardson, Robert C.; Hanson, Stephen José; Bunzl, Martin</t>
  </si>
  <si>
    <t>Pragmatic Neuroethics : Improving Treatment and Understanding of the Mind-brain</t>
  </si>
  <si>
    <t>Racine, Eric; Caplan, Arthur L.</t>
  </si>
  <si>
    <t>Health Informatics : A Patient-Centered Approach to Diabetes</t>
  </si>
  <si>
    <t>Abowd, Gregory; Ackerman, Mark S.; Bickmore, Timothy W.; Brown, Linda Lockett; Connelly, Kayte; DeShazo, Jonathan; Dosa, Nienke P.; Fiaola, Anthony; Hayes, Barbara M.; Aspray, William, Jr.</t>
  </si>
  <si>
    <t>Genetic Twists of Fate</t>
  </si>
  <si>
    <t>Fields, Stanley; Johnston, Mark</t>
  </si>
  <si>
    <t>Better Doctors, Better Patients, Better Decisions : Envisioning Health Care 2020</t>
  </si>
  <si>
    <t>Gigerenzer, Gerd; Gray, J. A. Muir; Diefenbach, Michael; Mulley, Albert G., Jr.; Légaré, France; Miron-Shatz, Talya; Nelson, David E.; Schulkin, Jay; Schwartz, Lisa M.; Schünemann, Holger</t>
  </si>
  <si>
    <t>When Johnny and Jane Come Marching Home : How All of Us Can Help Veterans</t>
  </si>
  <si>
    <t>Caplan, Paula J.</t>
  </si>
  <si>
    <t>Ethical Treatment of Depression : Autonomy Through Psychotherapy</t>
  </si>
  <si>
    <t>Biegler, Paul</t>
  </si>
  <si>
    <t>Cognitive Neuropsychiatry of Parkinson's Disease</t>
  </si>
  <si>
    <t>McNamara, Patrick</t>
  </si>
  <si>
    <t>Blind Vision : The Neuroscience of Visual Impairment</t>
  </si>
  <si>
    <t>Cattaneo, Zaira; Vecchi, Tomaso</t>
  </si>
  <si>
    <t>Infectious Behavior : Brain-Immune Connections in Autism, Schizophrenia, and Depression</t>
  </si>
  <si>
    <t>Patterson, Paul H.</t>
  </si>
  <si>
    <t>Parasites, Pathogens, and Progress : Diseases and Economic Development</t>
  </si>
  <si>
    <t>McGuire, Robert A.; Coelho, Philip R. P.</t>
  </si>
  <si>
    <t>Health; Economics; Social Science</t>
  </si>
  <si>
    <t>The Global Biopolitics of the IUD : How Science Constructs Contraceptive Users and Women′s Bodies</t>
  </si>
  <si>
    <t>Takeshita, Chikako; Bijker, Wiebe E.; Carlson, W. Bernard; Pinch, Trevor</t>
  </si>
  <si>
    <t>Biological Learning and Control : How the Brain Builds Representations, Predicts Events, and Makes Decisions</t>
  </si>
  <si>
    <t>Shadmehr, Reza; Mussa-Ivaldi, Sandro; Poggio, Tomaso A.; Sejnowski, Terrence J.</t>
  </si>
  <si>
    <t>Health Economics</t>
  </si>
  <si>
    <t>Sloan, Frank A.; Hsieh, Chee-Ruey</t>
  </si>
  <si>
    <t>The Ethics of Animal Research : Exploring the Controversy</t>
  </si>
  <si>
    <t>Bass, Robert; Rowlands, Mark; Garrett, Jeremy R.; Caplan, Arthur L.</t>
  </si>
  <si>
    <t>Disease Eradication in the 21st Century : Implications for Global Health</t>
  </si>
  <si>
    <t>Dowdle, Walter R.; Cochi, Stephen L.</t>
  </si>
  <si>
    <t>Mining the Biomedical Literature</t>
  </si>
  <si>
    <t>Shatkay, Hagit; Craven, Mark; Pevzner, Pavel A.</t>
  </si>
  <si>
    <t>Understanding Pain : An Enquiry into Pain Perception</t>
  </si>
  <si>
    <t>Cervero, Fernando</t>
  </si>
  <si>
    <t>Japan's Dietary Transition and Its Impacts</t>
  </si>
  <si>
    <t>Smil, Vaclav; Kobayashi, Kazuhiko; Gottlieb, Robert; Ho, Mun S.</t>
  </si>
  <si>
    <t>Discovering the Human Connectome</t>
  </si>
  <si>
    <t>Sporns, Olaf</t>
  </si>
  <si>
    <t>Ethics, Sexual Orientation, and Choices about Children</t>
  </si>
  <si>
    <t>Murphy, Timothy F.; Caplan, Arthur L.</t>
  </si>
  <si>
    <t>Social Science; Philosophy</t>
  </si>
  <si>
    <t>Applied Ethics in Mental Health Care : An Interdisciplinary Reader</t>
  </si>
  <si>
    <t>Sisti, Dominic A.; Rimon-Greenspan, Hila; Appelbaum, Paul S.; Brendel, David H.; Keefe, Jennifer Radden; Caplan, Arthur L.</t>
  </si>
  <si>
    <t>Research Misconduct Policy in Biomedicine : Beyond the Bad-Apple Approach</t>
  </si>
  <si>
    <t>Redman, Barbara K.; Caplan, Arthur L.</t>
  </si>
  <si>
    <t>Neuroscience : A Historical Introduction</t>
  </si>
  <si>
    <t>Glickstein, Mitchell</t>
  </si>
  <si>
    <t>A Metaphysics of Psychopathology</t>
  </si>
  <si>
    <t>Zachar, Peter; Dobson, Andrew</t>
  </si>
  <si>
    <t>Imperial Technoscience : Transnational Histories of MRI in the United States, Britain, and India</t>
  </si>
  <si>
    <t>Prasad, Amit; Bijker, Wiebe E.; Carlson, W. Bernard; Pinch, Trevor</t>
  </si>
  <si>
    <t>Eat, Cook, Grow : Mixing Human-Computer Interactions with Human-Food Interactions</t>
  </si>
  <si>
    <t>Baek, Joon Sang; Barden, Pollie; Baumer, Eric P. S.; Blevis, Eli; Comber, Robert; Duruz, Jean; Frosch, Katharina; Choi, Jaz Hee-jeong; Foth, Marcus; Hearn, Greg</t>
  </si>
  <si>
    <t>Classifying Psychopathology : Mental Kinds and Natural Kinds</t>
  </si>
  <si>
    <t>Graham, George, III; Haslam, Nick; Horwitz, Allan Kolski; Murphy, Dominic; Poland, Jeffrey; Potter, Nancy Nyquist; Ross, Don; Kincaid, Harold; Sullivan, Jacqueline A.; Dobson, Andrew</t>
  </si>
  <si>
    <t>Introduction to the Event-Related Potential Technique</t>
  </si>
  <si>
    <t>Luck, Steven J.</t>
  </si>
  <si>
    <t>Basic Bioethics : Human Subjects Research Regulation : Perspectives on the Future</t>
  </si>
  <si>
    <t>Braddock, Adam; Capron, Alexander Morgan; Clayton, Ellen Wright; Cox, Susan; Davis, Amy L.; Eckert, Hilary; Evans, Barbara J.; Feldman, Heidi Li; Cohen, I. Glenn; Caplan, Arthur L.</t>
  </si>
  <si>
    <t>The Politics of Invisibility : Public Knowledge about Radiation Health Effects after Chernobyl</t>
  </si>
  <si>
    <t>Kuchinskaya, Olga; Bowker, Geoffrey C.; Edwards, Paul N.</t>
  </si>
  <si>
    <t>Being Amoral : Psychopathy and Moral Incapacity</t>
  </si>
  <si>
    <t>Adshead, Gwen; Benn, Piers; Deigh, John; Felthous, Alan; Jacobs, Kerrin; Maibom, Heidi; Matthews, Eric; Sass, Henning; Schramme, Thomas; Dobson, Andrew</t>
  </si>
  <si>
    <t>Late-Talking Children : A Symptom or a Stage?</t>
  </si>
  <si>
    <t>Camarata, Stephen M.</t>
  </si>
  <si>
    <t>The Genealogy of a Gene : Patents, HIV/AIDS, and Race</t>
  </si>
  <si>
    <t>Jackson, Myles W.; Buchwald, Jed Z.</t>
  </si>
  <si>
    <t>The Censor's Hand : The Misregulation of Human-Subject Research</t>
  </si>
  <si>
    <t>Schneider, Carl E.; Caplan, Arthur L.</t>
  </si>
  <si>
    <t>Foundations of Christian Bioethics</t>
  </si>
  <si>
    <t>Scrivener Publishing</t>
  </si>
  <si>
    <t>Engelhardt, H. Tristram</t>
  </si>
  <si>
    <t>Innovation and the Pharmaceutical Industry : Critical Reflections on the Virtues of Profit</t>
  </si>
  <si>
    <t>Engelhardt, H. Tristram; Garrett, Jeremy R.</t>
  </si>
  <si>
    <t>Children and Youth</t>
  </si>
  <si>
    <t>Editions MultiMondes</t>
  </si>
  <si>
    <t>National Forum on Health</t>
  </si>
  <si>
    <t>Adults and Seniors</t>
  </si>
  <si>
    <t>Settings and Issues</t>
  </si>
  <si>
    <t>De Quervain’s tenosynovitis</t>
  </si>
  <si>
    <t>Rossignol, Michel</t>
  </si>
  <si>
    <t>Health Care Systems in Canada and Elsewhere</t>
  </si>
  <si>
    <t>Carpal tunnel syndrome</t>
  </si>
  <si>
    <t>Shoulder tendinitis</t>
  </si>
  <si>
    <t>Evidence and information</t>
  </si>
  <si>
    <t>Responsible Research : A Systems Approach to Protecting Research Participants</t>
  </si>
  <si>
    <t>National Academies Press</t>
  </si>
  <si>
    <t>Federman, Daniel D.; Hanna, Kathi E.; Rodriguez, Laura Lyman; Committee on Assessing the System for Protecting Human Research Participants,; National Academy of Sciences,; Rodriguez, Laura Lyman</t>
  </si>
  <si>
    <t>When Children Die : Improving Palliative and End-Of-Life Care for Children and Their Families</t>
  </si>
  <si>
    <t>Institute of Medicine, Committee on Palliative and End-of-Life Care for Children and Their Families; Field, Marilyn J.; Behrman, Richard E.; Committee on Palliative and End-of-Life Care for Children and Their Families,; Field, Marilyn J.; Behrman, Richard E.</t>
  </si>
  <si>
    <t>Offspring : Human Fertility Behavior in Biodemographic Perspective : Proceedings of a Workshop</t>
  </si>
  <si>
    <t>Wachter, Kenneth W.; Bulatao, Rodolfo A.; Division of Behavioral and Social Sciences and Education,; National Research Council,; Wachter, Kenneth W.; Bulatao, Rodolfo A.</t>
  </si>
  <si>
    <t>Science; Science: Biology/Natural History; Social Science</t>
  </si>
  <si>
    <t>Resistance Phenomenon in Microbes and Infectious Disease Vectors : Implications for Human Health and Strategies for Containment : Workshop Summary</t>
  </si>
  <si>
    <t>Institute of Medicine (U.S.), Forum on Emerging Infections Staff; Knobler, Stacey; Institute of Medicine,; Knobler, Stacey L.; Lemon, Stanley M.; Najafi, Marian; Burroughs, Tom</t>
  </si>
  <si>
    <t>Toxicologic Assessment of Jet-Propulsion Fuel 8</t>
  </si>
  <si>
    <t>Subcommittee on Jet-Propulsion Fuel 8; Committee on Toxicology; National Research Council; Division on Earth and Life Studies,; National Research Council,; National Academy of Sciences,</t>
  </si>
  <si>
    <t>Speaking of Health : Assessing Health Communication Strategies for Diverse Populations</t>
  </si>
  <si>
    <t>Institute of Medicine Staff; Institute of Medicine,; Committee on Communication for Behavior Change in the 21st Century,</t>
  </si>
  <si>
    <t>Perspectives on the Department of Defense Global Emerging Infections Surveillance and Response System : A Program Review</t>
  </si>
  <si>
    <t>Miller, Richard N.; Brachman, Philip S.; O'Maonaigh, Heather C.</t>
  </si>
  <si>
    <t>Is Soccer Bad for Children's Heads? : Summary of the IOM Workshop on Neuropsychologucal Consequences of Head Impact in Youth Soccer</t>
  </si>
  <si>
    <t>Institute of Medicine Staff; Joy, Janet E.; Board on Neuroscience and Behavioral Health,; Institute of Medicine,; National Academy of Sciences,</t>
  </si>
  <si>
    <t>Status of the Dosimetry for the Radiation Effects Research Foundation (DS86)</t>
  </si>
  <si>
    <t>Committee on Dosimetry for the Radiation Effects Research Foundation; Board on Radiation Effects Research Staff; National Research Council Staff; National Research Council,; National Academy of Sciences,</t>
  </si>
  <si>
    <t>Immunization Safety Review : Multiple Immunizations and Immune Dysfunction</t>
  </si>
  <si>
    <t>Institute of Medicine Staff; Stratton, Kathleen; Wilson, Christopher B.</t>
  </si>
  <si>
    <t>Tuberculosis in the Workplace</t>
  </si>
  <si>
    <t>Institute of Medicine, Committee on Regulating Occupational Exposure to Tuberculosis; Field, Marilyn J.; Institute of Medicine,; National Academy of Sciences,; Field, Marilyn J.</t>
  </si>
  <si>
    <t>Multiple Sclerosis : Current Status and Strategies for the Future</t>
  </si>
  <si>
    <t>Committee on Multiple Sclerosis, Current Status and Strategies for the Future; Joy, Janet E.; Johnston, Richard B.; National Academy of Sciences,; Joy, Janet E.; Johnston, Richard B.</t>
  </si>
  <si>
    <t>Musculoskeletal Disorders and the Workplace : Low Back and Upper Extremities</t>
  </si>
  <si>
    <t>Institute of Medicine Staff; Commission on Behavioral and Social Sciences and Education,; Board on Human-Systems Integration,; National Research Council,; Division of Behavioral and Social Sciences and Education,; Institute of Medicine,; National Academy of Sciences,</t>
  </si>
  <si>
    <t>High-Energy, Nutrient-Dense Emergency Relief Food Product</t>
  </si>
  <si>
    <t>National Academy Press; Committee on Military Nutrition Research,; Food and Nutrition Board,; Institute of Medicine,</t>
  </si>
  <si>
    <t>Confronting Chronic Neglect : The Education and Training of Health Professionals on Family Violence</t>
  </si>
  <si>
    <t>Institute of Medicine Staff; Stobo, John D.; Salmon, Marla E.; Cohn, Felicia; Salmon, Marla E.; Stobo, John D.</t>
  </si>
  <si>
    <t>Health and Behavior : The Interplay of Biological, Behavioral, and Societal Influences</t>
  </si>
  <si>
    <t>Institute of Medicine Staff</t>
  </si>
  <si>
    <t>Mammography and Beyond : Developing Technologies for the Early Detection of Breast Cancer : A Non-Technical Summary</t>
  </si>
  <si>
    <t>Nass, Sharyl J.; Henderson, I. Craig; Lashof, Joyce C.</t>
  </si>
  <si>
    <t>Anthrax Vaccine : Is It Safe? Does It Work?</t>
  </si>
  <si>
    <t>Joellenbeck, Lois M.; Zwanziger, Lee L.; Durch, Jane S.; Durch, Jane S.; Strom, Brian L.; Joellenbeck, Lois M.; Zwanziger, Lee L.</t>
  </si>
  <si>
    <t>Setting the Course : A Strategic Vision for Immunization</t>
  </si>
  <si>
    <t>Institute of Medicine, Committee on the Immunization Finance Dissemination; Institute of Medicine, Division of Health Care Services Staff; Institute of Medicine,; National Academy of Sciences,</t>
  </si>
  <si>
    <t>Crossing the Quality Chasm : A New Health System for the 21st Century</t>
  </si>
  <si>
    <t>Committee on Quality of Health Care in America; Institute of Medicine Staff; Iom,; National Academy of Sciences,</t>
  </si>
  <si>
    <t>Emergence of Zoonotic Diseases : Understanding the Impact on Animal and Human Health : Workshop Summary</t>
  </si>
  <si>
    <t>Burroughs, Tom; Knobler, Stacey; Lederberg, Joshua; National Academy of Sciences,; Burroughs, Tom; Knobler, Stacey; Lederberg, Joshua</t>
  </si>
  <si>
    <t>Scientific and Medical Aspects of Human Reproductive Cloning</t>
  </si>
  <si>
    <t>Committee on Science; National Research Council,; Policy and Global Affairs,; Board on Life Sciences,</t>
  </si>
  <si>
    <t>Clearing the Smoke : Assessing the Science Base for Tobacco Harm Reduction</t>
  </si>
  <si>
    <t>Stratton, Kathleen; Bondurant, Stuart; Wallace, Robert; Stratton, Kathleen; Shetty, Padma; Wallace, Robert; Bondurant, Stuart</t>
  </si>
  <si>
    <t>Mental Retardation : Determining Eligibility for Social Security Benefits</t>
  </si>
  <si>
    <t>Reschly, Daniel J.; Myers, Tracy G.; Hartel, Christine R.; Division of Behavioral and Social Sciences and Education,; Myers, Tracy G.; Reschly, Daniel J.; Hartel, Christine R.</t>
  </si>
  <si>
    <t>No Time to Lose : Getting More from HIV Prevention</t>
  </si>
  <si>
    <t>Ruiz, Monica S.; Gable, Alicia R.; Kaplan, Edward H.; National Academy of Sciences,; Ruiz, Monica S.; Gable, Alicia R.; Kaplan, Edward H.; Stoto, Michael A.; Fineberg, Harvey V.; Trussell, James</t>
  </si>
  <si>
    <t>Dietary Risk Assessment in the WIC Program</t>
  </si>
  <si>
    <t>Committee on Diet and Health; Food and Nutrition Board,; Institute of Medicine,; National Academy of Sciences,</t>
  </si>
  <si>
    <t>Improving the Quality of Long-Term Care</t>
  </si>
  <si>
    <t>Institute of Medicine Staff; Wunderlich, Gooloo S.; Kohler, Peter O.; National Academy of Sciences,; Wunderlich, Gooloo S.; Kohler, Peter O.</t>
  </si>
  <si>
    <t>Care Without Coverage : Too Little, Too Late</t>
  </si>
  <si>
    <t>Institute of Medicine Staff; Committee on the Consequences of Uninsurance; Board on Health Care Services Staff</t>
  </si>
  <si>
    <t>Small Clinical Trials : Issues and Challenges</t>
  </si>
  <si>
    <t>Institute of Medicine Staff; Board on Health Sciences Policy,; Institute of Medicine,; National Academy of Sciences,</t>
  </si>
  <si>
    <t>Cells and Surveys : Should Biological Measures Be Included in Social Science Research?</t>
  </si>
  <si>
    <t>Finch, Caleb E.; Vaupel, James W.; Kinsella, Kevin G.; Finch, Caleb E.; Vaupel, James W.; Kinsella, Kevin</t>
  </si>
  <si>
    <t>Dietary Reference Intakes for Vitamin A, Vitamin K, Arsenic, Boron, Chromium, Copper, Iodine, Iron, Manganese, Molybdenum, Nickel, Silicon, Vanadium, and Zinc : A Report of the Panel on Micronutrients</t>
  </si>
  <si>
    <t>Biological Threats and Terrorism : Assessing the Science and Response Capabilities : Workshop Summary</t>
  </si>
  <si>
    <t>Knobler, Stacey; Mahmoud, Adel A. F.; Pray, Leslie A.; National Academy of Sciences,; Institute of Medicine,; Knobler, Stacey L.; Mahmoud, Adel A. F.; Pray, Leslie A.</t>
  </si>
  <si>
    <t>Visual Impairments : Determining Eligibility for Social Security Benefits</t>
  </si>
  <si>
    <t>National Research Council Staff; Lennie, Peter; Van Hemel, Susan B.; National Research Council,; National Academy of Sciences,; Lennie, Peter; Hemel, Susan B. Van</t>
  </si>
  <si>
    <t>Networking Health : Prescriptions for the Internet</t>
  </si>
  <si>
    <t>National Research Council Staff; Commission on Physical Science</t>
  </si>
  <si>
    <t>Preparing for Terrorism : Tools for Evaluating the Metropolitan Medical Response System Program</t>
  </si>
  <si>
    <t>Institute of Medicine Staff; Manning, Frederick J.; Goldfrank, Lewis R.; Board on Health Sciences Policy,; National Research Council,; Institute of Medicine,; National Academy of Sciences,</t>
  </si>
  <si>
    <t>Richard and Hinda Rosenthal Lectures, 2001 : Exploring Complementary and Alternative Medicine</t>
  </si>
  <si>
    <t>Institute of Medicine; National Academy of Sciences,</t>
  </si>
  <si>
    <t>National Therapeutics for Infants and Children : Workshop Summary</t>
  </si>
  <si>
    <t>Yaffe, Sumner J.; Bouxsein, Peter; Pitluck, Sarah; Davis, Jonathan R.; Roundtable on Research and Development of Drugs, Biologics, and Medical Devices,; Division of Health Sciences Policy,; Institute of Medicine,; National Academy of Sciences,; Yaffe, Sumner</t>
  </si>
  <si>
    <t>Extending Medicare Reimbursement in Clinical Trials</t>
  </si>
  <si>
    <t>Aaron, Henry J.; Gelband, Hellen; Institute of Medicine Staff; Institute of Medicine,; National Academy of Sciences,; Aaron, Henry J.; Gelband, Hellen</t>
  </si>
  <si>
    <t>Assessment of the CDC Anthrax Vaccine Safety and Efficacy Research Program</t>
  </si>
  <si>
    <t>Institute of Medicine Staff; Medical Follow-Up Agency,; Institute of Medicine,; National Academy of Sciences,</t>
  </si>
  <si>
    <t>Considerations for Viral Disease Eradication : Lessons Learned and Future Strategies : Workshop Summary</t>
  </si>
  <si>
    <t>Knobler, Stacey; Lederberg, Joshua; Pray, Leslie A.; Forum on Emerging Infections,; Institute of Medicine,; Board on Global Health,; National Academy of Sciences,</t>
  </si>
  <si>
    <t>Data Needs for the State Children's Health Insurance Program</t>
  </si>
  <si>
    <t>National Research Council Staff; Pollack, Earl S.; Leibowitz, Arleen; National Research Council,; National Academy of Sciences,; Committee on National Statistics,; Division of Behavioral and Social Sciences and Education,</t>
  </si>
  <si>
    <t>Role of Nutrition in Maintaining Health in the Nation's Elderly : Evaluating Coverage of Nutrition Services for the Medicare Patient</t>
  </si>
  <si>
    <t>Institute of Medicine Staff; Food and Nutrition Board Staff; Institute of Medicine,; National Research Council,; National Academy of Sciences,</t>
  </si>
  <si>
    <t>National Center for Military Deployment Health Research</t>
  </si>
  <si>
    <t>Institute of Medicine Staff; Hernandez, Lyla M.; Greenlick, Merwyn R.; Committee on a National Center on War-Related Illnesses and Postdeployment Health Issues,; Institute of Medicine,; National Academy of Sciences,</t>
  </si>
  <si>
    <t>Through the Kaleidoscope : Viewing the Contributions of the Behavioral and Social Sciences to Health : The Barbara and Jerome Grossman Symposium</t>
  </si>
  <si>
    <t>Institute of Medicine Staff; National Research Council Staff; Berkman, Lisa F.</t>
  </si>
  <si>
    <t>Making Sense of Complexity : Summary of the Workshop on Dynamical Modeling of Complex Biomedical Systems</t>
  </si>
  <si>
    <t>Casella, George; Wu, Rongling; Wu, Sam S.; Weidman, Scott T.; Board on Mathematical Sciences,; University Of Florida,; Division on Engineering and Physical Sciences,; National Research Council,</t>
  </si>
  <si>
    <t>Research Ethics in Complex Humanitarian Emergencies : Summary of a Workshop</t>
  </si>
  <si>
    <t>National Research Council Staff; Committee on Population; Reed, Holly; National Research Council,; National Academy of Sciences,; Reed, Holly E.</t>
  </si>
  <si>
    <t>Protecting Our Forces : Improving Vaccine Acquisition and Availability in the U. S. Military</t>
  </si>
  <si>
    <t>Institute of Medicine Staff; Lemon, Stanley M.; Fisseha, Salem</t>
  </si>
  <si>
    <t>Marijuana As Medicine : The Science Beyond the Controversy</t>
  </si>
  <si>
    <t>Mack, Alison; Joy, Janet; Institute of Medicine,; National Academy of Sciences,</t>
  </si>
  <si>
    <t>Waste Incineration and Public Health</t>
  </si>
  <si>
    <t>National Research Council Staff; Committee on Health Effects of Waste Incineration; Board on Environmental Studies and Toxicology Staff; Division on Earth and Life Studies,; National Research Council,; National Academy of Sciences,</t>
  </si>
  <si>
    <t>Setting the Course : A Strategic Vision for Immunization  : Summary of the Los Angeles Workshop (Part 3)</t>
  </si>
  <si>
    <t>Committee on the Immunization Finance Dissemination Workshops; Board on Health Care Services,; Institute of Medicine,; National Academy of Sciences,</t>
  </si>
  <si>
    <t>Social Science; Economics; Business/Management; Health</t>
  </si>
  <si>
    <t>America's Health Care Safety Net : Intact but Endangered</t>
  </si>
  <si>
    <t>Institute of Medicine Staff; Lewin, Marion Ein; Altman, Stuart; Institute of Medicine,; Lewin, Stuart</t>
  </si>
  <si>
    <t>Shared Destiny : Community Effects of Uninsurance</t>
  </si>
  <si>
    <t>Committee on the Consequences of Uninsurance; Board on Health Care Services,; Institute of Medicine,; National Academy of Sciences,</t>
  </si>
  <si>
    <t>Consequences of Maternal Morbidity and Maternal Mortality : Report of a Workshop</t>
  </si>
  <si>
    <t>Committee on Population, National Research Council; Reed, Holly E.; Koblinsky, Marjorie A.; Committee on Population,; Commission on Behavioral and Social Sciences and Education,; Division of Behavioral and Social Sciences and Education,; National Research Council,</t>
  </si>
  <si>
    <t>Malaria Control During Mass Population Movements and Natural Disasters</t>
  </si>
  <si>
    <t>Bloland, Peter B.; Williams, Holly A.; Roundtable on the Demography of Forced Migration Staff</t>
  </si>
  <si>
    <t>To Err Is Human : Building a Safer Health System</t>
  </si>
  <si>
    <t>Kohn, Linda T.; Corrigan, Janet M.; Donaldson, Molla S.</t>
  </si>
  <si>
    <t>Survey Measurement of Work Disability : Summary of a Workshop</t>
  </si>
  <si>
    <t>Mathiowetz, Nancy A.; Wunderlich, Gooloo S.</t>
  </si>
  <si>
    <t>Public Health Systems and Emerging Infections : Assessing the Capabilities of the Public and Private Sectors</t>
  </si>
  <si>
    <t>Davis, Johnathan R.; Lederberg, Joshua; Institute of Medicine Staff; National Academy of Sciences,; Davis, Jonathan R.; Lederberg, Joshua</t>
  </si>
  <si>
    <t>Dynamics of Disability : Measuring and Monitoring Disability for Social Security Programs</t>
  </si>
  <si>
    <t>Institute of Medicine Staff; Wunderlich, Gooloo S.; Rice, Dorothy P.; National Research Council,; Division of Behavioral and Social Sciences and Education,; Committee on National Statistics,; Wunderlich, Gooloo S.; Amado, Nicole L.; Rice, Dorothy P.; Wunderlick, Gooloo S.</t>
  </si>
  <si>
    <t>Non-Heart-Beating Organ Transplantation : Practice and Protocols</t>
  </si>
  <si>
    <t>Health and the Environment in the Southeastern United States : Rebuilding Unity : Workshop Summary</t>
  </si>
  <si>
    <t>Institute of Medicine Staff; Frumkin, Howard; Jackson, Richard J.; National Academy of Sciences,; Frumkin, Howard; Jackson, Richard J.; Coussens, Christine M.</t>
  </si>
  <si>
    <t>Bioinformatics Converting Data to Knowledge : Workshop Summary</t>
  </si>
  <si>
    <t>Pool, Robert; Esnayra, Joan; Board on Biology Staff</t>
  </si>
  <si>
    <t>Addressing the Nation's Changing Needs for Biomedical and Behavioral Scientists</t>
  </si>
  <si>
    <t>Committee on National Needs for Biomedical and Behavioral Scientists; Education and Career Studies Unit; National Research Council Staff; Policy and Global Affairs,; National Research Council,; National Academy of Sciences,</t>
  </si>
  <si>
    <t>Veterans and Agent Orange : Herbicide/Dioxin Exposure and Type 2 Diabetes</t>
  </si>
  <si>
    <t>Committee to Review the Evidence Regarding the Link Between Exposure to Agent Orange and Diabetes; Division of Health Promotion and Disease Prevention Staff; Institute of Medicine Staff</t>
  </si>
  <si>
    <t>Coverage Matters : Insurance and Health Care</t>
  </si>
  <si>
    <t>Board on Health Care Services Staff; Institute of Medicine Staff; Institute of Medicine,; National Academy of Sciences,</t>
  </si>
  <si>
    <t>Dietary Reference Intakes for Vitamin C, Vitamin E, Selenium, and Carotenoids</t>
  </si>
  <si>
    <t>Food and Nutrition Board Staff; Panel on Dietary Antioxidants; Institute of Medicine Staff; Standing Committee on the Scientific Evaluation of Dietary Reference Intakes,; Food and Nutrition Board,; Institute of Medicine,; National Academy of Sciences,</t>
  </si>
  <si>
    <t>Unequal Burden of Cancer : An Assessment of NIH Research and Programs for Ethnic Minorities and the Medically Underserved</t>
  </si>
  <si>
    <t>Institute of Medicine Staff; Haynes, M. Alfred; Smedley, Brian D.; Institute of Medicine,; National Academy of Sciences,</t>
  </si>
  <si>
    <t>Advancing Prion Science : Guidance for the National Prion Research Program -- Interim Report</t>
  </si>
  <si>
    <t>Committee on Transmissible Spongiform Encephalopathies: Assessment of Relevant Science; Erdtmann, Rick; Sivitz, Laura; National Academy of Sciences,; Erdtmann, Rick; Sivitz, Laura B.</t>
  </si>
  <si>
    <t>Gulf War Veterans : Treating Symptoms and Syndromes</t>
  </si>
  <si>
    <t>Rosof, Bernard M.; Hernandez, Lyla M.; Institute of Medicine Staff; Institute of Medicine,; Hernandez, Lyla M.</t>
  </si>
  <si>
    <t>Scientific Frontiers in Developmental Toxicology and Risk Assessment</t>
  </si>
  <si>
    <t>Committee on Developmental Toxicology; Board on Environmental Studies and Toxicology Staff; Commission on Life Sciences, National Research Cou; Division on Earth and Life Studies,; National Research Council,; National Academy of Sciences,</t>
  </si>
  <si>
    <t>Bioavailability of Contaminants in Soils and Sediments : Processes, Tools, and Applications</t>
  </si>
  <si>
    <t>Committee on Bioavailability of Contaminants in Soils and Sediments; Water Science and Technology Board,; Division on Earth and Life Studies,; National Research Council,; National Academy of Sciences,</t>
  </si>
  <si>
    <t>Engineering; Engineering: Environmental; Health; Social Science</t>
  </si>
  <si>
    <t>Envisioning the National Health Care Quality Report</t>
  </si>
  <si>
    <t>Institute of Medicine Staff; Board on Health Care Services,; Institute of Medicine,; National Academy of Sciences,; Hurtado, Margarita P.; Swift, Elaine K.; Corrigan, Janet M.</t>
  </si>
  <si>
    <t>Calling the Shots : Immunization Finance Policies and Practice</t>
  </si>
  <si>
    <t>Institute of Medicine Staff; Committee on Immunization Finance Policies and Practices; Division of Health Care Services and Division of Health Promotion and Disease Prevention; National Academy of Sciences,</t>
  </si>
  <si>
    <t>Review of NASA's Biomedical Research Program</t>
  </si>
  <si>
    <t>Committee on Space Biology and Medicine; Space Studies Board; National Research Council; Division on Engineering and Physical Sciences,; National Research Council,</t>
  </si>
  <si>
    <t>Who Will Keep the Public Healthy? : Educating Public Health Professionals for the 21st Century</t>
  </si>
  <si>
    <t>Gebbie, Kristine M.; Rosenstock, Linda; Hernandez, Lyla M.; National Academy of Sciences,; Gebbie, Kristine M.; Rosenstock, Linda; Hernandez, Lyla M.</t>
  </si>
  <si>
    <t>Improving Palliative Care for Cancer : Summary and Recommendations</t>
  </si>
  <si>
    <t>Gelband, Hellen; Foley, Kathleen M.; Institute of Medicine Staff; National Academy of Sciences,; Foley, Kathleen M.; Gelband, Hellen</t>
  </si>
  <si>
    <t>Fulfilling the Potential of Cancer Prevention and Early Detection</t>
  </si>
  <si>
    <t>Curry, Susan J.; Byers, Tim; Hewitt, Maria Elizabeth; Institute of Medicine,; Curry, Susan J.; Byers, Tim; Hewitt, Maria</t>
  </si>
  <si>
    <t>Tools for Evaluating the Metropolitan Medical Response System Program : Phase I Report</t>
  </si>
  <si>
    <t>Institute of Medicine, Committee on Evaluation of the Metropolitan Medical Response Program Staff; Manning, Frederick J.; Goldfrank, Lewis R.; Board on Health Sciences Policy,; Institute of Medicine,; National Academy of Sciences,</t>
  </si>
  <si>
    <t>Ending Neglect : The Elimination of Tuberculosis in the United States</t>
  </si>
  <si>
    <t>Committee on the Elimination of Tuberculosis in the United States; Division of Health Promotion and Disease Prevention Staff; Geiter, Lawrence; Geiter, Lawrence</t>
  </si>
  <si>
    <t>Under the Weather : Climate, Ecosystems, and Infectious Disease</t>
  </si>
  <si>
    <t>National Research Council, Committee on Climate, Ecosystems, Infectious Disease, and Human Health; Board on Atmospheric Sciences &amp; Climate,; Commission on Geosciences, Environment and Resources,; Division on Earth and Life Studies,; National Research Council,; National Academy of Sciences,</t>
  </si>
  <si>
    <t>New Horizons in Health : An Integrative Approach</t>
  </si>
  <si>
    <t>National Research Council Staff; Singer, Burton H.; Ryff, Carol D.</t>
  </si>
  <si>
    <t>Marijuana and Medicine : Assessment of the Science Base</t>
  </si>
  <si>
    <t>Institute of Medicine Staff; Benson, John A.; Watson, Stanley J.; Institute of Medicine,; National Academy of Sciences,</t>
  </si>
  <si>
    <t>Cancer and the Environment : Gene-Environment Interaction : Workshop Summary</t>
  </si>
  <si>
    <t>Institute of Medicine Staff; Wilson, Samuel; Jones, Lovell; National Academy of Sciences,; Wilson, Samuel; Jones, Lovell A.; Couseens, Christine; Hanna, Kathi E.</t>
  </si>
  <si>
    <t>Improving Access to and Confidentiality of Research Data : Report of a Workshop</t>
  </si>
  <si>
    <t>Mackie, Christopher; Bradburn, Norman; Committee on National Statistics; National Research Council,; National Academy of Sciences,; Mackie, Christopher D.; Bradburn, Norman M.</t>
  </si>
  <si>
    <t>Immunization Safety Review : Measles-Mumps-Rubella Vaccine and Autism</t>
  </si>
  <si>
    <t>Stratton, Kathleen; Gable, Alicia R.; Shetty, Padma; National Academy of Sciences,; Stratton, Kathleen; Gable, Alicia; Shetty, Padma; McCormick, Marie C.</t>
  </si>
  <si>
    <t>Describing Death in America : What We Need to Know</t>
  </si>
  <si>
    <t>National Cancer Policy Board (U.S.) Staff; National Research Council (U.S.), Division on Earth and Life Studies Staff; Foley, Kathleen M.; National Research Council,; National Academy of Sciences,; Lunney, June R.; Foley, Kathleen M.; Smith, Thomas J.; Gelband, Helen</t>
  </si>
  <si>
    <t>Health Performance Measurement in the Public Sector : Principles and Policies for Implementing an Information Network</t>
  </si>
  <si>
    <t>National Research Council Staff; Perrin, Edward B.; Durch, Jane S.; National Research Council,; National Academy of Sciences,; Perrin, Edward B.; Durch, Jane S.; Skillman, Susan M.</t>
  </si>
  <si>
    <t>Information for Women about the Safety of Silicone Breast Implants</t>
  </si>
  <si>
    <t>Grigg, Martha L.; Institute of Medicine Staff</t>
  </si>
  <si>
    <t>Risk Assessment of Radon in Drinking Water</t>
  </si>
  <si>
    <t>National Research Council Staff; Commission on Life Sciences,; Division on Earth and Life Studies,; National Research Council,; National Academy of Sciences,</t>
  </si>
  <si>
    <t>Approaching Death : Improving Care at the End of Life</t>
  </si>
  <si>
    <t>Committee on Care at the End of Life, Institute of; Field, Marilyn J.; Cassel, Christine K.</t>
  </si>
  <si>
    <t>Safety of Silicone Breast Implants</t>
  </si>
  <si>
    <t>Institute of Medicine Staff; Bondurant, Stuart; Ernster, Virginia L.</t>
  </si>
  <si>
    <t>Assuring Data Quality and Validity in Clinical Trials for Regulatory Decision Making : Workshop Report</t>
  </si>
  <si>
    <t>Davis, Jonathan R.; Nolan, Vivian P.; Woodcock, Janet</t>
  </si>
  <si>
    <t>Internet Access to the National Library of Medicine's Toxicology and Environmental Health Databases</t>
  </si>
  <si>
    <t>Liverman, Catharyn T.</t>
  </si>
  <si>
    <t>Library Science; Health; Social Science</t>
  </si>
  <si>
    <t>Hormonally Active Agents in the Environment</t>
  </si>
  <si>
    <t>National Research Council Staff; Commission on Life Sciences,; Division on Earth and Life Studies,; National Research Council,</t>
  </si>
  <si>
    <t>Dietary Reference Intakes for Calcium, Phosphorus, Magnesium, Vitamin D, and Fluoride</t>
  </si>
  <si>
    <t>Institute of Medicine Staff; Vedral, Joyce L.; Institute of Medicine,; National Academy of Sciences,</t>
  </si>
  <si>
    <t>Bridging the Gap Between Practice and Research : Forging Partnerships with Community-Based Drug and Alcohol Treatment</t>
  </si>
  <si>
    <t>Lamb, Sara; Greenlick, Merwyn R.; McCarty, Dennis; Committee on Community-Based Drug Treatment,; Institute of Medicine,</t>
  </si>
  <si>
    <t>Adolescent Development and the Biology of Puberty : Summary of a Workshop on New Research</t>
  </si>
  <si>
    <t>National Research Council Staff; Institute of Medicine Staff; Kipke, Michele D.; National Research Council and Institute of Medicine,; National Academy of Sciences,; Kipke, Michele D.</t>
  </si>
  <si>
    <t>From Monsoons to Microbes : Understanding the Ocean's Role in Human Health</t>
  </si>
  <si>
    <t>National Research Council Staff; Ocean Studies Board,; Commission on Geosciences, Environment and Resources,; National Research Council,</t>
  </si>
  <si>
    <t>Working Together : We Can Help People Get Good Care When They Are Dying</t>
  </si>
  <si>
    <t>Institute of Medicine</t>
  </si>
  <si>
    <t>Dietary Reference Intakes for Thiamin, Riboflavin, Niacin, Vitamin B6, Folate, Vitamin B12, Pantothenic Acid, Biotin, and Choline</t>
  </si>
  <si>
    <t>Institute of Medicine Staff; Food and Nutrition Board Staff; National Academy of Sciences,</t>
  </si>
  <si>
    <t>Clearing the Air : Asthma and Indoor Air Exposures</t>
  </si>
  <si>
    <t>Committee on the Assessment of Asthma and Indoor Air; Division of Health Promotion and Disease Prevention Staff; Institute of Medicine Staff</t>
  </si>
  <si>
    <t>Role of Co-Occurring Substance Abuse and Mental Illness in Violence : Workshop Summary</t>
  </si>
  <si>
    <t>Division of Neuroscience and Behavioral Health</t>
  </si>
  <si>
    <t>Veterans and Agent Orange : Update 1998</t>
  </si>
  <si>
    <t>Privacy Issues in Biomedical and Clinical Research</t>
  </si>
  <si>
    <t>America's Children : Health Insurance and Access to Care</t>
  </si>
  <si>
    <t>Institute of Medicine Staff; National Research Council Staff; Edmunds, Margaret; National Research Council,; Edmunds, Margaret; Coye, Molly Joel</t>
  </si>
  <si>
    <t>Pathological Gambling : A Critical Review</t>
  </si>
  <si>
    <t>National Research Council Staff; Commission on Behavioral and Social Sciences and Education,; Division of Behavioral and Social Sciences and Education,; National Research Council,</t>
  </si>
  <si>
    <t>Ensuring Quality Cancer Care</t>
  </si>
  <si>
    <t>National Cancer Policy Board Staff; Hewitt, Maria E.; Simone, Joseph V.; National Research Council,; National Academy of Sciences,; Hewitt, Maria; Simone, Joseph V.</t>
  </si>
  <si>
    <t>Enabling America : Assessing the Role of Rehabilitation Science and Engineering</t>
  </si>
  <si>
    <t>Brandt, Edward N.; Pope, Andrew M.; Institute of Medicine Staff</t>
  </si>
  <si>
    <t>Radiation Hazards to Crews of Interplanetary Missions : Biological Issues and Research Strategies</t>
  </si>
  <si>
    <t>National Research Council Staff</t>
  </si>
  <si>
    <t>Chemical and Biological Terrorism : Research and Development to Improve Civilian Medical Response</t>
  </si>
  <si>
    <t>Health; Military Science; Social Science</t>
  </si>
  <si>
    <t>In Her Own Right : The Institute of Medicine's Guide to Women's Health Issues</t>
  </si>
  <si>
    <t>Benderly, Beryl L.; Institute of Medicine Staff</t>
  </si>
  <si>
    <t>Pathways of Addiction : Opportunities in Drug Abuse Research</t>
  </si>
  <si>
    <t>Institute of Medicine, Committee on Opportunities; Institute of Medicine,; National Academy of Sciences,; Fulco, Carolyn</t>
  </si>
  <si>
    <t>Global Health in Transition : A Synthesis : Perspectives from International Organizations</t>
  </si>
  <si>
    <t>Bryant, John H.; Harrison, Polly F.; Board on International Health,; Institute of Medicine,; National Academy of Sciences,</t>
  </si>
  <si>
    <t>For the Record : Protecting Electronic Health Information</t>
  </si>
  <si>
    <t>Committee on Maintaining Privacy and Secruity in Hea</t>
  </si>
  <si>
    <t>Paying Attention to Children in a Changing Health Care System</t>
  </si>
  <si>
    <t>Board on Children, Youth and Families Staff; Institute of Medicine Staff; National Research Council Staff; Institute of Medicine and the National Research Council,; National Academy of Sciences,</t>
  </si>
  <si>
    <t>Environmental Epidemiology, Volume 2 : Use of the Gray Literature and Other Data in Environmental Epidemiology</t>
  </si>
  <si>
    <t>Committee on Environmental Epidemiolgy, National R; National Research Council,; National Academy of Sciences,</t>
  </si>
  <si>
    <t>Exposure of the American People to Iodine-131 from Nevada Nuclear-Bomb Tests : Review of the National Cancer Institute Report and Public Health Implications</t>
  </si>
  <si>
    <t>National Research Council Staff; Institute of Medicine Staff; Commission on Life Sciences,; Committee on Exposure of the American People to I-131 from the Nevada Atomic Bomb Tests,; Division on Earth and Life Studies,; National Research Council,; National Academy of Sciences,</t>
  </si>
  <si>
    <t>Occupational Health and Safety in the Care and Use of Research Animals</t>
  </si>
  <si>
    <t>NRC Committee on Occupational Health and Safety; Institute of Laboratory Animal Resources,; Commission on Life Sciences,; National Research Council,; National Academy of Sciences,</t>
  </si>
  <si>
    <t>Lesbian Health : Current Assessment and Directions for the Future</t>
  </si>
  <si>
    <t>Institute of Medicine Staff; Solarz, Andrea L.; Neuroscience and Behavioral Health Program,; Health Sciences Policy Program,; Health Sciences Section,; Institute of Medicine,; National Academy of Sciences,</t>
  </si>
  <si>
    <t>Managing Managed Care : Quality Improvement in Behavioral Health</t>
  </si>
  <si>
    <t>Institute of Medicine Staff; Edmonds, Margaret; Frank, Richard; Committee on Quality Assurance and Accreditation Guidelines for Managed Behavioral Health Care,; Institute of Medicine,; National Academy of Sciences,; McCarty, Dennis; Robinson-Beale, Rhonda; Weisner, Constance M.</t>
  </si>
  <si>
    <t>Data Priorities for Population and Health in Developing Countries : Summary of a Workshop</t>
  </si>
  <si>
    <t>National Research Council Staff; Commission on Behavioral and Social Sciences and Education,; Division of Behavioral and Social Sciences and Education,; National Research Council,; National Academy of Sciences,</t>
  </si>
  <si>
    <t>Reproductive Health in Developing Countries : Expanding Dimensions, Building Solutions</t>
  </si>
  <si>
    <t>Panel on Reproductive Health, National Research Co; Tsui, Amy O.; Wasserheit, Judith N.; Commission on Behavioral and Social Sciences and Education,; Division of Behavioral and Social Sciences and Education,; Tsui, Amy Ong; Wasserheit, Judith N.; Haaga, John G.</t>
  </si>
  <si>
    <t>Neuroimaging of Human Brain Function (NAS Colloquium)</t>
  </si>
  <si>
    <t>Proceedings of the National Academy of Sciences</t>
  </si>
  <si>
    <t>Serving Science and Society Into the New Millenium</t>
  </si>
  <si>
    <t>U. S. Department of Energy Staff; Division on Earth and Life Studies,; U.S. Department of Energy,; National Research Council,; National Academy of Sciences,</t>
  </si>
  <si>
    <t>Weighing the Options : Criteria for Evaluating Weight-Management Programs</t>
  </si>
  <si>
    <t>Institute of Medicine Staff; Thomas, Paul R.</t>
  </si>
  <si>
    <t>Summarizing Population Health : Directions for the Development and Application of Population Metrics</t>
  </si>
  <si>
    <t>Field, Marilyn J.; Gold, Marthe R.; Committee on Summary Measures of Population Health,; Institute of Medicine,; National Academy of Sciences,</t>
  </si>
  <si>
    <t>Health Effects of Exposure to Radon : BEIR VI</t>
  </si>
  <si>
    <t>Improving the Medicare Market : Adding Choice and Protections</t>
  </si>
  <si>
    <t>Institute of Medicine Staff; Jones, Stanley B.; Lewin, Marion E.</t>
  </si>
  <si>
    <t>New Findings on Poverty and Child Health and Nutrition : Summary of a Research Briefing</t>
  </si>
  <si>
    <t>Bridgman, Anne; Phillips, Deborah; Commission on Behavioral and Social Sciences and Education,; Division of Behavioral and Social Sciences and Education,; Bridgman, Anne; Phillips, Deborah</t>
  </si>
  <si>
    <t>Contraceptive Research and Development : Looking to the Future</t>
  </si>
  <si>
    <t>Institute of Medicine Staff; Harrison, Polly F.; Rosenfield, Allan; Institute of Medicine,; National Academy of Sciences,</t>
  </si>
  <si>
    <t>Improving Health in the Community : A Role for Performance Monitoring</t>
  </si>
  <si>
    <t>Institute of Medicine Staff; Durch, Jane S.; Bailey, Linda A.; Committee on Using Performance Monitoring to Improve Community Health,; Institute of Medicine,</t>
  </si>
  <si>
    <t>Strategy For Research In Space Biology And Medicine In The New Century</t>
  </si>
  <si>
    <t>National Research Council Staff; Space Studies Board,; Division on Engineering and Physical Sciences,; National Research Council,; National Academy of Sciences,</t>
  </si>
  <si>
    <t>Medicolegal Death Investigation System : Workshop Summary</t>
  </si>
  <si>
    <t>Committee for the Workshop on the Medicolegal Death Investigation System; Board on Health Promotion and Disease Prevention,; Institute of Medicine,; National Academy of Sciences,</t>
  </si>
  <si>
    <t>Future of the Public's Health in the 21st Century</t>
  </si>
  <si>
    <t>Committee on Assuring the Health of the Public in the 21st Century; Board on Health Promotion and Disease Prevention,; Institute of Medicine,; National Academy of Sciences,</t>
  </si>
  <si>
    <t>Leadership by Example : Coordinating Government Roles in Improving Health Care Quality</t>
  </si>
  <si>
    <t>Committee on Enhancing Federal Healthcare Quality Programs; Corrigan, Janet M.; Institute of Medicine,; National Academy of Sciences,; Eden, Jill; Smith, Barbara M.</t>
  </si>
  <si>
    <t>Scientific Criteria to Ensure Safe Food</t>
  </si>
  <si>
    <t>Committee on the Review of the Use of Scientific Criteria and Performance Standards for Safe Food; Food and Nutrition Board,; Institute of Medicine,; Board on Agriculture and Natural Resources,; Division on Earth and Life Studies,; National Research Council,; National Academy of Sciences,</t>
  </si>
  <si>
    <t>Reducing Underage Drinking : A Collective Responsibility</t>
  </si>
  <si>
    <t>National Research Council; Bonnie, Richard J.; O'Connell, Mary Ellen; Committee on Developing a Strategy to Reduce and Prevent Underage Drinking,; Institute of Medicine,; Board on Children, Youth, and Families,; National Research Council,; National Academy of Sciences,</t>
  </si>
  <si>
    <t>Childhood Cancer Survivorship : Improving Care and Quality of Life</t>
  </si>
  <si>
    <t>Hewitt, Maria; Weiner, Susan L.; Simone, Joseph V.; Institute of Medicine,; Hewitt, Maria; Weiner, Susan L; Simone, Joseph V.</t>
  </si>
  <si>
    <t>Preparing for the Psychological Consequences of Terrorism : A Public Health Strategy</t>
  </si>
  <si>
    <t>Committee on Responding to the Psychological Consequences of Terrorism; Butler, Adrienne Stith; Panzer, Allison M.; Institute of Medicine,; Butler, Adrienne Stith; Panzer, Allison M.; Goldfrank, Lewis R.</t>
  </si>
  <si>
    <t>Como Mejorar el Cuidado Paliativo : Podemos mejorar el cuidado de personas con cancer</t>
  </si>
  <si>
    <t>National Research Council; Institute of Medicine,; National Research Council,; National Academy of Sciences,</t>
  </si>
  <si>
    <t>Exploring Challenges, Progress, and New Models for Engaging the Public in the Clinical Research Enterprise : Clinical Research Roundtable Workshop Summary</t>
  </si>
  <si>
    <t>Based on a Workshop of the Clinical Research Roundtable; Aungst, Jessica; Haas, Amy; Institute of Medicine,; Aungst, Jessica; Haas, Amy; Ommaya, Alexander; Green, Lawrence W.</t>
  </si>
  <si>
    <t>Hidden Costs, Value Lost : Uninsurance in America</t>
  </si>
  <si>
    <t>Health Professions Education : A Bridge to Quality</t>
  </si>
  <si>
    <t>Greiner, Ann C.; Knebel, Elisa; Committee on the Health Professions Education Summit; National Academy of Sciences,; Greiner, Ann C.; Knebel, Elisa</t>
  </si>
  <si>
    <t>Medicare Coverage of Routine Screening for Thyroid Dysfunction</t>
  </si>
  <si>
    <t>Committee on Medicare Coverage of Routine Thyroid Screening; Stone, Marc B.; Wallace, Robert B.; Stone, Marc B.; Wallace, Robert B.</t>
  </si>
  <si>
    <t>Guidelines for the Care and Use of Mammals in Neuroscience and Behavioral Research</t>
  </si>
  <si>
    <t>Committee on Guidelines for the Use of Animals in Neuroscience and Behavioral Research; Institute for Laboratory Animal Research,; Division on Earth and Life Studies,; National Research Council,</t>
  </si>
  <si>
    <t>Large-Scale Biomedical Science : Exploring Strategies for Future Research</t>
  </si>
  <si>
    <t>Committee on Large-Scale Science and Cancer Research, National Research Council; Nass, Sharyl J.; Stillman, Bruce W.; National Cancer Policy Board,; Division on Earth and Life Studies,; Nass, Sharyl J.; Stillman, Bruce W.</t>
  </si>
  <si>
    <t>Characterizing Exposure of Veterans to Agent Orange and Other Herbicides Used in Vietnam : Interim Findings and Recommendations</t>
  </si>
  <si>
    <t>Committee on the Assessment of Wartime Exposure to Herbicides in Vietnam</t>
  </si>
  <si>
    <t>Unequal Treatment : Confronting Racial and Ethnic Disparities in Health Care</t>
  </si>
  <si>
    <t>Smedley, Brian D.; Stith, Adrienne Y.; Committee on Understanding and Eliminating Racial and Ethnic Disparities in Health Care</t>
  </si>
  <si>
    <t>Enhancing the Vitality of the National Institutes of Health : Organizational Change to Meet New Challenges</t>
  </si>
  <si>
    <t>Committee on the Organizational Structure of the National Institutes of Health; Board on Life Sciences,; Board on Health Sciences Policy,; Institute of Medicine,; Division on Earth and Life Studies,; National Research Council,; National Academy of Sciences,</t>
  </si>
  <si>
    <t>Microbial Threats to Health : Emergence, Detection, and Response</t>
  </si>
  <si>
    <t>Smolinski, Mark S.; Hamburg, Margaret A.; Committee on Emerging Microbial Threats to Health in the 21st Century</t>
  </si>
  <si>
    <t>Improving Palliative Care : We Can Take Better Care of People With Cancer</t>
  </si>
  <si>
    <t>Setting the Course : A Strategic Vision for Immunization  : Summary of the Washington, D.C. Workshop (Part 4)</t>
  </si>
  <si>
    <t>Ensuring Environmental Health in Post Industrial Cities</t>
  </si>
  <si>
    <t>Goldstein, Bernard D.; Fischhoff, Baruch; Roundtable on Environmental Health Sciences, Research, and Medicine; National Academy of Sciences,; Goldstein, Bernard D.; Fischhoff, Baruch; Marcus, Steven J.; Coussens, Christine M.</t>
  </si>
  <si>
    <t>Dioxins and Dioxin-like Compounds in the Food Supply : Strategies to Decrease Exposure</t>
  </si>
  <si>
    <t>Committee on the Implications of Dioxin in the Food Supply; Food and Nutrition Board,; Institute of Medicine,; National Research Council,</t>
  </si>
  <si>
    <t>Weight Management : State of the Science and Opportunities for Military Programs</t>
  </si>
  <si>
    <t>Subcommittee on Military Weight Management; Committee on Military Nutrition Research,; Food and Nutrition Board,; Institute of Medicine,; National Academy of Sciences,; Committee on Military Nutrition Research,</t>
  </si>
  <si>
    <t>Role of Environmental Hazards in Premature Birth : Workshop Summary</t>
  </si>
  <si>
    <t>Mattison, Donald R.; Wilson, Samuel; Roundtable on Environmental Health Sciences, Research, and Medicine; National Academy of Sciences,; Mattison, Donald R.; Wilson, Samuel; Coussens, Christine M.; Gilbert, Dalia</t>
  </si>
  <si>
    <t>Financing Vaccines in the 21st Century : Assuring Access and Availability</t>
  </si>
  <si>
    <t>Committee on the Evaluation of Vaccine Purchase Financing in the United States; Board on Health Care Services,; Institute of Medicine,; National Academy of Sciences,; National Research Council,</t>
  </si>
  <si>
    <t>Immunization Safety Review : Vaccinations and Sudden Unexpected Death in Infancy</t>
  </si>
  <si>
    <t>Stratton, Kathleen; Alamario, Donna A.; Immunization Safety Review Committee; National Academy of Sciences,; Stratton, Kathleen; Almario, Donna A.; Wizemann, Theresa M.; McCormick, Marie C.</t>
  </si>
  <si>
    <t>Reducing Birth Defects : Meeting the Challenge in the Developing World</t>
  </si>
  <si>
    <t>Bale, Judith R.; Stoll, Barbara J.; Committee on Improving Birth Outcomes; National Academy of Sciences,; Bale, Judith R.; Stoll, Barbara J.; Lucas, A.O.</t>
  </si>
  <si>
    <t>When Children Die : Improving Palliative and End-of-Life Care for Children and Their Families -- Popular Summary</t>
  </si>
  <si>
    <t>Field, Marilyn J.; Behrman, Richard E.; Committee on Palliative and End of Life Care for Children and Their Families</t>
  </si>
  <si>
    <t>Improving Birth Outcomes : Meeting the Challenge in the Developing World</t>
  </si>
  <si>
    <t>Bale, Judith R.; Stoll, Barbara J.; Committee on Improving Birth Outcomes; National Research Council,; Bale, Judith R.; Stoll, Barbara J.; Lucas, Adetokunbo O.</t>
  </si>
  <si>
    <t>Improving Racial and Ethnic Data on Health : Report of a Workshop</t>
  </si>
  <si>
    <t>Panel on DHHS Collection of Race and Ethnicity Data, National Research Council; Melnick, Daniel; Perrin, Edward; National Research Council,; National Academy of Sciences,; Melnick, Daniel; Perrin, Edward B.</t>
  </si>
  <si>
    <t>Research Training in Psychiatry Residency : Strategies for Reform</t>
  </si>
  <si>
    <t>Abrams, Michael T.; Patchan, Kathleen; Committee on Incorporating Research into Psychiatry Residency Training.; National Academy of Sciences,; Abrams, Michael T.; Patchan, Kathleen M.; Boat, Thomas F.</t>
  </si>
  <si>
    <t>Health Insurance is a Family Matter</t>
  </si>
  <si>
    <t>Committee on the Consequences of Uninsurance; Board on Health Care Services,; Committee on the Consequences of Uninsurance,</t>
  </si>
  <si>
    <t>Immunization Safety Review : Influenza Vaccines and Neurological Complications</t>
  </si>
  <si>
    <t>Stratton, Kathleen; Alamario, Donna A.; Immunization Safety Review Committee; National Academy of Sciences,; Stratton, Kathleen; Wizemann, Theresa M.; McCormick, Marie C.; Almario, Donna A.</t>
  </si>
  <si>
    <t>Toward a Health Statistics System for the 21st Century : Summary of a Workshop</t>
  </si>
  <si>
    <t>Committee on National Statistics; Perrin, Edward B.; Kalsbeek, William D.</t>
  </si>
  <si>
    <t>Enhancing Data Systems to Improve the Quality of Cancer Care</t>
  </si>
  <si>
    <t>National Cancer Policy Board Staff; Institute of Medicine Staff; Hewitt, Maria</t>
  </si>
  <si>
    <t>Interpreting the Volume-Outcome Relationship in the Context of Cancer Care</t>
  </si>
  <si>
    <t>Maria, Hewitt; Diana, Petitti; National Cancer Policy Board Staff</t>
  </si>
  <si>
    <t>Safe Work in the 21st Century : Education and Training Needs for the Next Decade's Occupational Safety and Health Personnel</t>
  </si>
  <si>
    <t>Committee to Assess Training Needs for Occupational Safety and Health Personnel in the United States; Board on Health Sciences Staff</t>
  </si>
  <si>
    <t>Evolution of Evidence for Selected Nutrient and Disease Relationships</t>
  </si>
  <si>
    <t>Committee on Examination of the Evolving Science for Dietary Supplements; Food and Nutrition Board Staff</t>
  </si>
  <si>
    <t>Emerging Issues in Hispanic Health : Summary of a Workshop</t>
  </si>
  <si>
    <t>Joah G. Iannotta; National Research Council (U.S.), Committee on Population Staff</t>
  </si>
  <si>
    <t>Environmental Contamination, Biotechnology, and the Law : The Impact of Emerging Genomic Information : Summary of a Forum</t>
  </si>
  <si>
    <t>Pool, Robert; National Research Council Staff</t>
  </si>
  <si>
    <t>Health and Medicine : Challenges for the Chemical Sciences in the 21st Century</t>
  </si>
  <si>
    <t>Organizing Committee for the Workshop on Health and Medicine; Committee on Challenges for the Chemical Sciences in the 21st Century,; Board on Chemical Sciences and Technology,; Division on Earth and Life Studies,; National Research Council,; National Academy of Sciences,</t>
  </si>
  <si>
    <t>Toxicology and Environmental Health Information Resources : The Role of the National Library of Medicine</t>
  </si>
  <si>
    <t>Liverman, Catharyn T.; Ingalls, Carrie E.; Fulco, Carolyn E.; Committee on Toxicology and Environmental Health Information Resources for Health Professionals,; Institute of Medicine,; National Academy of Sciences,; Kipen, Howard M.</t>
  </si>
  <si>
    <t>Social Science; Health; Library Science</t>
  </si>
  <si>
    <t>Preventing HIV Transmission : The Role of Sterile Needles and Bleach</t>
  </si>
  <si>
    <t>Institute of Medicine Staff; Normand, Jacques; Vlahov, David; Normand, Jacques; Vlahov, David; Moses, Lincoln E.</t>
  </si>
  <si>
    <t>Mortality of Veteran Participants in the Crossroads Nuclear Test</t>
  </si>
  <si>
    <t>Institute of Medicine Staff; Committee on the CROSSROADS Nuclear Test,; Institute of Medicine,; Thaul, Susan; Page, William F.; Crawford, Harriet E. W.</t>
  </si>
  <si>
    <t>Health; Social Science; Military Science</t>
  </si>
  <si>
    <t>On Implementing a National Graduate Medical Education Trust Fund</t>
  </si>
  <si>
    <t>Institute of Medicine Staff; Board on Health Care Services,; Institute of Medicine,; National Academy of Sciences,</t>
  </si>
  <si>
    <t>Expanding Access to Investigational Therapies for HIV Infection and AIDS</t>
  </si>
  <si>
    <t>Institute of Medicine Staff; Institute of Medicine,; Nichols, Eve K.</t>
  </si>
  <si>
    <t>Careers in Clinical Research : Obstacles and Opportunities</t>
  </si>
  <si>
    <t>Institute of Medicine Staff; Kelley, William N.; Randolph, Mark A.; National Research Council,; National Academy of Sciences,; Kelley, William N.; Randolph, Mark A.</t>
  </si>
  <si>
    <t>Preventing and Mitigating AIDS in Sub-Saharan Africa : Research and Data Priorities for the Social and Behavioral Science</t>
  </si>
  <si>
    <t>National Research Council Staff; Cohen, Barney; Trussell, James</t>
  </si>
  <si>
    <t>DNA Technology in Forensic Science</t>
  </si>
  <si>
    <t>Committee on DNA Technology in Forensic Science; Commission on Life Sciences,; Division on Earth and Life Studies,; National Research Council,; National Academy of Sciences,</t>
  </si>
  <si>
    <t>Iron Deficiency Anemia : Recommended Guidelines for the Prevention, Detection, and Management among U. S. Children and Women of Childbearing Age</t>
  </si>
  <si>
    <t>Earl, Robert O.; Institute of Medicine Staff; Woteki, Catherine E.</t>
  </si>
  <si>
    <t>Forum on Microbial Threats : Learning from SARS</t>
  </si>
  <si>
    <t>Knobler, Stacey; Institute of Medicine (U.S.), Forum on Microbial Threats Staff; Institute of Medicine (U.S.), Board on Global Health Staff; National Academy of Sciences,; Knobler, Stacey; Lemon, Stanley M.; Mack, Alison; Sivitz, Laura B.; Mahmoud, Adel A. F.; Oberholtzer, Katherine</t>
  </si>
  <si>
    <t>Disability in America : Toward a National Agenda for Prevention</t>
  </si>
  <si>
    <t>Institute of Medicine Staff; Pope, Andrew M.; Tarlov, Alvin R.; Institute of Medicine,</t>
  </si>
  <si>
    <t>Scientific Opportunities and Public Needs : Improving Priority Setting and Public Input at the National Institutes of Health</t>
  </si>
  <si>
    <t>Institute of Medicine Staff; Institute of Medicine,</t>
  </si>
  <si>
    <t>Food Labeling : Toward National Uniformity</t>
  </si>
  <si>
    <t>Institute of Medicine Staff; Porter, Donna V.; Earl, Robert O.; Institute of Medicine,; Duncan, George T.</t>
  </si>
  <si>
    <t>Women and Health Research, Volume 1 : Ethical and Legal Issues of Including Women in Clinical Studies</t>
  </si>
  <si>
    <t>Institute of Medicine Staff; Mastroianni, Anne C.; Faden, Ruth; Committee on Ethical and Legal Issues Relating to the Inclusion of Women in Clinical Studies,; Institute of Medicine,; National Academy of Sciences,</t>
  </si>
  <si>
    <t>Toxicologic Assessment of the Army's Zinc Cadmium Sulfide Disperion Tests : Answers to Commonly Asked Questions</t>
  </si>
  <si>
    <t>Health Effects of Exposure to Radon : Time for Reassessment?</t>
  </si>
  <si>
    <t>To Improve Human Health : A History of the Institute of Medicine</t>
  </si>
  <si>
    <t>Berkowitz, Edward D.; Institute of Medicine,; National Academy of Sciences,</t>
  </si>
  <si>
    <t>Emergency Medical Services for Children</t>
  </si>
  <si>
    <t>Institute of Medicine Staff; Durch, Jane S.; Lohr, Kathleen N.; Institute of Medicine,; National Academy of Sciences,</t>
  </si>
  <si>
    <t>Dietary Reference Intakes</t>
  </si>
  <si>
    <t>Committee on Use of Dietary Reference Intakes in Nutrition Labeling; Food and Nutrition Board,; Institute of Medicine,; National Academy of Sciences,</t>
  </si>
  <si>
    <t>Dispelling the Myths about Addiction : Strategies to Increase Understanding and Strengthen Research</t>
  </si>
  <si>
    <t>Institute of Medicine Staff; Institute of Medicine,; National Academy of Sciences,</t>
  </si>
  <si>
    <t>Hip Fracture : Setting Priorities for Effectiveness Research</t>
  </si>
  <si>
    <t>Committee of the Institute of Medicine Division of; Heithoff, Kim; Lohr, Kathleen N.; Lohr, Kathleen N.; National Academy of Sciences,</t>
  </si>
  <si>
    <t>Balancing the Scales of Opportunity : Ensuring Racial and Ethnic Diversity in the Health Professions</t>
  </si>
  <si>
    <t>Institute of Medicine Staff; Lewin, Marion E.; Rice, Barbara; Institute of Medicine,; National Academy of Sciences,</t>
  </si>
  <si>
    <t>Program for Research in Military Nursing : Progress and Future Direction</t>
  </si>
  <si>
    <t>Vaccine Supply and Innovation</t>
  </si>
  <si>
    <t>Institute of Medicine Staff; Institute of Medicine,; National Research Council,; National Academy of Sciences,</t>
  </si>
  <si>
    <t>Pharmacy; Economics; Business/Management; Medicine</t>
  </si>
  <si>
    <t>Treating Drug Problems</t>
  </si>
  <si>
    <t>Institute of Medicine Staff; Gerstein, Dean R.; Harwood, Henrick J.</t>
  </si>
  <si>
    <t>Isotopes for Medicine and the Life Sciences</t>
  </si>
  <si>
    <t>Institute of Medicine Staff; Adelstein, S. James; Manning, Frederick J.; Institute of Medicine,; National Academy of Sciences,</t>
  </si>
  <si>
    <t>Indoor Allergens : Assessing and Controlling Adverse Health Effects</t>
  </si>
  <si>
    <t>Institute of Medicine Staff; Pope, A.; Patterson, Roy</t>
  </si>
  <si>
    <t>Blood Banking and Regulation : Procedures, Problems, and Alternatives</t>
  </si>
  <si>
    <t>Institute of Medicine, Forum on Blood Safety; Dauer, Edward A.; Institute of Medicine,</t>
  </si>
  <si>
    <t>Evaluation of Radiation Exposure Guidance for Military Operations : Interim Report</t>
  </si>
  <si>
    <t>Mettler, Fred A.; National Academy of Sciences,</t>
  </si>
  <si>
    <t>Military Science; Health; Social Science</t>
  </si>
  <si>
    <t>Tooele Chemical Agent Disposal Facility : Update on National Research Council Recommendations</t>
  </si>
  <si>
    <t>National Research Council Staff; Commission on Engineering and Technical Systems,; Division on Engineering and Physical Sciences,; National Research Council,; National Academy of Sciences,</t>
  </si>
  <si>
    <t>Assessing Genetic Risks : Implications for Health and Social Policy</t>
  </si>
  <si>
    <t>Institute of Medicine Staff; Andrews, Lori B.; Holtzman, Neil A.</t>
  </si>
  <si>
    <t>Antimicrobial Resistance : Issues and Options</t>
  </si>
  <si>
    <t>Harrison, Polly F.; Lederberg, Joshua; Forum on Emerging Infections,; Institute of Medicine,; National Academy of Sciences,</t>
  </si>
  <si>
    <t>Healthy Communities : New Partnerships for the Future of Public Health</t>
  </si>
  <si>
    <t>Institute of Medicine Staff; Stoto, Michael A.; Abel, Cynthia; Institute of Medicine,</t>
  </si>
  <si>
    <t>Work-Related Musculoskeletal Disorders : A Review of the Evidence</t>
  </si>
  <si>
    <t>National Research Council Staff; Committee on Human Factors,; Board on Human-Systems Integration,; Division of Behavioral and Social Sciences and Education,; National Research Council,; National Academy of Sciences,</t>
  </si>
  <si>
    <t>Sources of Medical Technology : Universities and Industry</t>
  </si>
  <si>
    <t>Gelijns, Annetine C.; Rosenberg, Nathan; Committee on Technological Innovation in Medicine,; Institute of Medicine,; National Research Council,; National Academy of Sciences,; Dawkins, Holly V.</t>
  </si>
  <si>
    <t>Care of the Elderly Patient : Policy Issues and Research Opportunities</t>
  </si>
  <si>
    <t>Institute of Medicine Staff; Institute of Medicine,; Barondess, Jeremiah A.; Rogers, David E.; Lohr, Kathleen N.; National Academy of Sciences,</t>
  </si>
  <si>
    <t>Radiation-Dose Reconstruction for Epidemiologic Uses</t>
  </si>
  <si>
    <t>Halcion : An Independent Assessment of Safety and Efficacy Data</t>
  </si>
  <si>
    <t>Institute of Medicine Staff; Division of Health Sciences Policy,; Institute of Medicine,</t>
  </si>
  <si>
    <t>Opportunities in the Nutrition and Food Sciences : Research Challenges and the Next Generation of Investigators</t>
  </si>
  <si>
    <t>Earl, Robert O.; Institute of Medicine Staff; Thomas, Paul R.; Institute of Medicine,</t>
  </si>
  <si>
    <t>Toxicologic Assessment of the Army's Zinc Cadmium Sulfide Dispersion Tests</t>
  </si>
  <si>
    <t>Consensus Development at the NIH : Improving the Program</t>
  </si>
  <si>
    <t>Institute of Medicine Staff; Council on Health Care Technology,; Institute of Medicine,; National Academy of Sciences,</t>
  </si>
  <si>
    <t>Blood and Blood Products : Safety and Risk</t>
  </si>
  <si>
    <t>Bendixen, Henrick; Manning, Frederick J.; Sparacino, Linette; Forum on Blood Safety and Blood Availability,; Institute of Medicine,</t>
  </si>
  <si>
    <t>Managed Care Systems and Emerging Infections : Challenges and Opportunities for Strengthening Surveillance</t>
  </si>
  <si>
    <t>Institute of Medicine Staff; Based on a Workshop of the Forum on Emerging Infections,; Institute of Medicine,; National Academy of Sciences,</t>
  </si>
  <si>
    <t>People's Health : A Memoir of Public Health and Its Evolution at Harvard</t>
  </si>
  <si>
    <t>Henig, Robin M.; Joseph Henry Press,; National Academy of Sciences,</t>
  </si>
  <si>
    <t>Review of the Department of Defense's Program for Breast Cancer Research</t>
  </si>
  <si>
    <t>Effects of Health Programs on Child Mortality in Sub-Saharan Africa</t>
  </si>
  <si>
    <t>National Research Council Staff; Ewbank, Douglas C.; Gribble, James N.; National Research Council,; Ewbank, Douglas C.; Gribble, James N.</t>
  </si>
  <si>
    <t>Children's Vaccine Initiative : Achieving the Vision</t>
  </si>
  <si>
    <t>Institute of Medicine Staff; Mitchell, Violaine S.; Philipose, Nalini M.; Committee on the Children's Vaccine Initiative: Planning Alternative Strategies,; Institute of Medicine,; National Academy of Sciences,</t>
  </si>
  <si>
    <t>Arctic Aeromedical Laboratory's Thyroid Function Study : A Radiological Risk and Ethical Analysis</t>
  </si>
  <si>
    <t>NRC, Committee on Evaluation of 1950s Air Force Hu</t>
  </si>
  <si>
    <t>Preventing Low Birthweight : Summary</t>
  </si>
  <si>
    <t>Institute of Medicine Staff; Division of Health Promotion and Disease Prevention,; Institute of Medicine,; National Academy of Sciences,</t>
  </si>
  <si>
    <t>Ensuring Safe Food : From Production to Consumption</t>
  </si>
  <si>
    <t>Institute of Medicine Staff; National Research Council Staff; National Academy of Sciences,; Institute of Medicine,; National Research Council,</t>
  </si>
  <si>
    <t>Quality of Life and Technology Assessment</t>
  </si>
  <si>
    <t>Institute of Medicine Staff; Institute of Medicine,; Mosteller, Frederick; Falotico-Taylor, Jennifer; National Academy of Sciences,</t>
  </si>
  <si>
    <t>Systems of Accountability : Implementing Children's Health Insurance Programs</t>
  </si>
  <si>
    <t>National Research Council Staff; Institute of Medicine Staff; Coye, Molly Joel; Institute of Medicine,; Edmunds, Margaret; Coye, Molly Joel</t>
  </si>
  <si>
    <t>Toxicity of Military Smokes and Obscurants</t>
  </si>
  <si>
    <t>National Research Council Staff; Commission on Life Sciences,; Division on Earth and Life Studies,; National Research Council,; Committee on Toxicology,; National Academy of Sciences,</t>
  </si>
  <si>
    <t>Patient Outcomes Research Teams (PORTS) : Managing Conflict of Interest</t>
  </si>
  <si>
    <t>Institute of Medicine Staff; Donaldson, Molla S.; Capron, Alexander M.; Institute of Medicine,</t>
  </si>
  <si>
    <t>Veterans and Agent Orange</t>
  </si>
  <si>
    <t>Commitee to Review the Health Effects in Vietnam Veterans of Exposure to Herbicides; Board on Health Promotion and Disease Prevention,; Institute of Medicine,; National Academy of Sciences,</t>
  </si>
  <si>
    <t>Adverse Reproductive Outcomes in Families of Atomic Veterans : The Feasibility of Epidemiologic Studies</t>
  </si>
  <si>
    <t>Institute of Medicine Staff; Committee to Study the Feasibility of, and Need for,</t>
  </si>
  <si>
    <t>Exploring a Vision</t>
  </si>
  <si>
    <t>Tina I. Rouse and Debra P. Davis; Davis, Debra P.; Planning Group for a Workshop on Exploring a Vision: Integrating Knowledge for Food and Health,; Board on Agriculture and Natural Resources,; Division on Earth and Life Studies,; National Research Council,; National Academy of Sciences,</t>
  </si>
  <si>
    <t>Myopia : Prevalence and Progression</t>
  </si>
  <si>
    <t>Issues in Risk Assessment</t>
  </si>
  <si>
    <t>Development of Medications for the Treatment of Opiate and Cocaine Addictions : Issues for the Government and Private Sector</t>
  </si>
  <si>
    <t>National Institute on Drug Abuse, Institute of Medicine Staff; Fulco, Carolyn E.; Liverman, Catharyn T.; Committee to Study Medication Development and Research at the National Institute on Drug Abuse,; Institute of Medicine,; National Academy of Sciences,</t>
  </si>
  <si>
    <t>Emerging Infections : Microbial Threats to Health in the United States</t>
  </si>
  <si>
    <t>Lederberg, Joshua; Shope, Robert E.; Oaks, Stanley C.; Committee on Emerging Microbial Threats to Health,; Institute of Medicine,; National Academy of Sciences,</t>
  </si>
  <si>
    <t>Setting Priorities for Clinical Practice Guidelines</t>
  </si>
  <si>
    <t>Institute of Medicine Staff; Field, Marilyn J.; Institute of Medicine,; National Research Council,; National Academy of Sciences,</t>
  </si>
  <si>
    <t>HIV and the Blood Supply : An Analysis of Crisis Decision Making</t>
  </si>
  <si>
    <t>Institute of Medicine Staff; Leveton, Lauren B.; Sox, Harold C.</t>
  </si>
  <si>
    <t>Resource Sharing in Biomedical Research</t>
  </si>
  <si>
    <t>Division of Health Science Policy, Institute of Medicine Staff; Berns, Kenneth I.; Bond, Enriqueta C.; Committee on Resource Sharing in Biomedical Research,; Institute of Medicine,; National Academy of Sciences,; Manning, Frederick J.</t>
  </si>
  <si>
    <t>Pesticides in the Diets of Infants and Children</t>
  </si>
  <si>
    <t>Social Impact of AIDS in the United States</t>
  </si>
  <si>
    <t>Use of Multi-State Life Tables in Estimating Places for Biomedical and Behavioral Scientists : A Technical Paper</t>
  </si>
  <si>
    <t>National Research Council Staff; Office of Scientific and Engineering Personnel,; Policy and Global Affairs,; National Research Council,; National Academy of Sciences,</t>
  </si>
  <si>
    <t>Acute Myocardial Infarction : Setting Priorities for Effectiveness Research</t>
  </si>
  <si>
    <t>Institute of Medicine Staff; Institute of Medicine,; Mattingly, Patrick H.; Lohr, Kathleen N.; National Academy of Sciences,</t>
  </si>
  <si>
    <t>Control of Cardiovascular Diseases in Developing Countries : Research, Development, and Institutional Strengthening</t>
  </si>
  <si>
    <t>Institute of Medicine Staff; Howson, Christopher P.</t>
  </si>
  <si>
    <t>Leading Health Indicators for Healthy People, 2010 : First Interim Report</t>
  </si>
  <si>
    <t>Adopting New Medical Technology</t>
  </si>
  <si>
    <t>Institute of Medicine Staff; Gelijns, Annetine C.; Dawkins, Holly V.; Institute of Medicine,</t>
  </si>
  <si>
    <t>Dental Education at the Crossroads : Challenges and Change</t>
  </si>
  <si>
    <t>Institute of Medicine Staff; Field, Marilyn J.; Institute of Medicine,; National Academy of Sciences,</t>
  </si>
  <si>
    <t>Role of Purchasers and Payers in the Clinical Research Enterprise : Workshop Summary</t>
  </si>
  <si>
    <t>Tunis, Sean; Korn, Allan; Ommaya, Alex; Based on a Workshop of the Clinical Research Roundtable,; Board on Health Sciences Policy,; Institute of Medicine,; National Academy of Sciences,</t>
  </si>
  <si>
    <t>Assessment of Exposure-Response Functions for Rocket-Emission Toxicants</t>
  </si>
  <si>
    <t>Review of NASA's Longitudinal Study of Astronaut Health</t>
  </si>
  <si>
    <t>Longnecker, David E.; Board on Health Sciences Policy,; Institute of Medicine,; National Academy of Sciences,; Longnecker, David E.; Manning, Frederick J.; Worth, Melvin H.</t>
  </si>
  <si>
    <t>Measuring Functional Capacity and Work Requirements : Summary of a Workshop</t>
  </si>
  <si>
    <t>National Research Council Staff; Institute of Medicine Staff; Rice, Dorothy P.; Committee on National Statistics,; National Research Council,; National Academy of Sciences,</t>
  </si>
  <si>
    <t>Nutrition Education in U. S. Medical Schools</t>
  </si>
  <si>
    <t>National Research Council Staff; Food and Nutrition Board,; Commission on Life Sciences,; Division on Earth and Life Studies,; National Research Council,; National Academy of Sciences,</t>
  </si>
  <si>
    <t>Characterizing Exposure of Veterans to Agent Orange and Other Herbicides Used in Vietnam : Scientific Considerations Regarding a Request for Proposals for Research</t>
  </si>
  <si>
    <t>2020 Vision : Health in the 21st Century</t>
  </si>
  <si>
    <t>Institute of Medicine Staff; National Academy of Sciences,</t>
  </si>
  <si>
    <t>Xenotransplantation : Science, Ethics, and Public Policy</t>
  </si>
  <si>
    <t>Committee on Xenograft, Transplantation Institute; Institute of Medicine,</t>
  </si>
  <si>
    <t>Food and Drug Administration Advisory Committees</t>
  </si>
  <si>
    <t>Committee to Study the Use of Advisory Committees; Rettig, Richard A.; Earley, Laurence C.; Committee to Study the Use of Advisory Committees,; Institute of Medicine,</t>
  </si>
  <si>
    <t>Access to Health Care in America</t>
  </si>
  <si>
    <t>Institute of Medicine Staff; Millman, Michael L.; Institute of Medicine,; National Academy of Sciences,</t>
  </si>
  <si>
    <t>New Frontiers in Contraceptive Research : A Blueprint for Action</t>
  </si>
  <si>
    <t>Nass, Sharyl J.; Strauss, Jerome F.; Institute of Medicine (U.S.), Committee on New Frontiers in Contraceptive Research Staff; National Academy of Sciences,; Nass, Sharyl J.; Strauss, Jerome F. , III</t>
  </si>
  <si>
    <t>Health Services Research : Work Force and Educational Issues</t>
  </si>
  <si>
    <t>Institute of Medicine Staff; Field, Marilyn J.; Tranquada, Robert E.; Committee on Health Services Research: Training and Work Force Issues,; Institute of Medicine,; National Research Council,; National Academy of Sciences,</t>
  </si>
  <si>
    <t>Using Performance Monitoring to Improve Community Health</t>
  </si>
  <si>
    <t>Weissman, Ellen M.; Board on Health Promotion and Disease Prevention,; Institute of Medicine,; National Academy of Sciences,</t>
  </si>
  <si>
    <t>Nation's Physician Workforce : Options for Balancing Supply and Requirements</t>
  </si>
  <si>
    <t>Institute of Medicine Staff; Lohr, Kathleen N.; Vanselow, Neal A.; Committee on the U.S. Physician Supply,; Institute of Medicine,; National Academy of Sciences,</t>
  </si>
  <si>
    <t>Social Security Administration's Disability Decision Process : A Framework for Research, Second Interim Report</t>
  </si>
  <si>
    <t>Institute of Medicine Staff; Wunderlich, Gooloo S.; Rice, Dorothy P.; Institute of Medicine,; National Academy of Sciences,</t>
  </si>
  <si>
    <t>Meeting Psychosocial Needs of Women with Breast Cancer</t>
  </si>
  <si>
    <t>Hewitt, Maria Elizabeth; Holland, Jimmie C.; National Cancer Policy Board (U.S.) Staff; National Academy of Sciences,; Hewitt, Maria; Herdman, Roger; Holland, Jimmie C.</t>
  </si>
  <si>
    <t>Collaboration among Competing Managed Care Organizations for Quality Improvement</t>
  </si>
  <si>
    <t>Donaldson, Molla S.; The National Roundtable on Health Care Quality,; Institute of Medicine,; National Academy of Sciences,</t>
  </si>
  <si>
    <t>Acute Exposure Guideline Levels for Selected Airborne Chemicals</t>
  </si>
  <si>
    <t>Subcommittee on Acute Exposure Guideline Levels; Committee on Toxicology,; Board on Environmental Studies and Toxicology,; Division on Earth and Life Studies,; National Research Council,; National Academy of Sciences,</t>
  </si>
  <si>
    <t>Ethical and Legal Issues of Including Women in Clinical Studies : Workshop and Commissioned Papers</t>
  </si>
  <si>
    <t>Committee on the Ethical and Legal Issues Relating t; Mastroianni, Anna C.; Faden, Ruth R.; Committee on the Ethical and Legal Issues Relating to the Inclusion of Women in Clinical Studies,; Institute of Medicine,; National Academy of Sciences,</t>
  </si>
  <si>
    <t>New Medical Devices : Invention, Development and Use</t>
  </si>
  <si>
    <t>National Academy of Engineering Staff; Institute of Medicine,; Ekelman, Karen B.; National Academy of Sciences,</t>
  </si>
  <si>
    <t>AIDS and Behavior : An Integrated Approach</t>
  </si>
  <si>
    <t>Institute of Medicine, Committee on Substance Abuse; Auerbach, Judith D.; Wypijewski, Christina; Committee on Substance Abuse and Mental Health Issues in AIDS Research,; Institute of Medicine,; National Academy of Sciences,</t>
  </si>
  <si>
    <t>Toxicological and Performance Aspects of Oxygenated Motor Vehicle Fuels</t>
  </si>
  <si>
    <t>Radiation in Medicine : A Need for Regulatory Reform</t>
  </si>
  <si>
    <t>Institute of Medicine Staff; Gottfried, Kate-Louise D.; Penn, Gary; Institute of Medicine,</t>
  </si>
  <si>
    <t>Reducing Stress Fracture in Physically Active Military Women</t>
  </si>
  <si>
    <t>Institute of Medicine Staff; Committee on Military Nutrition Research,; Institute of Medicine,; National Academy of Sciences,</t>
  </si>
  <si>
    <t>Non-Heart-Beating Organ Transplantation : Medical and Ethical Issues in Procurement</t>
  </si>
  <si>
    <t>Institute of Medicine Staff; Potts, John T.; Herdman, Roger; National Academy of Sciences,</t>
  </si>
  <si>
    <t>Leading Health Indicators for Healthy People, 2010 : Second Interim Report</t>
  </si>
  <si>
    <t>Pacific Partnerships for Health : Charting a New Course</t>
  </si>
  <si>
    <t>Feasley, Jill C.; Lawrence, Robert S.; Committee on Health Care Services in the U.S.-Associated Pacific Basin,; Institute of Medicine,</t>
  </si>
  <si>
    <t>Orphans and Incentives : Developing Technology to Address Emerging Infections</t>
  </si>
  <si>
    <t>Harrison, Polly F.; Lederberg, Joshua; Forum on Emerging Infections,; Institute of Medicine,; National Research Council,; National Academy of Sciences,</t>
  </si>
  <si>
    <t>Radiological Assessments for the Resettlement of Rongelap in the Republic of the Marshall Islands</t>
  </si>
  <si>
    <t>Review of the Disability Evaluation Study Design</t>
  </si>
  <si>
    <t>Wunderlich, Gooloo S.; Kalsbeek, William D.; Commission on Behavioral and Social Sciences and Education,; Committee to Review the Social Security Administration's Disability Decision Process Research,; Institute of Medicine,; Committee on National Statistics,; National Research Council,; National Academy of Sciences,</t>
  </si>
  <si>
    <t>Nursing, Health, and the Environment</t>
  </si>
  <si>
    <t>Institute of Medicine Staff; Pope, Andrew M.; Snyder, Meta A.; Committee on Enhancing Environmental Health Content in Nursing Practice,; Institute of Medicine,; National Academy of Sciences,</t>
  </si>
  <si>
    <t>Biologic Markers in Urinary Toxicology</t>
  </si>
  <si>
    <t>National Research Council Staff; Subcommittee on Biologic Markers in Urinary Toxico; Division on Earth and Life Studies,; National Research Council,</t>
  </si>
  <si>
    <t>NIH Extramural Center Programs : Criteria for Initiation and Evaluation</t>
  </si>
  <si>
    <t>Manning, Frederick J.; McGeary, Michael G. H.; Estabrook, Ronald W.; National Academy of Sciences,; Estabrook, Ronald W.; McGeary, Michael G.H.; Manning, Frederick J.</t>
  </si>
  <si>
    <t>Blood Donors and the Supply of Blood and Blood Products</t>
  </si>
  <si>
    <t>Institute of Medicine Staff; Manning, Frederick; Sparacino, Linette; Institute of Medicine,; National Academy of Sciences,</t>
  </si>
  <si>
    <t>Contraceptive Research, Introduction and Use : Lessons from Norplant</t>
  </si>
  <si>
    <t>Institute of Medicine Staff; Division of Health Sciences Policy,; National Academy of Sciences,; Institute of Medicine,; Harrison, Polly F.; Rosenfield, Allan</t>
  </si>
  <si>
    <t>Fulfilling the Potential of Cancer Prevention and Early Detection : An American Cancer Society and Institute of Medicine Symposium</t>
  </si>
  <si>
    <t>Herdman, Roger; Lichtenfeld, Leonard; National Research Council,; National Academy of Sciences,; Herdman, Roger; Lichtenfeld, Leonard</t>
  </si>
  <si>
    <t>Adequacy of the VA Persian Gulf Registry and Uniform Case Assessment Protocol</t>
  </si>
  <si>
    <t>Gender Differences in Susceptibility to Environmental Factor : A Priority Assessment, Workshop Summary</t>
  </si>
  <si>
    <t>Setlow, Valerie P.; Lawson, C. Elaine; Woods, Nancy F.; Committee on Gender Differences in Susceptibility to Environmental Factors,; Institute of Medicine,; National Academy of Sciences,</t>
  </si>
  <si>
    <t>Future of Public Health</t>
  </si>
  <si>
    <t>Institute of Medicine Staff; Division of Health Care Services,; Institute of Medicine,</t>
  </si>
  <si>
    <t>Strengthening Research in Academic OB-GYN Departments</t>
  </si>
  <si>
    <t>Institute of Medicine Staff; Townsend, Jessica; Institute of Medicine,; National Academy of Sciences,</t>
  </si>
  <si>
    <t>Copper in Drinking Water</t>
  </si>
  <si>
    <t>Copper in Drinking Water Committee; National Research Council Staff; Commission on Life Sciences Staff; National Research Council,; National Academy of Sciences,</t>
  </si>
  <si>
    <t>Developing the Information Infrastructure for Medicare Beneficiaries : Summary of a Workshop</t>
  </si>
  <si>
    <t>Institute of Medicine, Committee on Choice and Managed Care Staff; Jopeck, Valerie Tate; Lewin, Marion Ein</t>
  </si>
  <si>
    <t>Prevention of Micronutrient Deficiencies : Tools for Policymakers and Public Health Workers</t>
  </si>
  <si>
    <t>Institute of Medicine Staff; Howson, Christopher P.; Kennedy, Eileen T.; Committee on Micronutrient Deficiencies,; Institute of Medicine,</t>
  </si>
  <si>
    <t>Biomedical Politics</t>
  </si>
  <si>
    <t>Institute of Medicine Staff; Hanna, Kathi E.; Institute of Medicine,; National Academy of Sciences,; Hanna, Kathi E.</t>
  </si>
  <si>
    <t>Setting Priorities for Health Technologies Assessment : A Model Process</t>
  </si>
  <si>
    <t>Donaldson, Molla S.; Sox, Harold C.</t>
  </si>
  <si>
    <t>Improving America's Diet and Health : From Recommendations to Action</t>
  </si>
  <si>
    <t>Research and Service Programs in the PHS : Challenges in Organization</t>
  </si>
  <si>
    <t>Epidemiology in Military and Veteran Populations : Proceedings of the Second Biennial Conference, March 7, 1990</t>
  </si>
  <si>
    <t>Institute of Medicine Staff; Page, William F.; Institute of Medicine,; National Academy of Sciences,</t>
  </si>
  <si>
    <t>Nutrition During Pregnancy and Lactation : An Implementation Guide</t>
  </si>
  <si>
    <t>Advances in Understanding Genetic Changes in Cancer : Impact on Diagnosis and Treatment Decisions in the 1990s</t>
  </si>
  <si>
    <t>Nutrition Services in Perinatal Care</t>
  </si>
  <si>
    <t>Institute of Medicine, Food and Nutrition Board; Food and Nutrition Board,; Institute of Medicine,; Division on Earth and Life Studies,; National Academy of Sciences,</t>
  </si>
  <si>
    <t>Risk Assessment in the Federal Government : Managing the Process</t>
  </si>
  <si>
    <t>Biologic Markers in Pulmonary Toxicology</t>
  </si>
  <si>
    <t>Animals as Sentinels of Environmental Health Hazards</t>
  </si>
  <si>
    <t>National Research Council Staff; Board on Environmental Studies and Toxicology,; Commission on Life Sciences,; Division on Earth and Life Studies,; National Research Council,; National Academy of Sciences,</t>
  </si>
  <si>
    <t>Fat Content and Composition of Animal Products : Proceedings of a Symposium</t>
  </si>
  <si>
    <t>Food and Nutrition Board, Natural Research Council S</t>
  </si>
  <si>
    <t>National Priorities for the Assessment of Clinical Conditions and Medical Technologies : Report of a Pilot Study</t>
  </si>
  <si>
    <t>Valuing Health Risks, Costs, and Benefits for Environmental Decision Making : Report of a Conference</t>
  </si>
  <si>
    <t>National Research Council Staff; Mathematics and Resources,; Commission on Behavioral and Social Sciences and Education,; National Research Council,; National Academy of Sciences,; Division of Behavioral and Social Sciences and Education,; Hammond, P. Brett; Coppock, Rob</t>
  </si>
  <si>
    <t>Nutritional Needs in Hot Environments : Applications for Military Personnel in Field Operations</t>
  </si>
  <si>
    <t>Institute of Medicine Staff; Mariott, Bernadette M.</t>
  </si>
  <si>
    <t>Reports of the Committee on Vision : 1947-1990</t>
  </si>
  <si>
    <t>Committee on Vision, National Research Council; Commission on Behavioral and Social Sciences and Education,; Division of Behavioral and Social Sciences and Education,; National Research Council,; Albanes, Joanne; National Academy of Sciences,</t>
  </si>
  <si>
    <t>Film Badge Dosimetry in Atmospheric Nuclear Tests</t>
  </si>
  <si>
    <t>National Research Council Staff; Commission on Engineering and Technical Systems,; Division on Engineering and Physical Sciences,; National Research Council,; Lalos, George; National Academy of Sciences,</t>
  </si>
  <si>
    <t>Developing New Contraceptives : Obstacles and Opportunities</t>
  </si>
  <si>
    <t>Committee on Contraceptive Development, National R</t>
  </si>
  <si>
    <t>Discovering the Brain</t>
  </si>
  <si>
    <t>Ackerman, Sandra; Institute of Medicine,; National Academy of Sciences,</t>
  </si>
  <si>
    <t>Nutrient Adequacy : Assessment Using Food Consumption Surveys</t>
  </si>
  <si>
    <t>Diet, Nutrition, and Cancer : Directions for Research</t>
  </si>
  <si>
    <t>Environmental Neurotoxicology</t>
  </si>
  <si>
    <t>National Research Council Staff; Board on Environmental Studies and Toxicology,; Commission on Life Sciences,; Division on Earth and Life Studies,; National Research Council,</t>
  </si>
  <si>
    <t>Comparative Dosimetry of Radon in Mines and Homes</t>
  </si>
  <si>
    <t>National Research Council Staff; Board on Radiation Effects Research,; Commission on Life Sciences,; Division on Earth and Life Studies,; National Research Council,; National Academy of Sciences,</t>
  </si>
  <si>
    <t>Social Science; Engineering: Environmental; Health; Engineering</t>
  </si>
  <si>
    <t>Considerations in Contact Lens Use Under Adverse Conditions : Proceedings of a Symposium</t>
  </si>
  <si>
    <t>National Research Council Staff; Flattau, Pamela E.; Commission on Behavioral and Social Sciences and Education,; Division of Behavioral and Social Sciences and Education,; National Research Council,; National Academy of Sciences,; Flattau, Pamela Ebert</t>
  </si>
  <si>
    <t>Kidney Failure and the Federal Government</t>
  </si>
  <si>
    <t>Institute of Medicine Staff; Rettig, Richard A.; Levinsky, Norman G.; National Academy of Sciences,; Rettig, Richard A.; Levinsky, Norman G.</t>
  </si>
  <si>
    <t>HIV Screening of Pregnant Women and Newborns</t>
  </si>
  <si>
    <t>Committee on Prenatal and Newborn Screening for HIV; Hardy, Leslie M.</t>
  </si>
  <si>
    <t>Contraception and Reproduction : Health Consequences for Women and Children in the Developing World</t>
  </si>
  <si>
    <t>Drinking Water and Health</t>
  </si>
  <si>
    <t>National Research Council Staff; Board on Toxicology and Environmental Health Hazards,; Commission on Life Sciences,; Division on Earth and Life Studies,; National Research Council,; National Academy of Sciences,</t>
  </si>
  <si>
    <t>Eat for Life : The Food and Nutrition Board's Guide to Reducing Your Risk of Chronic Disease</t>
  </si>
  <si>
    <t>Institute of Medicine Staff; Woteki, Catherine E.; Thomas, Paul R.</t>
  </si>
  <si>
    <t>Nutrition Issues in Developing Countries : Part I : Diarrheal Diseases, Part II : Diet and Activity During Pregnancy and Lactation</t>
  </si>
  <si>
    <t>Subcommittee on Nutrition and Diarrheal Control; Subcommittee on Diet, Physical Activity, and Pregnancy Outcome,; Committee on International Nutrition Programs,; Food and Nutrition Board,; Institute of Medicine,; National Academy of Sciences,</t>
  </si>
  <si>
    <t>Contraceptive Use and Controlled Fertility : Health Issues for Women and Children</t>
  </si>
  <si>
    <t>National Research Council Staff; Commission on Behavioral and Social Sciences and Education,; Division of Behavioral and Social Sciences and Education,; National Research Council,; Parnell, Allan M.; National Academy of Sciences,</t>
  </si>
  <si>
    <t>Oral Contraceptives and Breast Cancer</t>
  </si>
  <si>
    <t>Institute of Medicine Staff; Division of Health Promotion and Disease Prevention,; National Research Council,; Institute of Medicine,</t>
  </si>
  <si>
    <t>Second Fifty Years : Promoting Health and Preventing Disability</t>
  </si>
  <si>
    <t>Institute of Medicine Staff; Berg, Robert L.; Cassells, J. S.; National Academy of Sciences,; Cassells, Joseph S.</t>
  </si>
  <si>
    <t>Extending Life, Enhancing Life : A National Research Agenda on Aging</t>
  </si>
  <si>
    <t>Institute of Medicine Staff; Division of Health Promotion and Disease Prevention,; Institute of Medicine,; Lonergan, Edmund T.</t>
  </si>
  <si>
    <t>Toward a National Health Care Survey : A Data System for the 21st Century</t>
  </si>
  <si>
    <t>National Research Council Staff; Institute of Medicine Staff; Wonderlich, Gooloo S.; National Research Council,; Division of Health Care Services,; Division of Behavioral and Social Sciences and Education,; Institute of Medicine,; Wunderlich, Gooloo S.</t>
  </si>
  <si>
    <t>Biologic Markers in Immunotoxicology</t>
  </si>
  <si>
    <t>National Research Council Staff; Committee on Biologic Markers,; Board on Environmental Studies and Toxicology,; Commission on Life Sciences,; Division on Earth and Life Studies,; National Research Council,; National Academy of Sciences,</t>
  </si>
  <si>
    <t>Multiple Chemical Sensitivities : Addendum to Biologic Markers in Immunotoxicology</t>
  </si>
  <si>
    <t>National Research Council Staff; Division on Earth and Life Studies,; National Research Council,</t>
  </si>
  <si>
    <t>Dietary Reference Intakes : Proposed Definition and Plan for Review of Dietary Antioxidants and Related Compounds</t>
  </si>
  <si>
    <t>Informing the Future : Critical Issues in Health</t>
  </si>
  <si>
    <t>Assessing Health Care Reform</t>
  </si>
  <si>
    <t>Institute of Medicine Staff; Field, Marilyn J.; Lohr, Kathleen N.; Committee on Assessing Health Care Reform Proposals,; Institute of Medicine,; National Research Council,; National Academy of Sciences,</t>
  </si>
  <si>
    <t>Biomedical Models and Resources : Current Needs and Future Opportunities</t>
  </si>
  <si>
    <t>Exploring the Map of Clinical Research for the Coming Decade : Symposium Summary, Clinical Roundtable, December 2000</t>
  </si>
  <si>
    <t>Board on Health Sciences Policy</t>
  </si>
  <si>
    <t>Dietary Reference Intakes : A Risk Assessment Model for Establishing Upper Intake Levels for Nutrients</t>
  </si>
  <si>
    <t>Roles of Academic Health Centers in the 21st Century : A Workshop Summary</t>
  </si>
  <si>
    <t>Kohn, Linda T.; Committee on the Roles of Academic Health Centers in the 21st Century</t>
  </si>
  <si>
    <t>Leading Health Indicators for Healthy People 2010 : Final Report</t>
  </si>
  <si>
    <t>Institute of Medicine Staff; Institute of Medicine,; National Academy of Sciences,; Chrvala, Carole A.; Bulger, Roger J.</t>
  </si>
  <si>
    <t>America's Vital Interest in Global Health : Protecting Our People, Enhancing Our Economy, and Advancing Our International Interests</t>
  </si>
  <si>
    <t>Assessment of the NIH Women's Health Initiative</t>
  </si>
  <si>
    <t>Institute of Medicine Staff; Thaul, Susan; Hoftra, Dana; Institute of Medicine,; National Academy of Sciences,</t>
  </si>
  <si>
    <t>Review of the Fialuridine (FIAU) Clinical Trials</t>
  </si>
  <si>
    <t>Institute of Medicine Staff; Committee to Review the Fialuridine (FIAU/FIAC) Clinical Trials,; Institute of Medicine,; National Research Council,; National Academy of Sciences,; Swartz, Martin</t>
  </si>
  <si>
    <t>Clinical Applications of Mifepristone (RU486) and Other Antiprogestins : Assessing the Science and Recommending a Research Agenda</t>
  </si>
  <si>
    <t>Institute of Medicine Staff; Donaldson, Molla S.; Dorflinger, Laneta; Committee on Antiprogestins: Assessing the Science,; Institute of Medicine,; Benet, Leslie Z.</t>
  </si>
  <si>
    <t>Richard and Hinda Rosenthal Lectures Spring 2001 : Crossing the Quality Chasm</t>
  </si>
  <si>
    <t>Measuring Lead Exposure in Infants, Children, and Other Sensitive Populations</t>
  </si>
  <si>
    <t>Evaluation of Guidelines for Exposures to Technologically Enhanced Naturally Occurring Radioactive Materials</t>
  </si>
  <si>
    <t>Health; Social Science; Science; Science: Anatomy/Physiology</t>
  </si>
  <si>
    <t>Society's Choices : Social and Ethical Decision Making in Biomedicine</t>
  </si>
  <si>
    <t>Institute of Medicine Staff; Feinberg, Harvey V.; Bulger, Ruth E.; Committee on the Social and Ethical Impacts of Developments in Biomedicine,; Institute of Medicine,; National Academy of Sciences,</t>
  </si>
  <si>
    <t>Markey Scholars Conference : Proceedings</t>
  </si>
  <si>
    <t>Reinhart, George R.; Board on Higher Education and Workforce,; Policy and Global Affairs,; National Research Council,; Reinhart, George R.</t>
  </si>
  <si>
    <t>Fluid Resuscitation : State of the Science for Treating Combat Casualties and Civilian Injuries</t>
  </si>
  <si>
    <t>Role of Protein and Amino Acids in Sustaining and Enhancing Performance</t>
  </si>
  <si>
    <t>Health Effects of Exposure to Low Levels of Ionizing Radiations : Time for Reassessment?</t>
  </si>
  <si>
    <t>Enhancing the Regulatory Decision-Making Approval Process for Direct Food Ingredient Technologies</t>
  </si>
  <si>
    <t>Public Confidence and Involvement in Clinical Research : Symposium Summary, Clinical Roundtable, September 2000</t>
  </si>
  <si>
    <t>Changing Health Care Systems and Rheumatic Disease</t>
  </si>
  <si>
    <t>Manning, Frederick J.; Barondess, Jeremiah A.; Institute of Medicine Staff; Institute of Medicine,; National Academy of Sciences,</t>
  </si>
  <si>
    <t>Measuring the Quality of Health Care</t>
  </si>
  <si>
    <t>Donaldson, Molla S.</t>
  </si>
  <si>
    <t>Patient Safety : Achieving a New Standard for Care</t>
  </si>
  <si>
    <t>Aspden, Philip; Institute of Medicine (U.S.), Committee on Data Standards for Patient Safety Staff; Committee on Data Standards for Patient Safety,; National Academy of Sciences,; Aspden, Philip; Corrigan, Janet M.; Wolcott, Julie; Erickson, Shari M.</t>
  </si>
  <si>
    <t>Meeting the Nation's Needs for Biomedical and Behavioral Scientists</t>
  </si>
  <si>
    <t>Adverse Events Associated with Childhood Vaccines : Evidence Bearing on Casuality</t>
  </si>
  <si>
    <t>Institute of Medicine Staff; Stratton, Kathleen R.; Howe, Cynthia J.</t>
  </si>
  <si>
    <t>Fetal Research and Applications : A Conference Summary</t>
  </si>
  <si>
    <t>Institute of Medicine, Fetal Research and Applications Staff; Institute of Medicine,; National Academy of Sciences,</t>
  </si>
  <si>
    <t>Review of the Hanford Thyroid Disease Study Draft Final Report</t>
  </si>
  <si>
    <t>National Academy of Sciences Staff</t>
  </si>
  <si>
    <t>Computer-Based Patient Record : An Essential Technology for Health Care, Revised Edition</t>
  </si>
  <si>
    <t>Dick, Richard S.; Steen, Elaine B.; Detmer, Don E.</t>
  </si>
  <si>
    <t>WIC Nutrition Risk Criteria : A Scientific Assessment</t>
  </si>
  <si>
    <t>National Academy Press Staff; Institute of Medicine,</t>
  </si>
  <si>
    <t>Review of Acute Human-Toxicity Estimates for Selected Chemical-Warfare Agents</t>
  </si>
  <si>
    <t>Medical Follow-up Agency : The First Fifty Years, 1946-1996</t>
  </si>
  <si>
    <t>Institute of Medicine Staff; Berkowitz, Edward D.; Santangelo, Mark J.</t>
  </si>
  <si>
    <t>Hidden Epidemic : Confronting Sexually Transmitted Diseases, Summary</t>
  </si>
  <si>
    <t>National Research Council Staff; Institute of Medicine,; National Academy of Sciences,</t>
  </si>
  <si>
    <t>Federal Regulation of Methadone Treatment</t>
  </si>
  <si>
    <t>Yarmolinsky, Adam; Rettig, Richard A.; Committee on Federal Regulation of Methadone Treatment,; Institute of Medicine,; National Academy of Sciences,</t>
  </si>
  <si>
    <t>Infectious Diseases in an Age of Change : The Impact of Human Ecology and Behavior on Disease Transmission</t>
  </si>
  <si>
    <t>Roizman, Bernard; National Academy of Sciences,</t>
  </si>
  <si>
    <t>Ninth Interim Report of the Subcommittee on Acute Exposure Guideline Levels</t>
  </si>
  <si>
    <t>National Research Council; Committee on Toxicology; National Research Council</t>
  </si>
  <si>
    <t>Health; Social Science; Engineering: Chemical; Engineering</t>
  </si>
  <si>
    <t>Exploring Innovation and Quality Improvement in Health Care Micro-Systems : A Cross-Case Analysis</t>
  </si>
  <si>
    <t>Potential Radiation Exposure in Military Operations : Protecting the Soldier Before, During, and After</t>
  </si>
  <si>
    <t>Health Effects of Ingested Fluoride</t>
  </si>
  <si>
    <t>Fetal Alcohol Syndrome : Diagnosis, Epidemiology, Prevention, and Treatment</t>
  </si>
  <si>
    <t>Institute of Medicine Staff; Stratton, Kathleen; Howe, Cynthia J.</t>
  </si>
  <si>
    <t>Richard and Hinda Rosenthal Lectures 2002 : Fostering Rapid Advances in Health Care</t>
  </si>
  <si>
    <t>Homelessness, Health, and Human Needs</t>
  </si>
  <si>
    <t>Committee on Health Care for Homeless People; Muroyama, Janet H.; Guyf, H.; Institute of Medicine,</t>
  </si>
  <si>
    <t>Assessment of Diagnostic Technology in Health Care : Rationale, Methods, Problems, and Directions</t>
  </si>
  <si>
    <t>Institute of Medicine Staff; Institute of Medicine,; Sox, Harold C.; National Academy of Sciences,</t>
  </si>
  <si>
    <t>Infectious Etiology of Chronic Diseases : Defining the Relationship, Enhancing the Research, and Mitigating the Effects -- Workshop Summary</t>
  </si>
  <si>
    <t>Knobler, Stacey L.; Forum on Microbial Threats,; National Academy of Sciences,; Board on Global Health,; Institute of Medicine,; O'Connor, Siobhan; Lemon, Stanley M.; Najafi, Marjan</t>
  </si>
  <si>
    <t>Acute Exposure Guideline Levels for Selected Airborne Chemicals : Volume 3</t>
  </si>
  <si>
    <t>Subcommittee on Acute Exposure Guideline Levels</t>
  </si>
  <si>
    <t>Guidelines for Clinical Practice : From Development to Use</t>
  </si>
  <si>
    <t>Institute of Medicine Staff; Field, Marilyn J.; Lohr, Kathleen N.; Institute of Medicine,; National Academy of Sciences,</t>
  </si>
  <si>
    <t>Immunodeficient Rodents : A Guide to Their Immunobiology, Husbandry, and Use</t>
  </si>
  <si>
    <t>Committee on Immunologically Compromised Rodents</t>
  </si>
  <si>
    <t>Science; Medicine; Science: Zoology</t>
  </si>
  <si>
    <t>AIDS Research Program of the National Institutes of Health</t>
  </si>
  <si>
    <t>Committee to Study the AIDS Research Program of the National Institutes of Health; Institute of Medicine,; National Research Council,; National Academy of Sciences,</t>
  </si>
  <si>
    <t>Nutrition During Lactation</t>
  </si>
  <si>
    <t>Committee on Nutritional Status During Pregnancy and Lactation; Institute of Medicine,</t>
  </si>
  <si>
    <t>Confronting AIDS : Update 1988</t>
  </si>
  <si>
    <t>Lessons and The Legacy of the Pew Health Policy Program</t>
  </si>
  <si>
    <t>Institute of Medicine Staff; Chilingerian, Jon A.; Kay, Corrine M.; Sponsored by the Pew Charitable Trusts,</t>
  </si>
  <si>
    <t>Health Data in the Information Age : Use, Disclosure, and Privacy</t>
  </si>
  <si>
    <t>Institute of Medicine, Committee on Regional Health; Lohr, Kathleen N.; Donaldson, Molla S.</t>
  </si>
  <si>
    <t>Seafood Safety</t>
  </si>
  <si>
    <t>Committee on Evaluation of the Safety of Fishery Products</t>
  </si>
  <si>
    <t>Primary Care Physicians : Financing Their Graduate Medical Education in Ambulatory Settings</t>
  </si>
  <si>
    <t>Health and Safety Needs of Older Workers</t>
  </si>
  <si>
    <t>Wegman, David H.; McGee, J.; National Research Council (U.S.), Committee on the Health and Safety Needs of Older Workers Staff; National Research Council,; National Academy of Sciences,; Wegman, David H.; McGee, James P.</t>
  </si>
  <si>
    <t>Vaccine Safety Forum : Summaries of Two Workshops</t>
  </si>
  <si>
    <t>Board on Health Promotion and Disease Prevention</t>
  </si>
  <si>
    <t>Medicine; Social Science; Health; Pharmacy</t>
  </si>
  <si>
    <t>Health of Former Prisoners of War : Results from the Medical Examination Survey of Former POWs of World War II and the Korean Conflict</t>
  </si>
  <si>
    <t>Institute of Medicine Staff; Page, William F.; Institute of Medicine,</t>
  </si>
  <si>
    <t>Work-Related Musculoskeletal Disorders : Report, Workshop Summary, and Workshop Papers</t>
  </si>
  <si>
    <t>Steering Committee for the Workshop on Work-Related Musculoskeletal Injuries: The Research Base; Board on Human-Systems Integration,; Division of Behavioral and Social Sciences and Education,; National Research Council,; National Academy of Sciences,</t>
  </si>
  <si>
    <t>Environmental Epidemiology, Volume 1 : Public Health and Hazardous Wastes</t>
  </si>
  <si>
    <t>Committee on Environmental Epidemiology</t>
  </si>
  <si>
    <t>Intentional Human Dosing Studies for EPA Regulatory Purposes : Scientific and Ethical Issues</t>
  </si>
  <si>
    <t>Committee on the Use of Third Party Toxicity Research with Human Research Participants Science</t>
  </si>
  <si>
    <t>Recommended Dietary Allowances</t>
  </si>
  <si>
    <t>Institute of Medicine Staff; National Research Council, Subcommittee on Metabolism Staff; Commission on Life Sciences,; National Research Council,</t>
  </si>
  <si>
    <t>Review of the U.S. Army's Health Risk Assessments for Oral Exposure to Six Chemical-Warfare Agents</t>
  </si>
  <si>
    <t>Subcommittee on Chronic Reference Doses for Selected Chemical Warfare Agents</t>
  </si>
  <si>
    <t>Proceedings from the Workshop on Science-Based Assessment : Accelerating Product Development of Combination Medical Devices</t>
  </si>
  <si>
    <t>Scarborough, Bonnie A.</t>
  </si>
  <si>
    <t>Injury in America : A Continuing Public Health Problem</t>
  </si>
  <si>
    <t>Committee on Trauma Research</t>
  </si>
  <si>
    <t>New Health Care for Profit : Doctors and Hospitals in a Competitive Environment</t>
  </si>
  <si>
    <t>Gray, Bradford H.</t>
  </si>
  <si>
    <t>Safe Drinking Water Committee; Board on Toxicology and Environmental Health Hazards,; Assembly of Life Sciences,; National Academy of Sciences,; Doull, John</t>
  </si>
  <si>
    <t>Veterans and Agent Orange : Health Effects of Herbicides Used in Vietnam</t>
  </si>
  <si>
    <t>Nutrition During Pregnancy : Part I : Weight Gain, Part II : Nutrient Supplements</t>
  </si>
  <si>
    <t>Committee on Nutritional Status During Pregnancy</t>
  </si>
  <si>
    <t>Funding Health Sciences Research : A Strategy to Restore Balance</t>
  </si>
  <si>
    <t>Institute of Medicine Staff; Committee on Policies for Allocating Health Sciences Research Funds,; Institute of Medicine,; Randolph, Mark A.</t>
  </si>
  <si>
    <t>Racial and Ethnic Differences in the Health of Older Americans</t>
  </si>
  <si>
    <t>National Research Council Staff; Martin, Linda G.; Soldo, Beth J.; Commission on Behavioral and Social Sciences and Education,; Division of Behavioral and Social Sciences and Education,; Martin, Linda G.; Soldo, Beth J.</t>
  </si>
  <si>
    <t>Health Literacy : A Prescription to End Confusion</t>
  </si>
  <si>
    <t>Nielsen-Bohlman, Lynn; Institute of Medicine (U.S.), Committee on Health Literacy Staff</t>
  </si>
  <si>
    <t>Artificial Heart : Prototypes, Policies, and Patients</t>
  </si>
  <si>
    <t>Hogness, John R.; VanAntwerp, Malin; Committee Staff to Evaluate the Artificial Heart P; National Academy of Sciences,; Hogness, John R.; Vanantwerp, Malin</t>
  </si>
  <si>
    <t>Science and Babies : Private Decisions, Public Dilemmas</t>
  </si>
  <si>
    <t>Wymelenberg, Suzanne; Institute of Medicine Staff; National Academy of Sciences,</t>
  </si>
  <si>
    <t>Modern Methods of Clinical Investigation</t>
  </si>
  <si>
    <t>Institute of Medicine Staff; Gelijns, Annetine C.; Institute of Medicine,; National Academy of Sciences,</t>
  </si>
  <si>
    <t>Improving Medical Education : Enhancing the Behavioral and Social Science Content of Medical School Curricula</t>
  </si>
  <si>
    <t>Cuff, Patricia A.; Board on Neuroscience and Behavioral Health,; Institute of Medicine,; National Academy of Sciences,; Cuff, Patricia A.; Vanselow, Neal A.</t>
  </si>
  <si>
    <t>Committee on Military Nutrition Research : Activity Report 1994-1999</t>
  </si>
  <si>
    <t>National Research Council Staff; Food and Nutrition Board,; Institute of Medicine,; Poos, Mary I.; Costello, Rebecca; Carlson-Newberry, Sydney J.; National Academy of Sciences,</t>
  </si>
  <si>
    <t>Prenatal Care : Reaching Mothers, Reaching Infants</t>
  </si>
  <si>
    <t>Institute of Medicine Staff; Division of Health Promotion and Disease Prevention,; Institute of Medicine,; National Academy of Sciences,; Brown, Sarah S.</t>
  </si>
  <si>
    <t>Improving Consensus Development for Health Technology Assessment : An International Perspective</t>
  </si>
  <si>
    <t>Council on Health Care Technology Institute of Med; Goodman, Clifford; Baratz, Sharon R.; Baratz, Sharon R.; National Academy of Sciences,</t>
  </si>
  <si>
    <t>Improving the Quality of Care in Nursing Homes</t>
  </si>
  <si>
    <t>Institute of Medicine Staff; National Research Council Staff</t>
  </si>
  <si>
    <t>Possible Health Effects of Exposure to Residential Electric and Magnetic Fields</t>
  </si>
  <si>
    <t>NRC Committee on Possible Effects of Electromagnetic Fields Staff; Commission on Life Sciences,; Division on Earth and Life Studies,; National Research Council,; National Academy of Sciences,</t>
  </si>
  <si>
    <t>Health; Science: Anatomy/Physiology; Social Science; Science</t>
  </si>
  <si>
    <t>Ethical Conduct of Clinical Research Involving Children</t>
  </si>
  <si>
    <t>Field, Marilyn J.; Behrman, Richard E.; Institute of Medicine (U.S.), Committee on Clinical Research Involving Children Staff; National Academy of Sciences,; Field, Marilyn J.; Behrman, Richard E.</t>
  </si>
  <si>
    <t>Tinnitus : Facts, Theories, and Treatments</t>
  </si>
  <si>
    <t>Drinking Water and Health, Volume 9 : Selected Issues in Risk Assessment</t>
  </si>
  <si>
    <t>Economics; Environmental Studies; Health; Social Science</t>
  </si>
  <si>
    <t>In the Nation's Compelling Interest : Ensuring Diversity in the Health Care Workforce</t>
  </si>
  <si>
    <t>Smedley, Brian D.; Butler, Adrienne Stith; Bristow, Lonnie R.</t>
  </si>
  <si>
    <t>Regulating Pesticides in Food : The Delaney Paradox</t>
  </si>
  <si>
    <t>Adverse Effects of Pertussis and Rubella Vaccines</t>
  </si>
  <si>
    <t>Howson, Christopher P.; Howe, Cynthia J.; Fineberg, Harvey V.</t>
  </si>
  <si>
    <t>Malaria : Obstacles and Opportunities</t>
  </si>
  <si>
    <t>Institute of Medicine Staff; Oaks, Stanley C.; Mitchell, Violaine S.; Oaks, Stanley C. , Jr.; Mitchell, Violaine S.; Pearson, Greg W.; Carpenter, Charles C.J.</t>
  </si>
  <si>
    <t>Pain and Disability : Clinical, Behavioral, and Public Policy Perspectives</t>
  </si>
  <si>
    <t>Osterweis, Marian; Kleinman, Arthur; Mechanic, David</t>
  </si>
  <si>
    <t>Workload Transition : Implications for Individual and Team Performance</t>
  </si>
  <si>
    <t>National Research Council Staff; Huey, Beverly M.; Wickens, Christopher D.; National Research Council,; National Academy of Sciences,; Huey, Beverly Messick; Wickens, Christopher D.; Wickins, Charles D.</t>
  </si>
  <si>
    <t>Risking the Future : Adolescent Sexuality, Pregnancy, and Childbearing</t>
  </si>
  <si>
    <t>National Research Council Staff; Hayes, C. O.; Division of Behavioral and Social Sciences and Education,; National Academy of Sciences,; Hayes, Cheryl D.</t>
  </si>
  <si>
    <t>Controlling Costs and Changing Patient Care? : The Role of Utilization Management</t>
  </si>
  <si>
    <t>Human Exposure Assessment for Airborne Pollutants : Advances and Opportunities</t>
  </si>
  <si>
    <t>Medical Professional Liability and the Delivery of Obstetrical Care, Volume II : An Interdisciplinary Review</t>
  </si>
  <si>
    <t>Rostow, Victoria P.; Bulger, Roger J.; Institute of Medicine Staff; Division of Health Promotion and Disease Prevention,; Institute of Medicine,</t>
  </si>
  <si>
    <t>Definition of Serious and Complex Medical Conditions</t>
  </si>
  <si>
    <t>Institute of Medicine Staff; Sharfstein, Steven; Chrvala, Carole A.</t>
  </si>
  <si>
    <t>Assessing Readiness in Military Women : The Relationship of Body, Composition, Nutrition, and Health</t>
  </si>
  <si>
    <t>Institute of Medicine Staff; Food and Nutrition Board,; Institute of Medicine,; National Academy of Sciences,</t>
  </si>
  <si>
    <t>Nursing and Nursing Education : Public Policies and Private Actions</t>
  </si>
  <si>
    <t>Science and Judgment in Risk Assessment</t>
  </si>
  <si>
    <t>Healthy People 2000 : Citizens Chart the Course</t>
  </si>
  <si>
    <t>Institute of Medicine Staff; National Academy of Sciences,; Stoto, Michael A.; Behrens, Ruth; Rosemont, Connie</t>
  </si>
  <si>
    <t>Nursing Staff in Hospitals and Nursing Homes : Is It Adequate?</t>
  </si>
  <si>
    <t>Institute of Medicine Staff; Wunderlich, Gooloo S.; Sloan, Frank; Committee on the Adequacy of Nursing Staff in Hospitals and Nursing Homes,; Institute of Medicine,; National Academy of Sciences,</t>
  </si>
  <si>
    <t>Discovery of Antivirals Against Smallpox : Executive Summary</t>
  </si>
  <si>
    <t>Committee on Transforming Biological Information into New Therapies</t>
  </si>
  <si>
    <t>Evaluation of Forensic DNA Evidence</t>
  </si>
  <si>
    <t>Committee on DNA Technology in Forensic Science</t>
  </si>
  <si>
    <t>National Research Council Staff; Board on Toxicology and Environmental Health Hazards,; Commission on Life Sciences,; Division on Earth and Life Studies,; National Research Council,</t>
  </si>
  <si>
    <t>Environmental Studies; Economics; Social Science; Health</t>
  </si>
  <si>
    <t>Allied Health Services : Avoiding Crises</t>
  </si>
  <si>
    <t>Complex Mixtures : Methods for In Vivo Toxicity Testing</t>
  </si>
  <si>
    <t>Prevention and Treatment of Alcohol Problems : Research Opportunities</t>
  </si>
  <si>
    <t>Assembly of Life Sciences, National Research Council</t>
  </si>
  <si>
    <t>Institute of Medicine Staff; Gerstein, Dean R.; Harwood, Henrick J.; Institute of Medicine,; National Academy of Sciences,</t>
  </si>
  <si>
    <t>Drinking Water and Health, Volume 7 : Disinfectants and Disinfectant By-Products</t>
  </si>
  <si>
    <t>Aging Population in the Twenty-First Century : Statistics for Health Policy</t>
  </si>
  <si>
    <t>National Research Council Staff; Committee on National Statistics,; Commission on Behavioral and Social Sciences and Education,; Division of Behavioral and Social Sciences and Education,; National Research Council,; Gilford, Dorothy M.; National Academy of Sciences,</t>
  </si>
  <si>
    <t>Evaluating AIDS Prevention Programs</t>
  </si>
  <si>
    <t>National Research Council Staff; Coyle, Susan L.; Boruch, Robert F.; Division of Behavioral and Social Sciences and Education,; National Research Council,; National Academy of Sciences,; Coyle, Susan L.; Boruch, Robert F.; Turner, Charles F.</t>
  </si>
  <si>
    <t>Community Oriented Primary Care : New Directions for Health Services Delivery</t>
  </si>
  <si>
    <t>Medical Professional Liability and the Delivery of Obstetrical Care</t>
  </si>
  <si>
    <t>Institute of Medicine Staff; Institute of Medicine,; Rostow, Victoria P.; Bulger, Roger J.</t>
  </si>
  <si>
    <t>Carcinogens and Anticarcinogens in the Human Diet : A Comparison of Naturally Occurring and Synthetic Substances</t>
  </si>
  <si>
    <t>Arsenic in Drinking Water</t>
  </si>
  <si>
    <t>Confronting AIDS : Directions for Public Health, Health Care, and Research</t>
  </si>
  <si>
    <t>Growing Up Tobacco Free : Preventing Nicotine Addiction in Children and Youths</t>
  </si>
  <si>
    <t>Institute of Medicine Staff; Lynch, Barbara S.; Bonnie, Richard J.; Institute of Medicine,</t>
  </si>
  <si>
    <t>Safe Drinking Water Committee</t>
  </si>
  <si>
    <t>Best Intentions : Unintended Pregnancy and the Well-Being of Children and Families</t>
  </si>
  <si>
    <t>Institute of Medicine Staff; Brown, Sarah S.; Eisenberg, Leon; Institute of Medicine,; National Academy of Sciences,</t>
  </si>
  <si>
    <t>Mathematics and Physics of Emerging Biomedical Imaging</t>
  </si>
  <si>
    <t>National Research Council Staff; Commission on Physical Sciences, Mathematics, and Applications,; Division on Engineering and Physical Sciences,; National Research Council,; National Academy of Sciences,</t>
  </si>
  <si>
    <t>Preventing Low Birthweight</t>
  </si>
  <si>
    <t>Institute of Medicine Staff; Division of Health Promotion and Disease Prevention,; Institute of Medicine,</t>
  </si>
  <si>
    <t>Primary Care : America's Health in a New Era</t>
  </si>
  <si>
    <t>Institute of Medicine Staff; Donaldson, Molla S.; Yordy, Karl D.; Committee on the Future of Primary Care,; Institute of Medicine,; National Academy of Sciences,; Vanselow, Neal A.</t>
  </si>
  <si>
    <t>Effectiveness and Outcomes in Health Care : Proceedings of an Invitational Conference</t>
  </si>
  <si>
    <t>Telemedicine : A Guide to Assessing Telecommunications for Health Care</t>
  </si>
  <si>
    <t>Nutritional Needs in Cold and High-Altitude Environments : Applications for Military Personnel in Field Operations</t>
  </si>
  <si>
    <t>Institute of Medicine, Military Nutrition Research Staff; Marriott, Bernadette M.; Carlson, Sydne J.; Institute of Medicine,; National Research Council,; National Academy of Sciences,</t>
  </si>
  <si>
    <t>Video Displays, Work, and Vision</t>
  </si>
  <si>
    <t>National Research Council Staff; Committee on Vision,; Commission on Behavioral and Social Sciences and Education,; Division of Behavioral and Social Sciences and Education,; National Research Council,; National Academy of Sciences,</t>
  </si>
  <si>
    <t>Effects of Ionizing Radiation : Atomic Bomb Survivors and Their Children (1945-1995)</t>
  </si>
  <si>
    <t>Peterson, Leif E.; Abrahamson, Seymour; Peterson, Leif E.; Abrahamson, Seymour</t>
  </si>
  <si>
    <t>Changing Economics of Medical Technology</t>
  </si>
  <si>
    <t>Institute of Medicine Staff; Grelijns, Annetine C.; Halm, Ethan A.; Institute of Medicine,; National Academy of Sciences,</t>
  </si>
  <si>
    <t>Medicine; Economics; Business/Management</t>
  </si>
  <si>
    <t>Hidden Epidemic : Confronting Sexually Transmitted Diseases</t>
  </si>
  <si>
    <t>Institute of Medicine Staff; Eng, Thomas R.; Butler, William T.; Institute of Medicine,</t>
  </si>
  <si>
    <t>Toxicity Testing : Strategies to Determine Needs and Priorities</t>
  </si>
  <si>
    <t>Medically Assisted Conception : An Agenda for Research</t>
  </si>
  <si>
    <t>Institute of Medicine Staff; Institute of Medicine,; National Research Council,</t>
  </si>
  <si>
    <t>Responsible Conduct of Research in the Health Sciences</t>
  </si>
  <si>
    <t>Committee on the Responsible Conduct of Research; Institute of Medicine,; National Research Council,; National Academy of Sciences,</t>
  </si>
  <si>
    <t>AIDS, Sexual Behavior, and Intravenous Drug Use</t>
  </si>
  <si>
    <t>Turner, Charles F.; Miller, Heather G.; Moses, Lincoln E.; National Research Council,; Turner, Charles F.; Miller, Heather G.; Moses, Lincoln E.</t>
  </si>
  <si>
    <t>For-Profit Enterprise in Health Care</t>
  </si>
  <si>
    <t>Linking Research and Public Health Practice : A Review of CDC's Program of Centers for Research and Demonstration of Health Promotion and Disease Prevention</t>
  </si>
  <si>
    <t>Institute of Medicine Staff; Green, Lawrence W.; Bailey, Linda A</t>
  </si>
  <si>
    <t>In Her Lifetime : Female Morbidity and Mortality in Sub-Saharan Africa</t>
  </si>
  <si>
    <t>Institute of Medicine Staff; Howson, Christopher P.; Harrison, Polly F.</t>
  </si>
  <si>
    <t>Organ Procurement and Transplantation : Assessing Current Policies and the Potential Impact of the DHHS Final Rule</t>
  </si>
  <si>
    <t>Vaccines for the 21st Century : A Tool for Decisionmaking</t>
  </si>
  <si>
    <t>Stratton, Kathleen R.; Durch, Jane S.; Lawrence, Robert S.; Committee to Study Priorities for Vaccine Development,; Division of Health Promotion and Disease Prevention,; Institute of Medicine,; National Academy of Sciences,</t>
  </si>
  <si>
    <t>What Is America Eating? : Proceedings of a Symposium</t>
  </si>
  <si>
    <t>Clinical Practice Guidelines : Directions for a New Program (IOM Publication 90-08)</t>
  </si>
  <si>
    <t>Institute of Medicine Staff; Field, Marilyn J.; Lohr, Kathleen N.</t>
  </si>
  <si>
    <t>Monitoring Human Tissues for Toxic Substances</t>
  </si>
  <si>
    <t>National Research Council Staff; Board on Environmental Studies and Toxicology; Commission on Life Sciences,; Division on Earth and Life Studies,; National Research Council,; National Academy of Sciences,</t>
  </si>
  <si>
    <t>Bridging Disciplines in the Brain, Behavioral, and Clinical Sciences</t>
  </si>
  <si>
    <t>Institute of Medicine Staff; Pellmar, Terry; Eisenberg, Leon</t>
  </si>
  <si>
    <t>Submarine Exposure Guidance Levels for Selected Hydrofluorocarbons : HFC-236fa, HFC-23,and HFC-404a</t>
  </si>
  <si>
    <t>National Research Council Staff; Committee on Toxicology,; Board on Environmental Studies and Toxicology,; Commission on Life Sciences,; Division on Earth and Life Studies,; National Research Council,</t>
  </si>
  <si>
    <t>Assessing Changing Food Consumption Patterns</t>
  </si>
  <si>
    <t>National Research Council Staff; Food and Nutrition Board; Commission on Life Sciences,; Division on Earth and Life Studies,; National Research Council,; National Academy of Sciences,</t>
  </si>
  <si>
    <t>Committee on Toxicology</t>
  </si>
  <si>
    <t>Vitamin C Fortification of Food Aid Commodities : Final Report</t>
  </si>
  <si>
    <t>A Strategy for Quality Assurance, Volume II : Sources and Methods</t>
  </si>
  <si>
    <t>Institute of Medicine Staff; Lohr, Kathleen N.; Institute of Medicine,</t>
  </si>
  <si>
    <t>Immunization Safety Review : Thimerosal - Containing Vaccines and Neurodevelopmental Disorders</t>
  </si>
  <si>
    <t>Stratton, Kathleen R.; Gable, Alicia; McCormick, Marie C.</t>
  </si>
  <si>
    <t>Review of the U.S. Navy Environmental Health Center's Health-Hazard Assessment Process</t>
  </si>
  <si>
    <t>Subcommittee on Toxicological Hazard and Risk Assessment Staff; National Research Council, Board on Environmental Studies and Toxicology; Committee on Toxicology; Commission on Life Sciences,; Division on Earth and Life Studies,; National Research Council,</t>
  </si>
  <si>
    <t>Arsenic in Drinking Water : 2001 Update</t>
  </si>
  <si>
    <t>National Research Council, Subcommittee on Arsenic in Drinking Water; Committee on Toxicology,; Board on Environmental Studies and Toxicology,; Division on Earth and Life Studies,; National Research Council,; National Academy of Sciences,</t>
  </si>
  <si>
    <t>Re-evaluation of Drinking-Water Guidelines for Diisopropyl Methylphosphonate</t>
  </si>
  <si>
    <t>Subcommittee on the Toxicity of Diisopropyl Methylphosphonate; Board on Environmental Studies and Toxicology Staff; Committee on Toxicology; Commission on Life Sciences,; Division on Earth and Life Studies,; National Research Council,; National Academy of Sciences,</t>
  </si>
  <si>
    <t>Assessing Medical Technologies</t>
  </si>
  <si>
    <t>Institute of Medicine Staff; Division of Health Sciences Policy; Division of Health Promotion and Disease Prevention,; Institute of Medicine,</t>
  </si>
  <si>
    <t>Guidance for the National Healthcare Disparities Report</t>
  </si>
  <si>
    <t>Institute of Medicine Staff; Swift, Elaine K.; Swift, Elaine K.</t>
  </si>
  <si>
    <t>Biosafety in the Laboratory : Prudent Practices for Handling and Disposal of Infectious Materials</t>
  </si>
  <si>
    <t>Who Will Keep the Public Healthy? : Workshop Summary</t>
  </si>
  <si>
    <t>Hernandez, Lyla; National Academy of Sciences,; Board on Health Promotion and Disease Prevention,; Institute of Medicine,; Hernandez, Lyla M.</t>
  </si>
  <si>
    <t>Eliminating Health Disparities : Measurement and Data Needs</t>
  </si>
  <si>
    <t>Ver Ploeg, Michele; Perrin, Edward; National Research Council (U.S.), Panel on DHHS Collection of Race and Ethnicity Data Staff; National Research Council,; National Academy of Sciences,; Ploeg, Michele Ver; Perrin, Edward B.</t>
  </si>
  <si>
    <t>Suicide Prevention and Intervention : Summary of a Workshop</t>
  </si>
  <si>
    <t>Goldsmith, Sara K.; Institute of Medicine, Board on Neuroscience and Behavioral Health Staff</t>
  </si>
  <si>
    <t>Evaluating Chemical and Other Agent Exposures for Reproductive and Developmental Toxicity</t>
  </si>
  <si>
    <t>Subcommittee on Reproductive and Developmental Toxicity; National Research Council Staff; Board on Environmental Studies and Toxicology,; Commission on Life Sciences,; Division on Earth and Life Studies,; National Research Council,; National Academy of Sciences,</t>
  </si>
  <si>
    <t>Medical Implications of Nuclear War</t>
  </si>
  <si>
    <t>Institute of Medicine Staff; Solomon, Fredric; Marston, Robert Q.</t>
  </si>
  <si>
    <t>Food Safety Policy, Science, and Risk Assessment : Strengthening the Connection : Workshop Proceedings</t>
  </si>
  <si>
    <t>Food Forum Staff; Food and Nutrition Board Staff; Institute of Medicine Staff</t>
  </si>
  <si>
    <t>Veterans at Risk : The Health Effects of Mustard Gas and Lewisite</t>
  </si>
  <si>
    <t>Institute of Medicine Staff; Pechura, Constance M.; Rall, David P.</t>
  </si>
  <si>
    <t>Framework for Dietary Risk Assessment in the WIC Program : An Interim Report from the Food and Nutrition Board</t>
  </si>
  <si>
    <t>Committee on Dietary Risk Assessment in the WIC Program</t>
  </si>
  <si>
    <t>Risk Factors for Suicide : Summary of a Workshop</t>
  </si>
  <si>
    <t>Goldsmith, Sara K.; Institute of Medicine (U.S.), Board on Neuroscience and Behavioral Health Staff; Institute of Medicine,; National Academy of Sciences,</t>
  </si>
  <si>
    <t>Asbestiform Fibers : Nonoccupational Health Risks</t>
  </si>
  <si>
    <t>Committee on Nonoccupational Health Risks of Asbestiform Fibers</t>
  </si>
  <si>
    <t>Developing Technologies for Early Detection of Breast Cancer : A Public Workshop Summary</t>
  </si>
  <si>
    <t>Newman, Laura; Institute of Medicine Staff; National Research Council Staff; Institute of Medicine,; Commission on Life Sciences,; National Research Council,</t>
  </si>
  <si>
    <t>Behavioral Measures of Neurotoxicity</t>
  </si>
  <si>
    <t>National Research Council Staff; Russell, Roger W.; Flattau, Pamela E.; National Research Council,; National Academy of Sciences,; Russell, Roger Wolcott; Flattau, Pamela Ebert; Pope, Andrew M.</t>
  </si>
  <si>
    <t>Forging a Poison Prevention and Control System</t>
  </si>
  <si>
    <t>Institute of Medicine (U.S.), Committee on Poison Prevention and Control Staff; Board on Health Promotion and Disease Prevention,; Institute of Medicine,; National Academy of Sciences,</t>
  </si>
  <si>
    <t>Drinking Water and Health, Volume 8 : Pharmacokinetics in Risk Assessment</t>
  </si>
  <si>
    <t>National Research Council Staff; Safe Drinking Water Committee; Board on Environmental Studies and Toxicology,; Commission on Life Sciences,; Division on Earth and Life Studies,; National Research Council,</t>
  </si>
  <si>
    <t>Social Science; Health; Environmental Studies; Economics</t>
  </si>
  <si>
    <t>Immunization Safety Review : SV40 Contamination of Polio Vaccine and Cancer</t>
  </si>
  <si>
    <t>Stratton, Kathleen R.; Alamario, Donna A.; McCormick, Marie C.; National Academy of Sciences,; Stratton, Kathleen; Almario, Donna A.; McCormick, Marie C.</t>
  </si>
  <si>
    <t>Technology and Health Care in an Era of Limits</t>
  </si>
  <si>
    <t>Institute of Medicine Staff; Gelijns, Annetine C.; Institute of Medicine,</t>
  </si>
  <si>
    <t>Airliner Cabin Environment and the Health of Passengers and Crew</t>
  </si>
  <si>
    <t>Committee on Air Quality in Passenger Cabins of Commercial Aircraft; Board on Environmental Studies and Toxicology Staff; National Research Council Staff; National Research Council,; National Academy of Sciences,</t>
  </si>
  <si>
    <t>Review of the Draft Report of the NCI-CDC Working Group to Revise the 1985 Radioepidemiological Tables</t>
  </si>
  <si>
    <t>Emerging Infectious Diseases from the Global to the Local Perspective : Workshop Summary</t>
  </si>
  <si>
    <t>Institute of Medicine, Forum on Emerging Infections Staff; Davis, Jonathan R.; Lederberg, Joshua; National Academy of Sciences,; Davis, Jonathan R.; Lederberg, Joshua</t>
  </si>
  <si>
    <t>Indicators for Waterborne Pathogens</t>
  </si>
  <si>
    <t>Committee on Indicators for Waterborne Pathogens; Board on Life Sciences,; Water Science and Technology Board,; Division on Earth and Life Studies,; National Research Council,; National Academy of Sciences,</t>
  </si>
  <si>
    <t>Social Science; Engineering; Engineering: Environmental; Health</t>
  </si>
  <si>
    <t>Rebuilding the Unity of Health and the Environment : A New Vision of Environmental Health for the 21st Century</t>
  </si>
  <si>
    <t>Hanna, Kathi; Coussens, Christine; Workshop Summary for the Roundtable on Environmental Health Sciences, Research and Medicine Staff; Division of Health Sciences Policy,; Institute of Medicine,; National Academy of Sciences,</t>
  </si>
  <si>
    <t>Review of the Army's Technical Guides on Assessing and Managing Chemical Hazards to Deployed Personnel</t>
  </si>
  <si>
    <t>Subcommittee on the Toxicological Risks to Deployed Military Personnel; Committee on Toxicology; Board on Environmental Studies and Toxicology,; Division on Earth and Life Studies,; National Research Council,; National Academy of Sciences,</t>
  </si>
  <si>
    <t>National Research Council Staff; Committee on Toxicology; Board on Environmental Studies and Toxicology,; Division on Earth and Life Studies,; National Research Council,; National Academy of Sciences,</t>
  </si>
  <si>
    <t>Subcommittee on Acute Exposure Guideline Levels; Committee on Toxicology; Board on on Environmental Studies and Toxicology</t>
  </si>
  <si>
    <t>Immunization Safety Review : Hepatitis B Vaccine and Demyelinating Neurological Disorders</t>
  </si>
  <si>
    <t>Institute of Medicine Staff; Almario, Donna; McCormick, Marie C.; National Academy of Sciences,; Stratton, Kathleen; Almario, Donna A.; McCormick, Marie C.</t>
  </si>
  <si>
    <t>Diagnosis and Control of Johne's Disease</t>
  </si>
  <si>
    <t>National Research Council Staff; Board on Agriculture and Natural Resources,; Division on Earth and Life Studies,; National Research Council,</t>
  </si>
  <si>
    <t>Dietary Reference Intakes : Proposed Definition of Dietary Fiber</t>
  </si>
  <si>
    <t>Panel on the Definition of Dietary Fiber Staff; Food and Nutrition Board Staff; Institute of Medicine Staff</t>
  </si>
  <si>
    <t>A Practical Assessment, Volume 1 : Report of a Study</t>
  </si>
  <si>
    <t>Division of Health Care Services; Institute of Medicine,; National Academy of Sciences,</t>
  </si>
  <si>
    <t>Medicare Laboratory Payment Policy : Now and in the Future</t>
  </si>
  <si>
    <t>Dianne, Miller Wolman; Andrea, L. Kalfoglou; LeRoy, Lauren; Committee on Medicare Payment Methodology for Clinical Laboratory Services,; Division of Health Care Services,; Institute of Medicine,; National Academy of Sciences,</t>
  </si>
  <si>
    <t>Scientific and Policy Considerations in Developing Smallpox Vaccination Options : A Workshop Report</t>
  </si>
  <si>
    <t>Institute of Medicine Staff; Institute of Medicine; Institute of Medicine,; National Academy of Sciences,</t>
  </si>
  <si>
    <t>Damp Indoor Spaces and Health</t>
  </si>
  <si>
    <t>Institute of Medicine (U.S.), Committee on Damp Indoor Spaces and Health Staff; Board on Health Promotion and Disease Prevention,; Institute of Medicine,; National Academy of Sciences,</t>
  </si>
  <si>
    <t>Monitoring Metabolic Status : Predicting Decrements in Physiological and Cognitive Performance</t>
  </si>
  <si>
    <t>Committee on Metabolic Monitoring for Military Field Applications; Standing Committee on Military Nutrition Research,; Food and Nutrition Board,; Institute of Medicine,; National Academy of Sciences,</t>
  </si>
  <si>
    <t>Summary of a Workshop on Research in Multiple Sclerosis, April 5-6, 2001</t>
  </si>
  <si>
    <t>Davis, Miriam; Joy, Janet E.; Institute of Medicine Staff; Institute of Medicine,; National Academy of Sciences,</t>
  </si>
  <si>
    <t>Methyl Bromide Risk Characterization in California</t>
  </si>
  <si>
    <t>Biomarkers and Occupational Health : Progress and Perspectives</t>
  </si>
  <si>
    <t>Mendelsohn, Mortimer L.; Peeters, John P.; Normandy, Mary J.; Mendelsohn, Mortimer L.; Peeters, John P.</t>
  </si>
  <si>
    <t>1st Annual Crossing the Quality Chasm Summit : A Focus on Communities</t>
  </si>
  <si>
    <t>Adams, Karen; Greiner, Ann C.; Institute of Medicine,; National Academy of Sciences,; Adams, Karen; Greiner, Ann C.; Corrigan, Janet M.</t>
  </si>
  <si>
    <t>Broadening the Base of Treatment for Alcohol Problems</t>
  </si>
  <si>
    <t>Institute of Medicine Staff; Institute of Medicine,; Institute Of Medicine,</t>
  </si>
  <si>
    <t>Science, Medicine, and Animals</t>
  </si>
  <si>
    <t>Committee to Update Science; Institute for Laboratory Animal Research,; Division on Earth and Life Studies,; National Research Council,; National Academy of Sciences,</t>
  </si>
  <si>
    <t>Understanding Racial and Ethnic Differences in Health in Late Life : A Research Agenda</t>
  </si>
  <si>
    <t>Bulatao, Rodolfo A.; Anderson, Norman B.; National Research Council (U.S.), Panel on Race, Ethnicity, and Health in Later Life Staff; National Research Council,; National Academy of Sciences,; Bulatao, Rodolfo A.; Anderson, Norman B.</t>
  </si>
  <si>
    <t>Children's Health, the Nation's Wealth : Assessing and Improving Child Health</t>
  </si>
  <si>
    <t>Institute Of Medicine Staff; Board on Children, Youth, and Families,; Division of Behavioral and Social Sciences and Education,; National Research Council,; Institute of Medicine,; National Academy of Sciences,</t>
  </si>
  <si>
    <t>Possible Long-Term Health Effects of Short-Term Exposure To Chemical Agents, Volume 2 : Cholinesterase Reactivators, Psychochemicals and Irritants and Vesicants</t>
  </si>
  <si>
    <t>Committee on Toxicology; Commission on Life Sciences,; Division on Earth and Life Studies,; National Research Council,; National Academy of Sciences,</t>
  </si>
  <si>
    <t>AIDS : The Second Decade</t>
  </si>
  <si>
    <t>Miller, Heather G.; Turner, Charles F.; Moses, Lincoln E.; National Research Council,; Miller, Heather G.; Turner, Charles F.; Moses, Lincoln E.</t>
  </si>
  <si>
    <t>Preserving Public Trust : Accreditation and Human Research Participant Protection Programs</t>
  </si>
  <si>
    <t>Board on Health Sciences Policy, Institute of Medicine Staff; Board on Health Sciences Policy,; Institute of Medicine,</t>
  </si>
  <si>
    <t>Five Series Study : Mortality of Military Participants in U.S. Nuclear Weapons Tests</t>
  </si>
  <si>
    <t>Medical Follow-up Agency; Medical Follow Up Agency Staff</t>
  </si>
  <si>
    <t>Environmental Medicine : Integrating a Missing Element into Medical Education</t>
  </si>
  <si>
    <t>Institute of Medicine Staff; Pope, Andrew M.; Rall, David P.; Institute of Medicine,; National Academy of Sciences,</t>
  </si>
  <si>
    <t>Saving Lives, Buying Time : Economics of Malaria Drugs in an Age of Resistance</t>
  </si>
  <si>
    <t>Arrow, Kenneth J.; Panosian, Claire; Institute of Medicine,; National Academy of Sciences,; Arrow, Kenneth J.; Panosian, Claire; Gelband, Hellen</t>
  </si>
  <si>
    <t>(NAS Colloquium) Virulence and Defense in Host--Pathogen Interactions : Common Features Between Plants and Animals</t>
  </si>
  <si>
    <t>Keen, Noel T.; National Academy of Sciences Staff</t>
  </si>
  <si>
    <t>Critical Perspectives on Racial and Ethnic Differences in Health in Late Life</t>
  </si>
  <si>
    <t>Anderson, Norman B.; Bulatao, Rodolfo A.; Cohen, Barney; National Research Council,; National Academy of Sciences,; Anderson, Norman B.; Bulatao, Randy A.; Cohen, Barney</t>
  </si>
  <si>
    <t>Toxicological Effects of Methylmercury</t>
  </si>
  <si>
    <t>National Research Council Staff; Committee on the Toxicological Effects of Methylmercury; Board on Environmental Studies and Toxicology Staff; Division on Earth and Life Studies,; National Research Council,; National Academy of Sciences,</t>
  </si>
  <si>
    <t>Best at Home : Assuring Quality Long-Term Care in Home and Community-Based Settings</t>
  </si>
  <si>
    <t>Committee on the Quality of Long-Term Care Services in Home and Community-Based Settings</t>
  </si>
  <si>
    <t>Vision : From Photon to Perception (NAS Colloquium)</t>
  </si>
  <si>
    <t>Proceedings of the National Academy of Sciences; Stryer, Lubert; Wiesel, Torsten N</t>
  </si>
  <si>
    <t>Neurobiology of Pain (NAS Colloquium)</t>
  </si>
  <si>
    <t>Proceedings of the National Academy of Sciences; Dubner, Ronald; Gold, Michael Robert</t>
  </si>
  <si>
    <t>Biologic Markers in Reproductive Toxicology</t>
  </si>
  <si>
    <t>Safe, Comfortable, Attractive, and Easy to Use : Improving the Usability of Home Medical Devices</t>
  </si>
  <si>
    <t>Committee on Human Factors; Kober, Nancy; Mavor, Anne S</t>
  </si>
  <si>
    <t>Reforming Physician Payment : Report of a Conference</t>
  </si>
  <si>
    <t>Robert Wood Johnson Health Policy Fellowships Program Directory of Fellows 1974-1995</t>
  </si>
  <si>
    <t>Office of Health Policy Programs and Fellowships National Academy of Sciences</t>
  </si>
  <si>
    <t>Immunization Safety Review : Vaccines and Autism</t>
  </si>
  <si>
    <t>Immunization Safety Review Committee; Board on Health Promotion and Disease Prevention,; Institute of Medicine,; National Academy of Sciences,</t>
  </si>
  <si>
    <t>Statement on Quality of Care</t>
  </si>
  <si>
    <t>National Roundtable on Health Care Quality</t>
  </si>
  <si>
    <t>Evaluation of the U.S. Department of Defense Persian Gulf Comprehensive Clinical Evaluation Program</t>
  </si>
  <si>
    <t>Committee on the DoD Persian Gulf Syndrome Comprehensive Clinical Evaluation Program</t>
  </si>
  <si>
    <t>Their Training and Supply, Volume 1 : Findings</t>
  </si>
  <si>
    <t>Committee on Biomedical and Behavioral Research Personnel; Office of Scientific and Engineering Personnel; National Research Council</t>
  </si>
  <si>
    <t>Personnel Needs and Training for Biomedical and Behavioral Research : 1978 Report</t>
  </si>
  <si>
    <t>Committee on a Study of National Needs for Biomedical and Behavioral Research Personnel; Commission on Human Resources; National Research Council</t>
  </si>
  <si>
    <t>Diet, Nutrition, and Cancer</t>
  </si>
  <si>
    <t>Strategies to Leverage Research Funding : Guiding DOD's Peer Reviewed Medical Research Programs</t>
  </si>
  <si>
    <t>McGeary, Michael; Hanna, Kathi E.; Board on Health Sciences Policy,; Medical Follow-Up Agency,; Committee on Alternative Funding Strategies for DOD's Peer Reviewed Medical Research Programs,; National Academy of Sciences,; Institute of Medicine,</t>
  </si>
  <si>
    <t>Personnel Needs and Training for Biomedical and Behavioral Research : 1979 Report</t>
  </si>
  <si>
    <t>Nutrition Issues in Developing Countries for the 1980s and 1990s : Proceedings of a Symposium</t>
  </si>
  <si>
    <t>Commission on Life Sciences; Division on Earth and Life Studies; National Research Council; National Research Council,; National Academy of Sciences,</t>
  </si>
  <si>
    <t>1977 Report : Volume 1</t>
  </si>
  <si>
    <t>Committee on a Study of National Needs for Biomedical and Behavioral Personnel; Commission on Human Resources; National Research Council</t>
  </si>
  <si>
    <t>Their Training and Supply, Volume III : Commissioned Papers</t>
  </si>
  <si>
    <t>State Programs Can Reduce Tobacco Use</t>
  </si>
  <si>
    <t>National Cancer Policy Board</t>
  </si>
  <si>
    <t>New Vaccine Development - Establishing Priorities, Volume 2 : Diseases of Importance in Developing Countries</t>
  </si>
  <si>
    <t>Institute of Medicine Staff; Division of International Health,; Board on Population Health and Public Health Practice,; Institute of Medicine,; National Academy of Sciences,</t>
  </si>
  <si>
    <t>Standing Operating Procedures for Developing Acute Exposure Guideline Levels for Hazardous Chemicals</t>
  </si>
  <si>
    <t>Board on Environmental Studies and Toxicology Staff; National Research Council Staff; Board on Environmental Studies and Toxicology,; Commission on Life Sciences,; Division on Earth and Life Studies,; National Research Council,</t>
  </si>
  <si>
    <t>Promoting Health : Intervention Strategies from Social and Behavioral Research</t>
  </si>
  <si>
    <t>Smedley, Brian D.; Syme, S. Leonard; Committee on Capitalizing on Social Science and Behavioral Research to Improve the Public's Health,; Division of Health Promotion and Disease Prevention,; Syme, S. Leonard</t>
  </si>
  <si>
    <t>Selenium in Nutrition</t>
  </si>
  <si>
    <t>National Research Council Staff; Committee on Animal Nutrition,; Board on Agriculture,; National Research Council,; Oldfield, J. E.</t>
  </si>
  <si>
    <t>Children's Vaccine Initiative : Continuing Activities</t>
  </si>
  <si>
    <t>Steering Committee on the Children's Vaccine Initiative's Continuing Activities; Hall, Caroline Breese</t>
  </si>
  <si>
    <t>Auditory Neuroscience : Development, Transduction, and Integration (NAS Colloquium)</t>
  </si>
  <si>
    <t>Proceedings of the National Academy of Sciences; Konishi, Masakazu</t>
  </si>
  <si>
    <t>Priority Areas for National Action : Transforming Health Care Quality</t>
  </si>
  <si>
    <t>Institute of Medicine (U.S.), Committee on Identifying Priority Areas for Quality Improvement Staff; Adams, Karen M.; Corrigan, Janet; National Academy of Sciences,; Adams, Karen; Corrigan, Janet M.</t>
  </si>
  <si>
    <t>Neurological, Psychiatric, and Developmental Disorders : Meeting the Challenge in the Developing World</t>
  </si>
  <si>
    <t>Institute of Medicine, Committee on Nervous System Disorders in Developing Countries; Board on Global Health,; Institute of Medicine,; National Academy of Sciences,</t>
  </si>
  <si>
    <t>Reducing Risks for Mental Disorders : Frontiers for Preventive Intervention Research</t>
  </si>
  <si>
    <t>Institute of Medicine Staff; Mrazek, Patricia J.; Haggerty, Robert J.</t>
  </si>
  <si>
    <t>For the Public Good : Highlights from the Institute of Medicine, 1970-1995</t>
  </si>
  <si>
    <t>Fostering Rapid Advances in Health Care : Learning from System Demonstrations</t>
  </si>
  <si>
    <t>Corrigan, Janet; Greiner, Ann; Erickson, Shari M.; National Academy of Sciences,; Corrigan, Janet M.; Greiner, Ann C.; Erickson, Shari M.</t>
  </si>
  <si>
    <t>Air Pollution, the Automobile, and Public Health</t>
  </si>
  <si>
    <t>Kennedy, Donald; Bates, Richard R.</t>
  </si>
  <si>
    <t>Nitrate and Nitrite in Drinking Water</t>
  </si>
  <si>
    <t>Subcommittee on Nitrate and Nitrite in Drinking Water; Committee on Toxicology; National Research Council</t>
  </si>
  <si>
    <t>Description and Analysis of the VA National Formulary</t>
  </si>
  <si>
    <t>Blumenthal, David; Herdman, Roger; VA Pharmacy Formulary Analysis Committee</t>
  </si>
  <si>
    <t>Revisiting Home Visiting : Summary of a Workshop</t>
  </si>
  <si>
    <t>Margie, Nancy Geyelin; Phillips, Deborah A.</t>
  </si>
  <si>
    <t>Personnel Needs and Training for Biomedical and Behavioral Research : 1983 Report</t>
  </si>
  <si>
    <t>Committee on a Study of National Needs for Biomedical and Behavioral Research Personnel; Institute of Medicine; National Academy of Sciences</t>
  </si>
  <si>
    <t>Toward a National Strategy for Long-Term Care of the Elderly : A Study Plan</t>
  </si>
  <si>
    <t>Vaccines Against Malaria</t>
  </si>
  <si>
    <t>Committee on Malaria Vaccines; Board on International Health; Board on Health Promotion and Disease Prevention</t>
  </si>
  <si>
    <t>Personnel Needs and Training for Biomedical and Behavioral Research : 1981 Report</t>
  </si>
  <si>
    <t>Fluid Replacement and Heat Stress</t>
  </si>
  <si>
    <t>Committee on Military Nutrition Research; Marriott, Bernadette M</t>
  </si>
  <si>
    <t>Changing the Health Care System : Models from Here and Abroad</t>
  </si>
  <si>
    <t>Health Effects of Permethrin-Impregnated Army Battle-Dress Uniforms</t>
  </si>
  <si>
    <t>Subcommittee to Review Permethrin Toxicity from Military Uniforms; Committee on Toxicology; Board on Environmental Studies and Toxicology, National Research Council</t>
  </si>
  <si>
    <t>Using Performance Monitoring to Improve Community Health : Exploring the Issues</t>
  </si>
  <si>
    <t>Committee on Using Performance Monitoring to Improve Community Health; Inui, Thomas S; Durch, Jane</t>
  </si>
  <si>
    <t>Real People Real Problems : An Evaluation of the Long-Term Care Ombudsman Programs of the Older Americans Act</t>
  </si>
  <si>
    <t>Committee to Evaluate the State Long-Term Care Ombudsman Programs; Feasley, Jill C; Estes, Carroll L</t>
  </si>
  <si>
    <t>Options for Poliomyelitis Vaccination in the United States : Workshop Summary</t>
  </si>
  <si>
    <t>Vaccine Safety Forum; Johnston, Richard B</t>
  </si>
  <si>
    <t>Public Policy Options for Better Dental Health : Report of a Study</t>
  </si>
  <si>
    <t>Division of Healthcare Services</t>
  </si>
  <si>
    <t>Personnel Needs and Training for Biomedical and Behavioral Reserach : 1976 Report</t>
  </si>
  <si>
    <t>Personnel Needs and Training for Biomedical and Behavioral Research : 1985 Report</t>
  </si>
  <si>
    <t>Committee on a Study of National Needs for Biomedical and Behavioral Research Personnel; Institute of Medicine; National Research Council</t>
  </si>
  <si>
    <t>Unintended Consequences of Health Policy Programs and Policies : Workshop Summary</t>
  </si>
  <si>
    <t>The Robert Wood Johnson Health Policy Fellowship Program</t>
  </si>
  <si>
    <t>Developing Technologies for Early Detection of Breast Cancer : Summary of Public Workshop #2</t>
  </si>
  <si>
    <t>Committee on the Early Detection of Breast Cancer; National Cancer Policy Board; Institute of Medicine, National Research Council</t>
  </si>
  <si>
    <t>Preliminary Considerations Regarding Federal Investments in Vaccine Purchase and Immunization Services : Interim Report on Immunization Finance Policies and Practices</t>
  </si>
  <si>
    <t>Committee on Immunization Finance Policies and Procedures</t>
  </si>
  <si>
    <t>Reliability of Medicare Hospital Discharge Records : Report of a Study</t>
  </si>
  <si>
    <t>Mental Health Services in General Health Care, Volume I : A Conference Report</t>
  </si>
  <si>
    <t>Division of Mental Health and Behavioral Medicine</t>
  </si>
  <si>
    <t>New Partnerships for a Changing Environment : Why Drug and Alcohol Treatment Providers and Researchers Need to Collaborate</t>
  </si>
  <si>
    <t>CDC Anthrax Vaccine Safety and Efficacy Research Program : Interim Report</t>
  </si>
  <si>
    <t>Committee to Review the CDC Anthrax Vaccine Safety and Efficacy Research Program</t>
  </si>
  <si>
    <t>Health Planning in the United States : Issues in Guideline Development, Report of a Study</t>
  </si>
  <si>
    <t>Healthy NIH Intramural Program : Structural Change or Administrative Remedies? Report of a Study</t>
  </si>
  <si>
    <t>Lead in the Americas : A Call for Action</t>
  </si>
  <si>
    <t>Committee to Reduce Lead Exposure in the Americas; Hernandez-Avila, Mauricio; Rall, David P</t>
  </si>
  <si>
    <t>Characterizing Exposure of Veterans to Agent Orange and Other Herbicides Used in Vietnam : Final Report</t>
  </si>
  <si>
    <t>Committee on Military Nutrition Research : Activity Report 1992-1994</t>
  </si>
  <si>
    <t>Food and Nutrition Board; Thomas, Paul R</t>
  </si>
  <si>
    <t>Health Services Research : Report of a Study</t>
  </si>
  <si>
    <t>Manpower Policy for Primary Health Care : Report of a Study</t>
  </si>
  <si>
    <t>Review of the US Navy's Human Health Risk Assessment of the Naval Air Facility at Atsugi, Japan</t>
  </si>
  <si>
    <t>Committee on Toxicology; Board on Environmental Studies and Toxicology; National Research Council</t>
  </si>
  <si>
    <t>Accelerating the Research, Development, and Acquisition of Medical Countermeasures Against Biological Warfare Agents : Interim Report</t>
  </si>
  <si>
    <t>Committee on Accelerating the Research</t>
  </si>
  <si>
    <t>Proposed Framework for Evaluating the Safety of Dietary Supplements -- For Comment</t>
  </si>
  <si>
    <t>Committee on the Framework for Evaluating the Safety of Dietary Supplements</t>
  </si>
  <si>
    <t>Health Planning in the United States, Volume I : Selected Policy Issues, Report of a Study</t>
  </si>
  <si>
    <t>The Effect of Exposure to the Atomic Bombs on Pregnancy Termination in Hiroshima and Nagasaki</t>
  </si>
  <si>
    <t>Atomic Bomb Casualty Commission</t>
  </si>
  <si>
    <t>Resource Allocation for Family Planning in Developing Countries : Report of a Meeting</t>
  </si>
  <si>
    <t>Committee on Population; Tsui, Amy Ong</t>
  </si>
  <si>
    <t>1977 Report, Volume 2 : Appendixes</t>
  </si>
  <si>
    <t>Iodotrifluoromethane : Toxicity Review</t>
  </si>
  <si>
    <t>Subcommittee on Iodotrifluoromethane; Committee on Toxicology; National Research Council; Division on Earth and Life Studies,; National Research Council,; National Academy of Sciences,</t>
  </si>
  <si>
    <t>Preparing for a Changing Healthcare Marketplace : Lessons from the Field</t>
  </si>
  <si>
    <t>Arsenic : Medical and Biological Effects of Environmental Pollutants</t>
  </si>
  <si>
    <t>Committee on Medical and Biological Effects of Environmental Pollutants</t>
  </si>
  <si>
    <t>Richard and Hinda Rosenthal Lectures 2003 : Keeping Patients Safe -- Transforming the Work Environment of Nurses</t>
  </si>
  <si>
    <t>National Research Council; National Academy of Sciences,</t>
  </si>
  <si>
    <t>International Benchmarking of US Immunology Research</t>
  </si>
  <si>
    <t>Panel on International Benchmarking of US Immunology Research</t>
  </si>
  <si>
    <t>Saving Women's Lives : Strategies for Improving Breast Cancer Detection and Diagnosis -- A Breast Cancer Research Foundation and Institute of Medicine Symposium</t>
  </si>
  <si>
    <t>Committee on New Approaches to Early Detection and Diagnosis of Breast Cancer; Roger Herdman and Larry Norton; National Academy of Sciences,; Institute of Medicine,; Herdman, Roger; Norton, Larry</t>
  </si>
  <si>
    <t>Scaling Up Treatment for the Global AIDS Pandemic : Challenges and Opportunities</t>
  </si>
  <si>
    <t>Curran, James; Debas, Haile</t>
  </si>
  <si>
    <t>Environmental Health Indicators : Bridging the Chasm of Public Health and the Environment -- Workshop Summary</t>
  </si>
  <si>
    <t>Roundtable on Environmental Health Sciences, Research, and Medicine; Goldman, Lynn; Coussens, Christine M.; National Academy of Sciences,; Goldman, Lynn; Coussens, Christine M.</t>
  </si>
  <si>
    <t>Improving Civilian Medical Response to Chemical or Biological Terrorist Incidents : Interim Report on Current Capabilities</t>
  </si>
  <si>
    <t>National Academy Press Staff; Division of Health Science Policy; Institute of Medicine, Board on Environmental Studies and Toxicology, National Research Council</t>
  </si>
  <si>
    <t>On the Archeology of Health Care Policy : Periods and Paradigms, 1975-2000</t>
  </si>
  <si>
    <t>Etheredge, Lynn; Robert Wood Johnson Health Policy Fellowships Program; Office of Health Policy Programs and Fellowships</t>
  </si>
  <si>
    <t>Workshop on Needle Exchange and Bleach Distribution Programs Proceedings</t>
  </si>
  <si>
    <t>National Research Council Staff; Institute of Medicine Staff; Division of Behavioral and Social Sciences and Education,; National Research Council and Institute of Medicine,; National Academy of Sciences,</t>
  </si>
  <si>
    <t>Emergency and Continuous Exposure Limits for Selected Airborne Contaminants</t>
  </si>
  <si>
    <t>Tenth Interim Report of the Subcommittee on Acute Exposure Guideline Levels</t>
  </si>
  <si>
    <t>Engineering; Health; Engineering: Chemical; Social Science</t>
  </si>
  <si>
    <t>Toxicological Risks of Selected Flame-Retardant Chemicals</t>
  </si>
  <si>
    <t>Children of Atomic Bomb Survivors : A Genetic Study</t>
  </si>
  <si>
    <t>National Research Council Staff; Neel, James J.; Schull, William J.</t>
  </si>
  <si>
    <t>Extending Medicare Coverage for Preventive and Other Services</t>
  </si>
  <si>
    <t>Field, Marilyn J.; Division of Health Care Services,; Institute of Medicine,; National Academy of Sciences,; Field, Marilyn J.; Lawrence, Robert L.; Zwanziger, Lee L.</t>
  </si>
  <si>
    <t>Public Health Risks of Disasters : Communication, Infrastructure, and Preparedness</t>
  </si>
  <si>
    <t>Rogers, Paul G.; Hooke, William; National Academy of Sciences,; Board on Health Sciences Policy,; Disasters Roundtable,; Institute of Medicine,; Division on Earth and Life Studies,; Hooke, William H.; Rogers, Paul G.</t>
  </si>
  <si>
    <t>Dietary Supplements : A Framework for Evaluating Safety</t>
  </si>
  <si>
    <t>Committe on the Framework for Evaluating the Safety of the Dietary Supplements; Institute of Medicine,; National Research Council,</t>
  </si>
  <si>
    <t>Sleeping Pills, Insomnia, and Medical Practice : Report of a Study</t>
  </si>
  <si>
    <t>Rebuilding the Unity of Health and the Environment : The Greater Houston Metropolitan Area : Workshop Summary</t>
  </si>
  <si>
    <t>Jones, Lovell; Porretto, John; Coussens, Christine M.; Institute of Medicine,; Jones, Lovell A.; Porretto, John; Coussens, Christine M.</t>
  </si>
  <si>
    <t>Economic Models of Colorectal Cancer Screening in Average-Risk Adults : Workshop Summary</t>
  </si>
  <si>
    <t>Pignone, Michael; Institute of Medicine and National Research Council; Russell, Louise; Institute of Medicine,; National Research Council,; Pignone, Michael; Russell, Louise; Wagner, Judith</t>
  </si>
  <si>
    <t>Medicare : A Strategy for Quality Assurance, Volume I</t>
  </si>
  <si>
    <t>Committee to Design a Strategy for Quality Review and Assurance in Medicare; Institute of Medicine; Lohr, Kathleen N.; National Academy of Sciences,</t>
  </si>
  <si>
    <t>Preventing Childhood Obesity : Health in the Balance</t>
  </si>
  <si>
    <t>Koplan, Jeffrey P.; Liverman, Catharyn T.; Kraak, Vivica A.; Institute of Medicine,; National Academy of Sciences,; Koplan, Jeffrey P.; Liverman, Catharyn T.; Kraak, Vivica A.</t>
  </si>
  <si>
    <t>Eleventh Interim Report of the Subcommittee on Acute Exposure Guideline Levels</t>
  </si>
  <si>
    <t>Subcommittee on Acute Exposure Guideline Levels; Committee on Toxicology; National Research Council</t>
  </si>
  <si>
    <t>Threat of Pandemic Influenza : Are We Ready? Workshop Summary</t>
  </si>
  <si>
    <t>Knobler, Stacey L.; Mack, Alison; Mahmoud, Adel; Knobler, Stacey L.; Mack, Alison; Lemon, Stanley M.</t>
  </si>
  <si>
    <t>Saving Women's Lives : Strategies for Improving Breast Cancer Detection and Diagnosis</t>
  </si>
  <si>
    <t>Petitti, Diana B.; Joy, Janet E.; Penhoet, Edward E.; Policy and Global Affairs,; Institute of Medicine,; National Research Council,; Joy, Janet E.; Petitti, Diana B.; Penhoet, Edward E.</t>
  </si>
  <si>
    <t>Epidemiological Transition : Policy and Planning Implications for Developing Countries</t>
  </si>
  <si>
    <t>National Research Council Staff; Gribble, James N.; Preston, Samuel H.; National Research Council,; National Academy of Sciences,; Gribble, James N.; Preston, Samuel H.</t>
  </si>
  <si>
    <t>Twelfth Interim Report of the Subcommittee on Acute Exposure Guideline Levels</t>
  </si>
  <si>
    <t>Subcommittee on Acute Exposure Guideline Levels; National Research Council; Board on Environmental Studies and Toxicology,; Division on Earth and Life Studies,; National Research Council,; National Academy of Sciences,</t>
  </si>
  <si>
    <t>Federal Agency Roles in Cancer Drug Development from Preclinical Research to New Drug Approval : The National Cancer Institute and the Food and Drug Administration</t>
  </si>
  <si>
    <t>Newhouse, Joseph P.; Harvard University; National Research Council</t>
  </si>
  <si>
    <t>Quality Through Collaboration : The Future of Rural Health Care</t>
  </si>
  <si>
    <t>Committee on The Future of Rural Health Care; Board on Health Care Services,; Institute of Medicine,; National Academy of Sciences,</t>
  </si>
  <si>
    <t>Communicating Toxicogenomics Information to Nonexperts : A Workshop Summary</t>
  </si>
  <si>
    <t>Committee on Communicating Toxicogenomics Information to Nonexperts; Committee on Emerging Issues and Data on Environmental Contaminants; National Research Council; Board on Life Sciences,; Division on Earth and Life Studies,; National Research Council,; National Academy of Sciences,</t>
  </si>
  <si>
    <t>Making Better Drugs for Children with Cancer</t>
  </si>
  <si>
    <t>Adamson, Peter C.; Weiner, Susan L; Simone, Joseph V.; National Cancer Policy Board,; Institute of Medicine,; Adamson, Peter C.; Weiner, Susan L; Simone, Joseph V.; Gelband, Hellen</t>
  </si>
  <si>
    <t>Complementary and Alternative Medicine in the United States</t>
  </si>
  <si>
    <t>Committee on the Use of Complementary and Alternative Medicine by the American Public; Board on Health Promotion and Disease Prevention,; Institute of Medicine,; National Academy of Sciences,</t>
  </si>
  <si>
    <t>Dietary Reference Intakes for Water, Potassium, Sodium, Chloride, and Sulfate</t>
  </si>
  <si>
    <t>Panel on Dietary Reference Intakes for Electrolytes and Water; Standing Committee on the Scientific Evaluation of Dietary Reference Intakes; Food and Nutrition Board,; Institute of Medicine,; National Academy of Sciences,</t>
  </si>
  <si>
    <t>Assessing the Quality of Cancer Care : An Approach to Measurement in Georgia</t>
  </si>
  <si>
    <t>Eden, Jill; Simone, Joseph V.; Committee on Assessing Improvements in Cancer Care in Georgia,; National Cancer Policy Board,; Institute of Medicine,; National Academy of Sciences,; Eden, Jill; Simone, Joseph V.</t>
  </si>
  <si>
    <t>Review of Testing and Evaluation Methodology for Biological Point Detectors : Abbreviated Summary</t>
  </si>
  <si>
    <t>Committee on the Review of Testing and Evaluation Methodology for Biological Point Detectors; National Research Council; Division on Earth and Life Studies,; National Research Council,; National Academy of Sciences,</t>
  </si>
  <si>
    <t>Estimating the Contributions of Lifestyle-Related Factors to Preventable Death : A Workshop Summary</t>
  </si>
  <si>
    <t>Planning Committee on Estimating the Contributions of Lifestyle-Related Factors to Preventable Death</t>
  </si>
  <si>
    <t>Healers Abroad : Americans Responding to the Human Resource Crisis in HIV/AIDS</t>
  </si>
  <si>
    <t>Committee on the Options for Overseas Placement of U.S Health Professionals; Mullan, Fitzhugh; Panosian, Claire; Mullan, Fitzhugh; Panosian, Claire; Cuff, Patricia A.</t>
  </si>
  <si>
    <t>Environmental Tobacco Smoke : Measuring Exposures and Assessing Health Effects</t>
  </si>
  <si>
    <t>National Research Council; Committee on Passive Smoking</t>
  </si>
  <si>
    <t>Possible Long-Term Health Effects of Short-Term Exposure to Chemical Agents</t>
  </si>
  <si>
    <t>Panel on Anticholinesterase Chemicals; Panel on Anticholinergic Chemicals; Committee on Toxicology</t>
  </si>
  <si>
    <t>Preliminary Considerations Regarding NASA's Bioastronautics Critical Path Roadmap : Interim Report</t>
  </si>
  <si>
    <t>Committee on Review of NASA; Board on Health Sciences Policy,; Institute of Medicine,; National Academy of Sciences,</t>
  </si>
  <si>
    <t>Veterans and Agent Orange : Update 2004</t>
  </si>
  <si>
    <t>Committee to Review the Health Effects in Vietnam Veterans of Exposure to Herbicides</t>
  </si>
  <si>
    <t>Integrating Employee Health : A Model Program for NASA</t>
  </si>
  <si>
    <t>Committee to Assess Worksite Preventive Health Program Needs for NASA Employees; Food and Nutrition Board,; Institute of Medicine,; National Academy of Sciences,</t>
  </si>
  <si>
    <t>Review of the HIVNET 012 Perinatal HIV Prevention Study</t>
  </si>
  <si>
    <t>Committee on Reviewing the HIVNET 012 Perinatal HIV Prevention Study; Board on Population Health and Public Health Practice; Institute of Medicine,; National Academy of Sciences,</t>
  </si>
  <si>
    <t>Guidelines for Human Embryonic Stem Cell Research</t>
  </si>
  <si>
    <t>Committee on Guidelines for Human Embryonic Stem Cell Research; National Research Council; Board on Health Sciences Policy,; Institute of Medicine,; Division on Earth and Life Studies,; National Research Council,</t>
  </si>
  <si>
    <t>Thirteenth Interim Report of the Subcommittee on Acute Exposure Guideline Levels</t>
  </si>
  <si>
    <t>Subcommittee on Acute Exposure Guideline Levels; Committee on Toxicology; National Research Council; Division on Earth and Life Studies,; National Research Council,; National Academy of Sciences,</t>
  </si>
  <si>
    <t>Engineering; Engineering: Chemical; Social Science; Health</t>
  </si>
  <si>
    <t>Smallpox Vaccination Program : Public Health in an Age of Terrorism</t>
  </si>
  <si>
    <t>Committee on Smallpox Vaccination Program Implementation; Baciu, Alina; Anason, Andrea Pernack; Institute of Medicine,; Baciu, Alina; Anason, Andrea Pernack; Stratton, Kathleen; Strom, Brian L.</t>
  </si>
  <si>
    <t>John R. La Montagne Memorial Symposium on Pandemic Influenza Research : Meeting Proceedings</t>
  </si>
  <si>
    <t>Planning Group on the John R. La Montagne Memorial Symposium on Pandemic Influenza Research; Board on Population Health and Public Health Practice,; Institute of Medicine,; National Academy of Sciences,</t>
  </si>
  <si>
    <t>Improving Data to Analyze Food and Nutrition Policies</t>
  </si>
  <si>
    <t>Panel on Enhancing the Data Infrastructure in Support of Food and Nutrition Programs</t>
  </si>
  <si>
    <t>Toxicogenomic Technologies and Risk Assessment of Environmental Carcinogens : A Workshop Summary</t>
  </si>
  <si>
    <t>National Research Council</t>
  </si>
  <si>
    <t>Informing the Future : Critical Issues in Health (3rd Edition)</t>
  </si>
  <si>
    <t>Progress in Preventing Childhood Obesity : Focus on Schools - Brief Summary  : Institute of Medicine Regional Symposium</t>
  </si>
  <si>
    <t>Committee on Progress in Preventing Childhood Obesity; Committee on Progress in Preventing Childhood Obesity,; Food and Nutrition Board,; Institute of Medicine,; The National Academies,; National Academy of Sciences,</t>
  </si>
  <si>
    <t>Richard and Hinda Rosenthal Lectures 2004 : Perspectives on the Prevention of Childhood Obesity in Children and Youth</t>
  </si>
  <si>
    <t>From Cancer Patient to Cancer Survivor : Lost in Transition</t>
  </si>
  <si>
    <t>Hewitt, Maria Elizabeth; Greenfield, Sheldon; Stovall, Ellen; Institute of Medicine,; National Academy of Sciences,; Hewitt, Maria; Greenfield, Sheldon; Stovall, Ellen</t>
  </si>
  <si>
    <t>Public Financing and Delivery of HIV/AIDS Care : Securing the Legacy of Ryan White</t>
  </si>
  <si>
    <t>Committee on the Public Financing and Delivery of HIV Care; Board on Health Promotion and Disease Prevention,; Institute of Medicine,; National Academy of Sciences,</t>
  </si>
  <si>
    <t>Supporting Local Health Care in a Chronic Crisis : Management and Financing Approaches in the Eastern Democratic Republic of the Congo</t>
  </si>
  <si>
    <t>Dijkzeul, Dennis; Lynch, Caroline; Columbia University,; Committee on Population,; Division of Behavioral and Social Sciences and Education,; Program on Forced Migration and Health,; Joseph L. Mailman School of Public Health,; National Research Council,; National Academy of Sciences,; Dijkzeul, Dennis</t>
  </si>
  <si>
    <t>Noise and Military Service : Implications for Hearing Loss and Tinnitus</t>
  </si>
  <si>
    <t>Humes, Larry; Joellenbeck, Lois M.; Durch, Jane</t>
  </si>
  <si>
    <t>Review of the Department of Defense Research Program on Low-Level Exposures to Chemical Warfare Agents</t>
  </si>
  <si>
    <t>Subcommittee on Toxicologic Assessment of Low-Level Exposures to Chemical Warfare Agents; Committee on Toxicology; National Research Council; Division on Earth and Life Studies,; National Research Council,</t>
  </si>
  <si>
    <t>Military Science; Social Science; Health</t>
  </si>
  <si>
    <t>Safe Medical Devices for Children</t>
  </si>
  <si>
    <t>Institute of Medicine (U.S.) Staff; Field, Marilyn J.; Tilson, Hugh; Field, Marilyn J.; Tilson, Hugh A.</t>
  </si>
  <si>
    <t>Child Health in Complex Emergencies</t>
  </si>
  <si>
    <t>Moss, William J.; Ramakrishnan, Meenakshi</t>
  </si>
  <si>
    <t>Treating Infectious Diseases in a Microbial World : Report of Two Workshops on Novel Antimicrobial Therapeutics</t>
  </si>
  <si>
    <t>Committee on New Directions in the Study of Antimicrobial Therapeutics; Committee on New Directions in the Study of Antimicrobial Therapeutics; National Research Council</t>
  </si>
  <si>
    <t>WIC Food Packages : Time for a Change</t>
  </si>
  <si>
    <t>Committee to Review the WIC Food Packages; Food and Nutrition Board,; Institute of Medicine,; National Academy of Sciences,</t>
  </si>
  <si>
    <t>Science, Medicine, and Animals : Teacher's Guide</t>
  </si>
  <si>
    <t>National Research Council; Division on Earth and Life Studies,; National Research Council,; National Academy of Sciences,</t>
  </si>
  <si>
    <t>Quarantine Stations at Ports of Entry Protecting the Public's Health</t>
  </si>
  <si>
    <t>Sivitz, Laura B.; Stratton, Kathleen; Benjamin, Georges C.</t>
  </si>
  <si>
    <t>Progress in Preventing Childhood Obesity : Focus on Communities - Brief Summary  : Institute of Medicine Regional Symposium</t>
  </si>
  <si>
    <t>Healthcare Georgia Foundation; Robert Wood Johnson Foundation; Food and Nutrition Board,; Institute of Medicine,; The National Academies,; National Academy of Sciences,</t>
  </si>
  <si>
    <t>Ensuring an Infectious Disease Workforce : Education and Training Needs for the 21st Century - Workshop Summary</t>
  </si>
  <si>
    <t>Knobler, Stacey L.; Burroughs, Thomas; Mahmoud, Adel; Institute of Medicine,; Mahmoud, Adel A. F.; Knobler, Stacey L.; Burroughs, Thomas; Lemon, Stanley M.</t>
  </si>
  <si>
    <t>Health Risks from Exposure to Low Levels of Ionizing Radiation : BEIR VII Phase 2</t>
  </si>
  <si>
    <t>Committee to Assess Health Risks from Exposure to Low Levels of Ionizing Radiation; National Research Council; Division on Earth and Life Studies,; National Research Council,; National Academy of Sciences,</t>
  </si>
  <si>
    <t>Risk Reduction Strategy for Human Exploration of Space : A Review of NASA's Bioastronautics Roadmap</t>
  </si>
  <si>
    <t>Committee on Review of NASA's Bioastronautics Roadmap; Longnecker, David; Molins, Ricardo; Space Studies Board,; Institute of Medicine,; National Academy of Sciences,; Longnecker, David E.; Molins, Ricardo A.; Molins, R. A.</t>
  </si>
  <si>
    <t>Improving the Quality of Health Care for Mental and Substance-Use Conditions : Quality Chasm Series</t>
  </si>
  <si>
    <t>Committee on Crossing the Quality Chasm: Adaptation to Mental Health and Addictive Disorders; Board on Health Care Services,; Institute of Medicine,; National Academy of Sciences,</t>
  </si>
  <si>
    <t>Rebuilding the Unity of Health and the Environment in Rural America : Workshop Summary</t>
  </si>
  <si>
    <t>Merchant, James; Coussens, Christine; Gilbert, Dalia; Institute of Medicine,; Merchant, James; Coussens, Christine M.; Gilbert, Dalia</t>
  </si>
  <si>
    <t>Food Safety and Foodborne Disease Surveillance Systems : Proceedings of an Iranian-American Workshop</t>
  </si>
  <si>
    <t>Office for Central Europe and Eurasia; National Research Council; Jackson, George</t>
  </si>
  <si>
    <t>Impact of Globalization on Infectious Disease Emergence and Control : Exploring the Consequences and Opportunities, Workshop Summary - Forum on Microbial Threats</t>
  </si>
  <si>
    <t>Knobler, Stacey; Mahmoud, Adel; Lemon, Stanley; Institute of Medicine,; Knobler, Stacey; Lemon, Stanley M.; Mahmoud, Adel A. F.; Pray, Leslie A.</t>
  </si>
  <si>
    <t>National Academies Keck Futures Initiative The Genomic Revolution -- Implications for Treatment and Control of Infectious Disease : Working Group Summaries</t>
  </si>
  <si>
    <t>National Academies Keck Futures Initiative Genomics Steering Committee; Keck Futures Initiative Genomics Planning Committee; The National Academies,; National Academy of Sciences,</t>
  </si>
  <si>
    <t>Study of Interactions : Emerging Issues in the Science of Adolescence, Workshop Summary</t>
  </si>
  <si>
    <t>Program Committee for a Workshop on the Synthesis of Research on Adolescent Health and Development; National Research Council; Division of Behavioral and Social Sciences and Education,; Institute of Medicine,; National Research Council,; National Academy of Sciences,</t>
  </si>
  <si>
    <t>Application of Toxicogenomics to Cross-Species Extrapolation : A Report of a Workshop</t>
  </si>
  <si>
    <t>Committee on Applications of Toxicogenomics to Cross-Species Extrapolation; Committee on Emerging Issues and Data on Environmental Contaminants; National Research Council; Board on Life Sciences,; Division on Earth and Life Studies,; National Research Council,</t>
  </si>
  <si>
    <t>Progress in Preventing Childhood Obesity : Focus on Industry - Brief Summary  : Institute of Medicine Regional Symposium</t>
  </si>
  <si>
    <t>California Endowment Supported by The Robert Wood Johnson Foundation; Committee on Progress in Preventing Childhood Obesity,; Food and Nutrition Board,; Institute of Medicine,; The National Academies,; National Academy of Sciences,</t>
  </si>
  <si>
    <t>Valuing Health for Regulatory Cost-Effectiveness Analysis</t>
  </si>
  <si>
    <t>Miller, Wilhelmine; Robinson, Lisa A.; Lawrence, Robert S.; Institute of Medicine,; Miller, Wilhelmine; Robinson, Lisa A.; Lawrence, Robert S.</t>
  </si>
  <si>
    <t>From Cancer Patient to Cancer Survivor - Lost in Transition : An American Society of Clinical Oncology and Institute of Medicine Symposium</t>
  </si>
  <si>
    <t>Hewitt, Maria; Ganz, Patricia A.; Institute of Medicine,; National Research Council,</t>
  </si>
  <si>
    <t>Disposition of the Air Force Health Study</t>
  </si>
  <si>
    <t>Committee on the Disposition of the Air Force Health Study; Board on Population Health and Public Health Practice,; Institute of Medicine,; National Academy of Sciences,</t>
  </si>
  <si>
    <t>Food Marketing to Children and Youth : Threat or Opportunity?</t>
  </si>
  <si>
    <t>Committee on Food Marketing and the Diets of Children and Youth; McGinnis, J. Michael; Gootman, Jennifer Appleton; Food and Nutrition Board,; Institute of Medicine,; Division of Behavioral and Social Sciences and Education,; McGinnis, J. Michael; Gootman, Jennifer Appleton; Kraak, Vivica I.</t>
  </si>
  <si>
    <t>Food Insecurity and Hunger in the United States : An Assessment of the Measure</t>
  </si>
  <si>
    <t>Panel to Review U.S Department of Agriculture's Measurement of Food Insecurity and Hunger; National Research Council; Division of Behavioral and Social Sciences and Education,; National Research Council,; National Academy of Sciences,</t>
  </si>
  <si>
    <t>Enhancing Philanthropy's Support of Biomedical Scientists : Proceedings of a Workshop on Evaluation</t>
  </si>
  <si>
    <t>Reinhart, George R.</t>
  </si>
  <si>
    <t>Mineral Requirements for Military Personnel : Levels Needed for Cognitive and Physical Performance During Garrison Training</t>
  </si>
  <si>
    <t>Committee on Mineral Requirements for Cognitive and Physical Performance of Military Personnel; Committee on Military Nutrition Research; Food and Nutrition Board,; Institute of Medicine,; National Academy of Sciences,</t>
  </si>
  <si>
    <t>Health; Military Science</t>
  </si>
  <si>
    <t>Reusability of Facemasks During an Influenza Pandemic : Facing the Flu</t>
  </si>
  <si>
    <t>Committee on the Development of Reusable Facemasks for Use During an Influenza Pandemic; Board on Health Sciences Policy,; Institute of Medicine,; National Academy of Sciences,</t>
  </si>
  <si>
    <t>Developing a National Registry of Pharmacologic and Biologic Clinical Trials : Workshop Report</t>
  </si>
  <si>
    <t>Committee on Clinical Trial Registries; Board on Health Sciences Policy,; Institute of Medicine,; National Academy of Sciences,</t>
  </si>
  <si>
    <t>Performance Measurement : Accelerating Improvement</t>
  </si>
  <si>
    <t>Ending the War Metaphor : The Changing Agenda for Unraveling the Host-Microbe Relationship - Workshop Summary</t>
  </si>
  <si>
    <t>Forum on Microbial Threats; Board on Global Health,; Institute of Medicine,; National Academy of Sciences,</t>
  </si>
  <si>
    <t>Medicare's Quality Improvement Organization Program : Maximizing Potential</t>
  </si>
  <si>
    <t>Richard and Hinda Rosenthal Lectures 2005 : Next Steps Toward Higher Quality Health Care</t>
  </si>
  <si>
    <t>Organ Donation : Opportunities for Action</t>
  </si>
  <si>
    <t>Committee on Increasing Rates of Organ Donation; Childress, James F.; Liverman, Catharyn T.; Institute of Medicine,; Childress, James F.; Liverman, Catharyn T.</t>
  </si>
  <si>
    <t>Overcoming Challenges to Develop Countermeasures Against Aerosolized Bioterrorism Agents : Appropriate Use of Animal Models</t>
  </si>
  <si>
    <t>Committee on Animal Models for Testing Interventions Against Aerosolized Bioterrorism Agents; National Research Council; Institute for Laboratory Animal Research,; Division on Earth and Life Studies,; National Research Council,; National Academy of Sciences,</t>
  </si>
  <si>
    <t>Opportunities to Address Clinical Research Workforce Diversity Needs for 2010</t>
  </si>
  <si>
    <t>Committee on Opportunities to Address Clinical Research Workforce Diversity Needs for 2010; Hahm, Jong-on; Ommaya, Alexander; Institute of Medicine,; Policy and Global Affairs,; National Research Council,; National Academy of Sciences,; Hahm, Jong-on; Ommaya, Alexander</t>
  </si>
  <si>
    <t>Posttraumatic Stress Disorder : Diagnosis and Assessment</t>
  </si>
  <si>
    <t>National Research Council; Board on Population Health and Public Health Practice,; Institute of Medicine,; National Academy of Sciences,</t>
  </si>
  <si>
    <t>Battling Malaria : Strengthening the U.S. Military Malaria Vaccine Program</t>
  </si>
  <si>
    <t>Committee on U.S. Military Malaria Vaccine Research - A Program Review; Graves, Patricia M.; Levine, Myron M.; Institute of Medicine,; Graves, Patricia M.; Levine, Myrone M.</t>
  </si>
  <si>
    <t>Sleep Disorders and Sleep Deprivation : An Unmet Public Health Pro</t>
  </si>
  <si>
    <t>Institute of Medicine (U.S.), Committee on Sleep Medicine and Research Staff; Colten, Harvey R.; Altevogt, Bruce M.; Institute of Medicine,; Colten, Harvey R.; Altevogt, Bruce M.</t>
  </si>
  <si>
    <t>Addressing Foodborne Threats to Health : Policies, Practices, and Global Coordination, Workshop Summary</t>
  </si>
  <si>
    <t>Effect of the HIPAA Privacy Rule on Health Research : Proceedings of a Workshop Presented to the National Cancer Policy Forum</t>
  </si>
  <si>
    <t>National Cancer Policy Forum; Herdman, Roger; Moses, Harold; Moses, Harold L.; National Cancer Policy Forum,</t>
  </si>
  <si>
    <t>Human Biomonitoring for Environmental Chemicals</t>
  </si>
  <si>
    <t>Committee on Human Biomonitoring for Environmental Toxicants; National Research Council; Division on Earth and Life Studies,; National Research Council,; National Academy of Sciences,</t>
  </si>
  <si>
    <t>Space Radiation Hazards and the Vision for Space Exploration : Report of a Workshop</t>
  </si>
  <si>
    <t>Ad Hoc Committee on the Solar System Radiation Environment; National Research Council</t>
  </si>
  <si>
    <t>Developing Biomarker-Based Tools for Cancer Screening, Diagnosis, and Treatment : The State of the Science, Evaluation, Implementation, and Economics</t>
  </si>
  <si>
    <t>Patlak, Margie; Nass, Sharyl; Patlak, Margie; Nass, Sharyl J.</t>
  </si>
  <si>
    <t>New Source Review for Stationary Sources of Air Pollution</t>
  </si>
  <si>
    <t>Committee on Changes in New Source Review Programs for Stationary Sources of Air Pollution; National Research Council; Division on Earth and Life Studies,; National Research Council,; National Academy of Sciences,</t>
  </si>
  <si>
    <t>Assessing the Human Health Risks of Trichloroethylene : Key Scientific Issues</t>
  </si>
  <si>
    <t>Committee on Human Health Risks of Trichloroethylene; National Research Council; Division on Earth and Life Studies,; National Research Council,</t>
  </si>
  <si>
    <t>Preventing Medication Errors : Quality Chasm Series</t>
  </si>
  <si>
    <t>Aspden, Philip; Wolcott, Julie; Bootman, J. Lyle; Aspden, Philip; Wolcott, Julie; Bootman, J. Lyle; Cronenwett, Linda R.</t>
  </si>
  <si>
    <t>Amyotrophic Lateral Sclerosis in Veterans : Review of the Scientific Literature</t>
  </si>
  <si>
    <t>Committee on the Review of the Scientific Literature on Amyotrophic Lateral Sclerosis in Veterans; Board on Population Health and Public Health Practice,; Institute of Medicine,; National Academy of Sciences,</t>
  </si>
  <si>
    <t>Gulf War and Health, Volume 5 : Infectious Diseases</t>
  </si>
  <si>
    <t>Mitchell, Abigail E.; Sivitz, Laura B.; Black, Robert E.; Institute of Medicine,; Mitchell, Abigail E.; Sivitz, Laura B.; Black, Robert E.</t>
  </si>
  <si>
    <t>Preventing HIV Infection Among Injecting Drug Users in High Risk Countries : An Assessment of the Evidence</t>
  </si>
  <si>
    <t>Committee on the Prevention of HIV Infection among Injecting Drug Users in High-Risk Countries; Board on Global Health,; Institute of Medicine,; National Academy of Sciences,</t>
  </si>
  <si>
    <t>Hearing Loss Research at NIOSH : Reviews of Research Programs of the National Institute for Occupational Safety and Health</t>
  </si>
  <si>
    <t>Committee to Review the NIOSH Hearing Loss Research Program; National Research Council; Institute of Medicine,; National Research Council,; National Academy of Sciences,</t>
  </si>
  <si>
    <t>Dietary Reference Intakes Research Synthesis : Workshop Summary</t>
  </si>
  <si>
    <t>Suitor, Carol West; Meyers, Linda D.; Planning Committee on Dietary Reference Intakes Research Synthesis; Institute of Medicine,; Meyers, Linda D.; Suitor, Carol West</t>
  </si>
  <si>
    <t>Fluoride in Drinking Water : A Scientific Review of EPA's Standards</t>
  </si>
  <si>
    <t>Committee on Fluoride in Drinking Water; National Research Council; Division on Earth and Life Studies,; National Research Council,; National Academy of Sciences,</t>
  </si>
  <si>
    <t>Aging in Sub-Saharan Africa : Recommendations for Furthering Research</t>
  </si>
  <si>
    <t>Panel on Policy Research and Data Needs to Meet the Challenge of Aging in Africa; Cohen, Barney; Menken, Jane; Division of Behavioral and Social Sciences and Education,; Cohen, Barney; Menken, Jane A.</t>
  </si>
  <si>
    <t>Bridges to Independence : Fostering the Independence of New Investigators in Biomedical Research</t>
  </si>
  <si>
    <t>National Research Council (U.S.), Committee on Bridges to Independence Staff</t>
  </si>
  <si>
    <t>Cancer Control Opportunities in Low- and Middle-Income Countries</t>
  </si>
  <si>
    <t>Sloan, Frank A.; Gelband, Hellen; Institute of Medicine (U.S.), Committee on Cancer Control in Low- and Middle-Income Countries Staff; National Academy of Sciences,; Sloan, Frank A.; Gelband, Hellen</t>
  </si>
  <si>
    <t>Building a Better Delivery System : A New Engineering/Health Care Partnership</t>
  </si>
  <si>
    <t>Reid, Proctor P.; Compton, W. Dale; Grossman, Jerome H.; Institute of Medicine,; National Academy of Engineering,; Compton, W.Dale; Grossman, Jerome H.; Fanjiang, Gary</t>
  </si>
  <si>
    <t>Improving Breast Imaging Quality Standards</t>
  </si>
  <si>
    <t>Nass, Sharyl; Ball, John; Committee on Improving Mammography Quality Standards Staff; National Cancer Policy Board,; Institute of Medicine,; Nass, Sharyl J.; Ball, John</t>
  </si>
  <si>
    <t>Evaluating the HRSA Traumatic Brain Injury Program</t>
  </si>
  <si>
    <t>Eden, Jill; Stevens, Rosemary; Institute of Medicine (U.S.), Committee on Traumatic Brain Injury Staff; National Academy of Sciences,</t>
  </si>
  <si>
    <t>Joint U.S.-Mexico Workshop on Preventing Obesity in Children and Youth of Mexican Origin : Summary</t>
  </si>
  <si>
    <t>Oria, Maria; Sawyer, Kristin</t>
  </si>
  <si>
    <t>Cord Blood : Establishing a National Hematopoietic Stem Cell Bank Program</t>
  </si>
  <si>
    <t>Meyer, Emily Ann; Hanna, Kathi E.; Gebbie, Kristine; Meyer, Emily Ann; Hanna, Kathi E.; Gebbie, Kristine M.; National Academy of Sciences,</t>
  </si>
  <si>
    <t>Advancing the Nation's Health Needs : NIH Research Training Programs</t>
  </si>
  <si>
    <t>National Research Council (U.S.) Staff</t>
  </si>
  <si>
    <t>Spinal Cord Injury : Progress, Promise, and Priorities</t>
  </si>
  <si>
    <t>Liverman, Catharyn T.; Altevogt, Bruce M.; Joy, Janet E.; Liverman, Catharyn T.; Altevogt, Bruce M.; Joy, Janet E.; Johnson, Richard T.; National Academy of Sciences,</t>
  </si>
  <si>
    <t>Global Environmental Health in the 21st Century : From Governmental Regulation to Corporate Social Responsibility  : Workshop Summary</t>
  </si>
  <si>
    <t>Harrison, Myron; Coussens, Christine; Institute of Medicine,; National Academy of Sciences,; Coussens, Christine M.; Harrison, Myron</t>
  </si>
  <si>
    <t>Progress in Preventing Childhood Obesity : How Do We Measure Up?</t>
  </si>
  <si>
    <t>Committee on Progress in Preventing Childhood Obesity; Institute of Medicine (U.S.), Committee on Progress in Preventing Childhood Obesity Staff; Institute of Medicine,; National Academy of Sciences,</t>
  </si>
  <si>
    <t>Cancer Biomarkers : The Promises and Challenges of Improving Detection and Treatment</t>
  </si>
  <si>
    <t>Committee on Developing Biomarker Based Tools for Cancer Screening; Nass, Sheryl J.; Moses, Harold L.; Nass, Sharyl J.; Moses, Harold L.</t>
  </si>
  <si>
    <t>Seafood Choices : Balancing Benefits and Risks</t>
  </si>
  <si>
    <t>Committee on Nutrient Relationships in Seafood; Yaktine, Ann L.; Nesheim, Malden C.; Institute of Medicine,; Nesheim, Malden C.; Yaktine, Ann L.</t>
  </si>
  <si>
    <t>Validation of Toxicogenomic Technologies : A Workshop Summary</t>
  </si>
  <si>
    <t>Committee on Validation of Toxicogenomic Technologies; Committee on Emerging Issues and Data on Environmental Contaminants; National Research Council</t>
  </si>
  <si>
    <t>Future of Drug Safety : Promoting and Protecting the Health of the Public</t>
  </si>
  <si>
    <t>Committee on the Assessment of the US Drug Safety System; Baciu, Alina; Stratton, Kathleen R.; Institute of Medicine,; Baciu, Alina; Stratton, Kathleen; Burke, Sheila P.</t>
  </si>
  <si>
    <t>Influence of Pregnancy Weight on Maternal and Child Health : Workshop Report</t>
  </si>
  <si>
    <t>Committee on the Impact of Pregnancy Weight on Maternal and Child Health; National Research Council; Food and Nutrition Board,; Division of Behavioral and Social Sciences and Education,; Institute of Medicine,; National Research Council,; National Academy of Sciences,</t>
  </si>
  <si>
    <t>Cancer in Elderly People : Workshop Proceedings</t>
  </si>
  <si>
    <t>National Cancer Policy Forum; Institute of Medicine,</t>
  </si>
  <si>
    <t>National Academies Keck Futures Initiative : Smart Prosthetics  : Exploring Assistive Devices for the Body and Mind  : Task Group Summaries</t>
  </si>
  <si>
    <t>Beckman, Arnold; Beckman, Mabel</t>
  </si>
  <si>
    <t>Adequacy of Evidence for Physical Activity Guidelines Development : Workshop Summary</t>
  </si>
  <si>
    <t>Suitor, Carol West; Kraak, Vivica I.; Institute of Medicine,</t>
  </si>
  <si>
    <t>Strategy for Assessing Science : Behavioral and Social Research on Aging</t>
  </si>
  <si>
    <t>Committee on Assessing Behavioral and Social Science Research on Aging; Stern, Paul C.; Feller, Irwin; National Research Council,; Feller, Irwin; Stern, Paul C.</t>
  </si>
  <si>
    <t>Committee on Acute Exposure Guideline Levels; Committee on Toxicology; National Research Council; National Research Council,; National Academy of Sciences,</t>
  </si>
  <si>
    <t>Preterm Birth : Causes, Consequences, and Prevention</t>
  </si>
  <si>
    <t>Committee on Understanding Premature Birth and Assuring Healthy Outcomes; Behrman, Richard E.; Butler, Adrienne Stith; Institute of Medicine,; Behrman, Richard E.; Butler, Adrienne Stith</t>
  </si>
  <si>
    <t>Earth Materials and Health : Research Priorities for Earth Science and Public Health</t>
  </si>
  <si>
    <t>Committee on Research Priorities for Earth Science and Public Health; National Research Council; Board on Health Sciences Policy,; Division on Earth and Life Studies,; Institute of Medicine,; National Research Council,; National Academy of Sciences,</t>
  </si>
  <si>
    <t>Future of Emergency Care : Dissemination Workshop Summaries</t>
  </si>
  <si>
    <t>McHugh, Megan; Slavin, Peter; Slavin, Peter; McHugh, Megan</t>
  </si>
  <si>
    <t>Improving Disaster Management : The Role of IT in Mitigation, Preparedness, Response, and Recovery</t>
  </si>
  <si>
    <t>Rao, Ramesh R.; Eisenberg, Jon; Schmitt, Ted; National Research Council,; National Academy of Sciences,; Rao, Ramesh R.; Eisenberg, Jon; Schmitt, Ted</t>
  </si>
  <si>
    <t>Emergency Care for Children : Growing Pains</t>
  </si>
  <si>
    <t>Committee on the Future of Emergency Care in the United States Health System; Board on Health Care Services,; Institute of Medicine,; National Academy of Sciences,</t>
  </si>
  <si>
    <t>Emergency Medical Services : At the Crossroads</t>
  </si>
  <si>
    <t>Improving the Social Security Disability Decision Process</t>
  </si>
  <si>
    <t>Committee on Improving the Disability Decision Process; Stobo, John D.; McGeary, Michaeland</t>
  </si>
  <si>
    <t>Adverse Drug Event Reporting : The Roles of Consumers and Health-Care Professionals  : Workshop Summary</t>
  </si>
  <si>
    <t>Drazen, Jeffrey M.; Rainey, Jennifer; Begg, Heather; Institute of Medicine,</t>
  </si>
  <si>
    <t>Learning Healthcare System : Workshop Summary, IOM Roundtable on Evidence-Based Medicine</t>
  </si>
  <si>
    <t>Olsen, LeighAnne; Aisner, Dara; McGinnis, J. Michael; Institute of Medicine,; Olsen, LeighAnne; Aisner, Dara; McGinnis, J. Michael</t>
  </si>
  <si>
    <t>Green Healthcare Institutions : Health, Environment, and Economics, Workshop Summary</t>
  </si>
  <si>
    <t>Frumkin, Howard; Board on Population Health and Public Health Practice,; Institute of Medicine,; National Academy of Sciences,; Coussens, Christine; Frumkin, Howard</t>
  </si>
  <si>
    <t>Ethical and Legal Considerations in Mitigating Pandemic Disease, Workshop Summary</t>
  </si>
  <si>
    <t>Lemon, Stanley M.; Hamburg, Margaret A.; Sparling, P. Frederick; National Academy of Sciences,; Choffnes, Eileen R.; Lemon, Stanley M.; Hamburg, Margaret A.; Sparling, P. Frederick; Mack, Alison</t>
  </si>
  <si>
    <t>Hospital-Based Emergency Care : At the Breaking Point</t>
  </si>
  <si>
    <t>Environmental Public Health Impacts of Disasters : Hurricane Katrina, Workshop Summary</t>
  </si>
  <si>
    <t>Goldman, Lynn; Coussens, Christine; Institute of Medicine,; National Academy of Sciences,; Coussens, Christine; Goldman, Lynn</t>
  </si>
  <si>
    <t>Nutrigenomics and Beyond : Informing the Future  : Workshop Summary</t>
  </si>
  <si>
    <t>Yaktine, Ann L.; Robert, Pool; National Academy of Sciences,; Yaktine, Ann L.; Pool, Robert</t>
  </si>
  <si>
    <t>Science: Biology/Natural History; Science; Health</t>
  </si>
  <si>
    <t>Long-Term Health Effects of Participation in Project SHAD (Shipboard Hazard and Defense)</t>
  </si>
  <si>
    <t>Page, William F.; Young, Heather A.; Crawford, Harriet M.; Advisory Panel for the Study of Long-Term Health Effects of Participation in Project SHAD,; Medical Follow-Up Agency,; Board on Military and Veterans Health,; Institute of Medicine,; National Academy of Sciences,</t>
  </si>
  <si>
    <t>Advancing Nuclear Medicine Through Innovation</t>
  </si>
  <si>
    <t>Committee on State of the Science of Nuclear Medicine; National Research Council; Board on Health Sciences Policy,; Division on Earth and Life Studies,; Institute of Medicine,; National Research Council,</t>
  </si>
  <si>
    <t>Understanding the Benefits and Risks of Pharmaceuticals : Workshop Summary</t>
  </si>
  <si>
    <t>National Academy Press</t>
  </si>
  <si>
    <t>Forum on Drug Discovery and Development; Institute of Medicine (U.S.); Pray, Leslie; Pray, Leslie</t>
  </si>
  <si>
    <t>21st Century System for Evaluating Veterans for Disability Benefits</t>
  </si>
  <si>
    <t>Committee on Medical Evaluation of Veterans for Disability Compensation; McGeary, Michael; Ford, Morgan A.; National Academy of Sciences,; McGeary, Michael; Ford, Morgan A.; McCutchen, Susan R.; Barnes, David K.</t>
  </si>
  <si>
    <t>PTSD Compensation and Military Service</t>
  </si>
  <si>
    <t>Committee on Veterans' Compensation for Posttraumatic Stress Disorder; Board on Military and Veterans Health,; Board on Behavioral, Cognitive, and Sensory Sciences,; Institute of Medicine,; National Research Council,; National Academy of Sciences,</t>
  </si>
  <si>
    <t>Nutrition Standards for Foods in Schools : Leading the Way Toward Healthier Youth</t>
  </si>
  <si>
    <t>Committee on Nutrition Standards for Foods in Schools; Stallings, Virginia A.; Yaktine, Ann L.; National Academy of Sciences,; Stallings, Virginia A.; Yaktine, Ann L.</t>
  </si>
  <si>
    <t>Training Physicians for Public Health Careers</t>
  </si>
  <si>
    <t>Committee on Training Physicians for Public Health Careers; Hernandez, Lyla M.; Munthali, A. Wezi; National Academy of Sciences,; Hernandez, Lyla M.; Munthali, A. Wezi</t>
  </si>
  <si>
    <t>Toxicity Testing in the 21st Century : A Vision and a Strategy</t>
  </si>
  <si>
    <t>National Research Council, Committee on Toxicity Testing and Assessment of Environmental Agents</t>
  </si>
  <si>
    <t>Scientific Review of the Proposed Risk Assessment Bulletin from the Office of Management and Budget</t>
  </si>
  <si>
    <t>National Research Council, Committee to Review the OMB Risk Assessment Bulletin; Board on Environmental Studies and Toxicology,; Division on Earth and Life Studies,; National Research Council,</t>
  </si>
  <si>
    <t>Global Infectious Disease Surveillance and Detection : Assessing the Challenges, Finding Solutions  : Workshop Summary</t>
  </si>
  <si>
    <t>Institute of Medicine (U.S.), Forum on Microbial Threats; Lemon, Stanley M.; Forum on Microbial Threats,; Lemon, Stanley M.; Hamburg, Margaret A.; Sparling, P. Frederick; Choffnes, Eileen R.; Mack, Alison</t>
  </si>
  <si>
    <t>Challenges for the FDA : The Future of Drug Safety  : Workshop Summary</t>
  </si>
  <si>
    <t>Institute of Medicine (U.S.), Forum on Drug Discovery, Development, and Translation; Pray, Leslie; Robinson, Sally; Board on Health Sciences Policy,; Institute of Medicine,</t>
  </si>
  <si>
    <t>Health Effects of Beryllium Exposure : A Literature Review</t>
  </si>
  <si>
    <t>National Research Council, Committee on Beryllium Alloy Exposures; Committee on Toxicology,; Board on Environmental Studies and Toxicology,; Division on Earth and Life Studies,; National Research Council,</t>
  </si>
  <si>
    <t>Biological Threat Reduction Program of the Department of Defense : From Foreign Assistance to Sustainable Partnerships</t>
  </si>
  <si>
    <t>National Research Council, Committee on Prevention of Proliferation of Biological Weapons; Office for Central Europe and Eurasia,; Development, Security, and Cooperation,; Policy and Global Affairs,; National Research Council,</t>
  </si>
  <si>
    <t>Preparing for an Influenza Pandemic : Personal Protective Equipment for Healthcare Workers</t>
  </si>
  <si>
    <t>Committee on Personal Protective Equipment for Healthcare Workers During an Influenza Pandemic; Goldfrank, Lewis R.; Liverman, Catharyn T.; Goldfrank, Lewis R.; Liverman, Catharyn T.</t>
  </si>
  <si>
    <t>State of Quality Improvement and Implementation Research : Expert Views  : Workshop Summary</t>
  </si>
  <si>
    <t>Forum on the Science of Health Care Quality Improvement and Implementation; Chao, Samantha; Board on Health Care Services,; Institute of Medicine,</t>
  </si>
  <si>
    <t>Veterans and Agent Orange : Update 2006</t>
  </si>
  <si>
    <t>Committee to Review the Health Effects in Vietnam Veterans of Exposure to Herbicides; Institute of Medicine</t>
  </si>
  <si>
    <t>Nutritional Risk Assessment : Perspectives, Methods, and Data Challenges  : Workshop Summary</t>
  </si>
  <si>
    <t>Suitor, Carol West; Yaktine, Ann; Oria, Maria; Oria, Maria; Yaktine, Ann; Suitor, Carol West</t>
  </si>
  <si>
    <t>Autism and the Environment : Challenges and Opportunities for Research, Workshop Proceedings</t>
  </si>
  <si>
    <t>Forum on Neuroscience and Nervous System Disorders; Institute of Medicine; Institute of Medicine,</t>
  </si>
  <si>
    <t>Foodborne Disease and Public Health : Summary of an Iranian-American Workshop</t>
  </si>
  <si>
    <t>West Suitor, Carol; Oria, Maria; Office for Central Europe and Eurasia,; Food and Nutrition Board,; Institute of Medicine,; Policy and Global Affairs,; National Research Council,</t>
  </si>
  <si>
    <t>Emerging Safety Science : Workshop Summary</t>
  </si>
  <si>
    <t>Griffin, Robert; Robinson, Sally; Pool, Robert; Forum on Drug Discovery, Development, and Translation,; Board on Health Sciences Policy,; Institute of Medicine,</t>
  </si>
  <si>
    <t>Development of DRIs 1994-2004 : Lessons Learned and New Challenges  : Workshop Summary</t>
  </si>
  <si>
    <t>Sheffer, Marla; Taylor, Christine Lewis; Institute of Medicine,; Taylor, Christine Lewis; Sheffer, Marla</t>
  </si>
  <si>
    <t>Neuroscience Biomarkers and Biosignatures : Converging Technologies, Emerging Partnerships  : Workshop Summary</t>
  </si>
  <si>
    <t>Altevogt, Bruce; Davis, Miriam; Hanson, Sarah; Altevogt, Bruce; Hanson, Sarah; Davis, Miriam</t>
  </si>
  <si>
    <t>Cancer Care for the Whole Patient : Meeting Psychosocial Health Needs</t>
  </si>
  <si>
    <t>Adler, Nancy E.; Page, Ann E. K.; Institute of Medicine,; Adler, Nancy E.; Page, Ann E.K.</t>
  </si>
  <si>
    <t>Utility of Proximity-Based Herbicide Exposure Assessment in Epidemiologic Studies of Vietnam Veterans</t>
  </si>
  <si>
    <t>Committee on Making Best Use of the Agent Orange Exposure Reconstruction Model; Board on Military and Veterans Health,; Institute of Medicine,</t>
  </si>
  <si>
    <t>Establishing Priorities, Volume 1 : Diseases of Importance in United States</t>
  </si>
  <si>
    <t>Committee on Issues and Priorities for New Vaccine Development; Division of Health Promotion and Disease Prevention</t>
  </si>
  <si>
    <t>Standardizing Medication Labels : Confusing Patients Less, Workshop Summary</t>
  </si>
  <si>
    <t>Roundtable on Health Literacy; Hernandez, Lyla M.; Institute of Medicine,; Hernandez, Lyla M.</t>
  </si>
  <si>
    <t>Gulf War and Health, Volume 6 : Physiologic, Psychologic, and Psychosocial Effects of Deployment-Related Stress</t>
  </si>
  <si>
    <t>Committee on Gulf War and Health : Physiologic</t>
  </si>
  <si>
    <t>Vector-Borne Diseases : Understanding the Environmental, Human Health, and Ecological Connections  : Workshop Summary</t>
  </si>
  <si>
    <t>Sparling, P. Frederick; Hamburg, Margaret A.; Lemon, Stanley M.; Choffnes, Eileen R.; Relman, David A.; Hamburg, Margaret A.; Sparling, P. Frederick; Lemon, Stanley M.; Mack, Alison</t>
  </si>
  <si>
    <t>Treatment of Post-traumatic Stress Disorder : An Assessment of the Evidence</t>
  </si>
  <si>
    <t>Committee on Treatment of Post-traumatic Stress Disorder; Institute of Medicine; Institute of Medicine,</t>
  </si>
  <si>
    <t>Creating a Business Case for Quality Improvement Research : Expert Views  : Workshop Summary</t>
  </si>
  <si>
    <t>Chao, Samantha; Board on Health Care Services,; Institute of Medicine,; Chao, Samantha</t>
  </si>
  <si>
    <t>Cancer-Related Genetic Testing and Counseling : Workshop Proceedings</t>
  </si>
  <si>
    <t>National Cancer Policy Forum; Institute of Medicine</t>
  </si>
  <si>
    <t>Recognition and Alleviation of Distress in Laboratory Animals</t>
  </si>
  <si>
    <t>Committee on Recognition and Alleviation of Distress in Laboratory Animals; National Research Council; Division on Earth and Life Studies,; National Research Council,</t>
  </si>
  <si>
    <t>Richard and Hinda Rosenthal Lecture 2007 : Transforming Today's Health Care Workforce to Meet Tomorrow's Demands</t>
  </si>
  <si>
    <t>Knowing What Works in Health Care : A Roadmap for the Nation</t>
  </si>
  <si>
    <t>Eden, Jill; Wheatley, Ben; National Research Council; Eden, Jill; Wheatley, Ben; McNeil, Barbara; Sox, Harold</t>
  </si>
  <si>
    <t>Improving the Quality of Cancer Clinical Trials : Workshop Summary</t>
  </si>
  <si>
    <t>Patlak, Margie; Nass, Sharyl; Patlak, Margie; Nass, Sharyl</t>
  </si>
  <si>
    <t>National Academies Keck Futures Initiative : The Future of Human Healthspan : Demography, Evolution, Medicine, and Bioengineering, Task Group Summaries</t>
  </si>
  <si>
    <t>The National Academies Keck Futures Initiative Healthspan Steering Committee; The National Academies,</t>
  </si>
  <si>
    <t>Initial Guidance for an Update of the National Vaccine Plan : A Letter Report to the National Vaccine Program Office</t>
  </si>
  <si>
    <t>Committee on the Review of Priorities in the National Vaccine Plan; Institute of Medicine; Institute of Medicine,</t>
  </si>
  <si>
    <t>Antivirals for Pandemic Influenza : Guidance on Developing a Distribution and Dispensing Program</t>
  </si>
  <si>
    <t>Committee on Implementation of Antiviral Medication Strategies for an Influenza Pandemic; Institute of Medicine; Institute of Medicine,</t>
  </si>
  <si>
    <t>Methodological Challenges in Biomedical HIV Prevention Trials</t>
  </si>
  <si>
    <t>Lagakos, Stephen W.; Gable, Alicia R.; Institute of Medicine,; Lagakos, Stephen W.; Gable, Alicia R.</t>
  </si>
  <si>
    <t>Improving the Presumptive Disability Decision-Making Process for Veterans</t>
  </si>
  <si>
    <t>Samet, Jonathan M.; Bodurow, Catherine C.; Committee on Evaluation of the Presumptive Disability Decision-Making Process for Veterans; Samet, Jonathan M.; Bodurow, Catherine C.</t>
  </si>
  <si>
    <t>Diffusion and Use of Genomic Innovations in Health and Medicine : Workshop Summary</t>
  </si>
  <si>
    <t>Hernandez, Lyla M.; Board on Health Sciences Policy,; Institute of Medicine,; Hernandez, Lyla M.</t>
  </si>
  <si>
    <t>National Children's Study Research Plan : A Review</t>
  </si>
  <si>
    <t>Panel to Review the National Children's Study Research Plan; Committee on National Statistics,; Board on Children, Youth, and Families,; Division of Behavioral and Social Sciences and Education,; National Research Council,; Institute of Medicine,; Board on Population Health and Public Health Practice,</t>
  </si>
  <si>
    <t>Challenges and Successes in Reducing Health Disparities : Workshop Summary</t>
  </si>
  <si>
    <t>Cohen, Jennifer A.; Board on Population Health and Public Health Practice,; Institute of Medicine,; Cohen, Jennifer A.</t>
  </si>
  <si>
    <t>Respiratory Diseases Research at NIOSH : Reviews of Research Programs of the National Institute for Occupational Safety and Health</t>
  </si>
  <si>
    <t>Committee to Review the NIOSH Respiratory Disease Research Program; Board on Environmental Studies and Toxicology,; National Research Council,; Division on Earth and Life Studies,; Institute of Medicine,; National Academies,</t>
  </si>
  <si>
    <t>Inspired by Biology : From Molecules to Materials to Machines</t>
  </si>
  <si>
    <t>Committee on Biomolecular Materials and Processes; Board on Physics and Astronomy,; Board on Life Sciences,; Division on Engineering and Physical Sciences,; Division on Earth and Life Studies,; National Research Council,</t>
  </si>
  <si>
    <t>Evidence-Based Medicine and the Changing Nature of Healthcare : Workshop Summary (IOM Roundtable on Evidence-Based Medicine)</t>
  </si>
  <si>
    <t>McClellan, Mark B.; McGinnis, J. Michael; Nabel, Elizabeth G.; Olsen, LeighAnne M.; Institute of Medicine,</t>
  </si>
  <si>
    <t>Gulf War and Health : Updated Literature Review of Depleted Uranium</t>
  </si>
  <si>
    <t>Committee on Gulf War and Health : Updated Literature Review of Depleted Uranium; Institute of Medicine; Institute of Medicine,</t>
  </si>
  <si>
    <t>Committee on Acute Exposure Guideline Levels; Committee on Toxicology; Board on Environmental Studies and Toxicology,; Division on Earth and Life Studies,; National Research Council,</t>
  </si>
  <si>
    <t>Design Considerations for Evaluating the Impact of PEPFAR : Workshop Summary</t>
  </si>
  <si>
    <t>Patel, Deepali; Cohen, Clara; Orza, Michele; Orza, Michele; Cohen, Clara</t>
  </si>
  <si>
    <t>Managing Health Effects of Beryllium Exposure</t>
  </si>
  <si>
    <t>Committee on Beryllium Alloy Exposures; Committee on Toxicology; National Research Council; Division on Earth and Life Studies,; National Research Council,</t>
  </si>
  <si>
    <t>Epidemiologic Studies of Veterans Exposed to Depleted Uranium : Feasibility and Design Issues</t>
  </si>
  <si>
    <t>Addressing the Barriers to Pediatric Drug Development : Workshop Summary</t>
  </si>
  <si>
    <t>Vanchieri, Cori; Stith Butler, Adrienne; Knutsen, Andrea; Knutsen, Andrea; Butler, Adrienne Stith; Vanchieri, Cori</t>
  </si>
  <si>
    <t>Retooling for an Aging America : Building the Health Care Workforce</t>
  </si>
  <si>
    <t>Committee on the Future Health Care Workforce for Older Americans; Institute of Medicine; Institute of Medicine,; Board on Health Care Services,</t>
  </si>
  <si>
    <t>Dispensing Medical Countermeasures for Public Health Emergencies : Workshop Summary</t>
  </si>
  <si>
    <t>Davis, Miriam; Kammersal, Marnina S.; Altevogt, Bruce M.; Altevogt, Bruce M.; Kammersall, Marnina S.; Davis, Miriam</t>
  </si>
  <si>
    <t>Combined Exposures to Hydrogen Cyanide and Carbon Monoxide in Army Operations : Final Report</t>
  </si>
  <si>
    <t>Committee on Toxicology; Committee on Exposures to Hydrogen Cyanide and Carbon Monoxide in Army Operations; Board on Environmental Studies and Toxicology,; Division on Earth and Life Studies,</t>
  </si>
  <si>
    <t>Framework for Assessing the Health Hazard Posed by Bioaerosols</t>
  </si>
  <si>
    <t>Committee on Determining a Standard Unit of Measure for Biological Aerosols; Board on Chemical Sciences and Technology,; Board on Life Sciences,; Division on Earth and Life Studies,; National Research Council,</t>
  </si>
  <si>
    <t>Adolescent Health Services : Missing Opportunities</t>
  </si>
  <si>
    <t>Committee on Adolescent Health Care Services and Models of Care for Treatment; Gootman, Jennifer Appleton; Sim, Leslie J</t>
  </si>
  <si>
    <t>Environmental Health Sciences Decision Making : Risk Management, Evidence, and Ethics  : Workshop Summary</t>
  </si>
  <si>
    <t>Coble, Yank; Coussens, Christine; Quinn, Kathleen; Coble, Yank D.; Coussens, Christine; Quinn, Kathleen</t>
  </si>
  <si>
    <t>Strategies for a BEA Satellite Health Care Account : Summary of a Workshop</t>
  </si>
  <si>
    <t>Mackie, Christopher; Committee on National Statistics,; Division of Behavioral and Social Sciences and Education,; National Research Council,</t>
  </si>
  <si>
    <t>Phthalates and Cumulative Risk Assessment The Task Ahead</t>
  </si>
  <si>
    <t>Committee on the Health Risks of Phthalates; Board on Environmental Studies and Toxicology,; Division on Earth and Life Studies,; National Research Council,; Division on Earth and Life Studies,</t>
  </si>
  <si>
    <t>Implementing Colorectal Cancer Screening : Workshop Summary</t>
  </si>
  <si>
    <t>Patlak, Margie; Institute of Medicine,; Micheel, Christine; German, Robert; Patlak, Margie</t>
  </si>
  <si>
    <t>Achieving Sustainable Global Capacity for Surveillance and Response to Emerging Diseases of Zoonotic Origin : Workshop Report</t>
  </si>
  <si>
    <t>Beatty, Alexandra; Scott, Kimberly; Tsai, Peggy</t>
  </si>
  <si>
    <t>State of the USA Health Indicators : Letter Report</t>
  </si>
  <si>
    <t>Committee on the State of the USA Health Indicators; Institute of Medicine; Institute of Medicine,; Board on Population Health and Public Health Practice,</t>
  </si>
  <si>
    <t>Multi-Center Phase III Clinical Trials and NCI Cooperative Groups : Workshop Summary</t>
  </si>
  <si>
    <t>Patlak, Margie; Nass, Sharyl; Micheel, Christine; Nass, Sharyl; Patlak, Margie</t>
  </si>
  <si>
    <t>Toward Health Equity and Patient-Centeredness : Integrating Health Literacy, Disparities Reduction, and Quality Improvement  : Workshop Summary</t>
  </si>
  <si>
    <t>Chao, Samantha; Forum on the Science of Health Care Quality Improvement and Implementation,; Roundtable on Health Literacy,; Board on Health Care Services,; Board on Population Health and Public Health Practice,; Institute of Medicine,; Hernandez, Lyla; Anderson, Karen; Chao, Samantha</t>
  </si>
  <si>
    <t>Richard and Hinda Rosenthal Lecture 2008 : Prospects for Health Reform in 2009 and Beyond</t>
  </si>
  <si>
    <t>Beyond the HIPAA Privacy Rule : Enhancing Privacy, Improving Health Through Research</t>
  </si>
  <si>
    <t>Nass, Sharyl J.; Board on Health Sciences Policy,; Board on Health Care Services,; Institute of Medicine,; Nass, Sharyl J.; Levit, Laura A.; Gostin, Lawrence O.</t>
  </si>
  <si>
    <t>HHS in the 21st Century : Charting a New Course for a Healthier America</t>
  </si>
  <si>
    <t>Schaeffer, Leonard D.; Schultz, Andrea M; Salerno, Judith A</t>
  </si>
  <si>
    <t>Breakthrough Business Models : Drug Development for Rare and Neglected Diseases and Individualized Therapies  : Workshop Summary</t>
  </si>
  <si>
    <t>Wizeman, Theresa; Robinson, Sally; Giffin, Robert; Forum on Drug Discovery, Development, and Translation,; Board on Health Sciences Policy,; Institute of Medicine,</t>
  </si>
  <si>
    <t>Science and Decisions : Advancing Risk Assessment</t>
  </si>
  <si>
    <t>National Research Council; Board on Environmental Studies and Toxicology,; Division on Earth and Life Studies,; National Research Council,</t>
  </si>
  <si>
    <t>Social Science; Environmental Studies</t>
  </si>
  <si>
    <t>Computational Technology for Effective Health Care : Immediate Steps and Strategic Directions</t>
  </si>
  <si>
    <t>Stead, William W.; Lin, Herbert S.; Division on Engineering and Physical Sciences,; National Research Council,; Stead, Willam W.; Lin, Herbert S.</t>
  </si>
  <si>
    <t>Systems Engineering to Improve Traumatic Brain Injury Care in the Military Health System : Workshop Summary</t>
  </si>
  <si>
    <t>Butler, David</t>
  </si>
  <si>
    <t>Health Literacy, eHealth, and Communication : Putting the Consumer First  : Workshop Summary</t>
  </si>
  <si>
    <t>Hernandez, Lyla M.; Board on Population Health and Public Health Practice,; Institute of Medicine,; Hernandez, Lyla M.</t>
  </si>
  <si>
    <t>Venture Philanthropy Strategies to Support Translational Research : Workshop Summary</t>
  </si>
  <si>
    <t>Nadig, Lori; Altevogt, Bruce; Hanson, Sarah; Altevogt, Bruce; Nadig, Lori; Hanson, Sarah</t>
  </si>
  <si>
    <t>Innovations in Service Delivery in the Age of Genomics : Workshop Summary</t>
  </si>
  <si>
    <t>Roundtable on Translating Genomic-Based Research for Health; Institute of Medicine; Hammers, Erin; Hammers, Erin</t>
  </si>
  <si>
    <t>Ensuring Quality Cancer Care Through the Oncology Workforce : Sustaining Care in the 21st Century  : Workshop Summary</t>
  </si>
  <si>
    <t>Patlak, Margie; Levit, Laura; Patlak, Margie; Levit, Laura</t>
  </si>
  <si>
    <t>Resident Duty Hours : Enhancing Sleep, Supervision, and Safety</t>
  </si>
  <si>
    <t>Wolman, Dianne Miller; Ulmer, Cheryl; Johns, Michael M.E.</t>
  </si>
  <si>
    <t>America's Uninsured Crisis : Consequences for Health and Health Care</t>
  </si>
  <si>
    <t>Committee on Health Insurance Status and Its Consequences; Institute of Medicine; Institute of Medicine,; Iom,; Board on Health Care Services,</t>
  </si>
  <si>
    <t>Medical Isotope Production Without Highly Enriched Uranium</t>
  </si>
  <si>
    <t>Committee on Medical Isotope Production Without Highly Enriched Uranium; National Research Council; Division on Earth and Life Studies,; National Research Council,</t>
  </si>
  <si>
    <t>Public Health Effects of Food Deserts : Workshop Summary</t>
  </si>
  <si>
    <t>Whitacre, Paula Tarnapol; National Research Council; Tsai, Peggy; Institute of Medicine,; National Research Council,; Tsai, Peggy; Whitacre, Paula Tarnapol; Mulligan, Janet</t>
  </si>
  <si>
    <t>Global Environmental Health : Research Gaps and Barriers for Providing Sustainable Water, Sanitation, and Hygiene Services  : Workshop Summary</t>
  </si>
  <si>
    <t>Christine Coussens; Roundtable on Environmental Health Sciences, Research, and Medicine; Institute of Medicine; Coussens, Christine</t>
  </si>
  <si>
    <t>Accelerating the Development of Biomarkers for Drug Safety : Workshop Summary</t>
  </si>
  <si>
    <t>Olson, Steve; Robinson, Sally; Giffin, Robert; Giffin, Robert; Robinson, Sally; Olson, Steve</t>
  </si>
  <si>
    <t>Assessing Medical Preparedness to Respond to a Terrorist Nuclear Event : Workshop Report</t>
  </si>
  <si>
    <t>Benjamin, Georges C.; McGeary, Michael; McMutchen, Susan R.; Benjamin, Georges C.; McGeary, Michael; McCutchen, Susan R.</t>
  </si>
  <si>
    <t>Contaminated Water Supplies at Camp Lejeune : Assessing Potential Health Effects</t>
  </si>
  <si>
    <t>Committee on Contaminated Drinking Water at Camp Lejeune; National Research Council; Division on Earth and Life Studies,; National Research Council,</t>
  </si>
  <si>
    <t>Focusing on Children's Health : Community Approaches to Addressing Health Disparities - Workshop Summary</t>
  </si>
  <si>
    <t>Wizemann, Theresa M.; Anderson, Karen M.; Board on Children, Youth, and Families,; Institute of Medicine,; National Research Council,; Anderson, Karen M.; Wizemann, Theresa M.</t>
  </si>
  <si>
    <t>U.S. Commitment to Global Health : Recommendations for the Public and Private Sectors</t>
  </si>
  <si>
    <t>Committee on the U.S. Commitment to Global Health; Institute of Medicine; Board on Global Health,; Institute of Medicine,</t>
  </si>
  <si>
    <t>Preventing Mental, Emotional, and Behavioral Disorders among Young People : Progress and Possibilities</t>
  </si>
  <si>
    <t>O'Connell, Mary Ellen; Boat, Thomas F; Warner, Kenneth E</t>
  </si>
  <si>
    <t>Emergency and Continuous Exposure Guidance Levels for Selected Submarine Contaminants</t>
  </si>
  <si>
    <t>Committee on Emergency and Continuous Exposure Guidance Levels for Selected Submarine Contaminants; Committee on Toxicology; National Research Council; Division on Earth and Life Studies,; National Research Council,</t>
  </si>
  <si>
    <t>Depression in Parents, Parenting, and Children : Opportunities to Improve Identification, Treatment, and Prevention</t>
  </si>
  <si>
    <t>Committee on Depression, Parenting Practices, and the Healthy Development of Children; England, Mary Jane; Sim, Leslie J.; Institute of Medicine,; England, Mary Jane; Sim, Leslie J.</t>
  </si>
  <si>
    <t>Guidance for Establishing Crisis Standards of Care for Use in Disaster Situations : A Letter Report</t>
  </si>
  <si>
    <t>Altevogt, Bruce M.; Stroud, Clare; Institute of Medicine,; Altevogt, Bruce M.; Stroud, Clare; Hanson, Sarah L.; Hanfling, Dan; Gostin, Lawrence O.</t>
  </si>
  <si>
    <t>Conflict of Interest in Medical Research, Education, and Practice</t>
  </si>
  <si>
    <t>Committee on Conflict of Interest in Medical Research; Lo, Bernard; Field, Marilyn J.; Lo, Bernard; Field, Marilyn J.</t>
  </si>
  <si>
    <t>Vital Statistics : Summary of a Workshop</t>
  </si>
  <si>
    <t>Siri, Michael J.; Cork, Daniel L.; National Research Council,; Cork, Daniel L.; Siri, Michael J.</t>
  </si>
  <si>
    <t>Social Science; Mathematics</t>
  </si>
  <si>
    <t>Initial National Priorities for Comparative Effectiveness Research</t>
  </si>
  <si>
    <t>Committee on Comparative Effectiveness Research Prioritization; Institute of Medicine; Institute of Medicine,</t>
  </si>
  <si>
    <t>Live Variola Virus : Considerations for Continuing Research</t>
  </si>
  <si>
    <t>Committee on the Assessment of Future Scientific Needs for Live Variola Virus; Arvin, Ann M.; Patel, Deepali M.; Arvin, Ann M.; Patel, Deepali M.</t>
  </si>
  <si>
    <t>Systems for Research and Evaluation for Translating Genome-Based Discoveries for Health : Workshop Summary</t>
  </si>
  <si>
    <t>Wizeman, Theresa; Board on Health Sciences Policy,; Institute of Medicine,; Wizemann, Theresa</t>
  </si>
  <si>
    <t>Nanotechnology in Food Products : Workshop Summary</t>
  </si>
  <si>
    <t>Pray, Leslie; Yaktine, Ann; Institute of Medicine,; Yaktine, Ann; Pray, Leslie</t>
  </si>
  <si>
    <t>Assessing and Improving Value in Cancer Care : Workshop Summary</t>
  </si>
  <si>
    <t>Schickedanz, Adam; Board on Health Care Services,; Institute of Medicine,; Schickedanz, Adam</t>
  </si>
  <si>
    <t>Improving the Measurement of Late-Life Disability in Population Surveys : Beyond ADLs and IADLs : Summary of a Workshop</t>
  </si>
  <si>
    <t>Wunderlich, Gooloo S.; Committee on Population,; Division of Behavioral and Social Sciences and Education,; National Research Council,; Wunderlich, Gooloo S.</t>
  </si>
  <si>
    <t>Integrative Medicine and the Health of the Public : A Summary of the February 2009 Summit</t>
  </si>
  <si>
    <t>Schultz, Andrea M.; Institute of Medicine,; Chao, Samantha M.; McGinnis, J. Michael</t>
  </si>
  <si>
    <t>U.S. Oral Health Workforce in the Coming Decade : Workshop Summary</t>
  </si>
  <si>
    <t>Harris, Tracy A.; Institute of Medicine; Institute of Medicine</t>
  </si>
  <si>
    <t>Childhood Obesity Prevention in Texas : Workshop Summary</t>
  </si>
  <si>
    <t>Nyberg, Kara; Burns, Annina Catherine; Parker, Lynn; Burns, Annina Catherine; Nyberg, Kara</t>
  </si>
  <si>
    <t>New Biology for the 21st Century : Ensuring the United States Leads the Coming Biology Revolution</t>
  </si>
  <si>
    <t>Committee on a New Biology for the 21st Century; National Research Council</t>
  </si>
  <si>
    <t>National Emergency Care Enterprise : Advancing Care Through Collaboration : Workshop Summary</t>
  </si>
  <si>
    <t>Wheatley, Ben; Board on Health Care Services; Institute of Medicine</t>
  </si>
  <si>
    <t>Addressing the Threat of Drug-Resistant Tuberculosis : A Realistic Assessment of the Challenge : Workshop Summary</t>
  </si>
  <si>
    <t>Giffin, Robert; Institute of Medicine; Institute of Medicine,</t>
  </si>
  <si>
    <t>Measures of Health Literacy : Workshop Summary</t>
  </si>
  <si>
    <t>Hernandez, Lyla M.; Rapporteur; Nerenz, David R.; Hernandez, Lyla M.</t>
  </si>
  <si>
    <t>Race, Ethnicity, and Language Data : Standardization for Health Care Quality Improvement</t>
  </si>
  <si>
    <t>Ulmer, Cheryl; McFadden, Bernadette; Eide, Elizabeth A.; Ulmer, Cheryl; McFadden, Bernadette; Nerenz, David R.</t>
  </si>
  <si>
    <t>Science at Sea : Meeting Future Oceanographic Goals with a Robust Academic Research Fleet</t>
  </si>
  <si>
    <t>Committee on Evolution of the National Oceanographic Research Fleet; Ocean Studies Board,; Division on Earth and Life Studies,; National Research Council,</t>
  </si>
  <si>
    <t>Engineering: General; Engineering; Military Science; Engineering: Mechanical</t>
  </si>
  <si>
    <t>Community Perspectives on Obesity Prevention in Children : Workshop Summaries</t>
  </si>
  <si>
    <t>Whitacre, Paula Tarnapol; Institute of Medicine; National Academy of Engineering; Whitacre, Paula Tarnapol</t>
  </si>
  <si>
    <t>Crisis Standards of Care : Summary of a Workshop Series</t>
  </si>
  <si>
    <t>Forum on Medical and Public Health Preparedness for Catastrophic Events; Stroud, Clare; Institute of Medicine,; Hougan, Matthew; Nadig, Lori; Altevogt, Bruce M.; Stroud, Clare</t>
  </si>
  <si>
    <t>Secondhand Smoke Exposure and Cardiovascular Effects : Making Sense of the Evidence</t>
  </si>
  <si>
    <t>Institute of Medicine; Committee on Secondhand Smoke Exposure and Acute Coronary Events; Institute of Medicine,</t>
  </si>
  <si>
    <t>Policy Issues in the Development of Personalized Medicine in Oncology : Workshop Summary</t>
  </si>
  <si>
    <t>Patlak, Margie; Levit, Laura; Institute of Medicine,; Levit, Laura; Patlak, Margie</t>
  </si>
  <si>
    <t>Redesigning Continuing Education in the Health Professions</t>
  </si>
  <si>
    <t>Committee on Planning a Continuing Health Professional Education Institute; Institute of Medicine; Institute of Medicine,; Board on Health Care Services,</t>
  </si>
  <si>
    <t>Local Government Actions to Prevent Childhood Obesity</t>
  </si>
  <si>
    <t>Sanchez, Eduardo; Parker, Lynn; Burns, Annina Catherine</t>
  </si>
  <si>
    <t>Review of the Environmental Protection Agency's Draft IRIS Assessment of Tetrachloroethylene</t>
  </si>
  <si>
    <t>Committee to Review EPA's Toxicological Assessment of Tetrachloroethylene; National Research Council; Division on Earth and Life Studies,; National Research Council,</t>
  </si>
  <si>
    <t>Medical Surge Capacity : Workshop Summary</t>
  </si>
  <si>
    <t>Altevogt, Bruce M.; Stroud, Clare; Nadig, Lori; Hougan, Matthew; Nadig, Lori; Stroud, Clare; Altevogt, Bruce M.</t>
  </si>
  <si>
    <t>Infectious Disease Movement in a Borderless World : Workshop Summary</t>
  </si>
  <si>
    <t>Relman, David A.; Choffnes, Eileen R.; Mack, Alison; Mack, Alison; Choffnes, Eileen R.; Relman, David A.</t>
  </si>
  <si>
    <t>Committee on Acute Exposure Guideline Levels; Committee on Toxicology; National Research Council; Division on Earth and Life Studies,; National Research Council,</t>
  </si>
  <si>
    <t>Priorities for the National Vaccine Plan</t>
  </si>
  <si>
    <t>Committee on Review of Priorities in the National Vaccine Plan; Institute of Medicine; Institute of Medicine,</t>
  </si>
  <si>
    <t>Evaluation of the Health and Safety Risks of the New USAMRIID High Containment Facilities at Fort Detrick, Maryland</t>
  </si>
  <si>
    <t>Committee to Review the Health and Safety Risks of High Biocontainment Laboratories at Fort Detrick; National Research Council; Division on Earth and Life Studies,; National Research Council,</t>
  </si>
  <si>
    <t>Regionalizing Emergency Care : Workshop Summary</t>
  </si>
  <si>
    <t>Wheatley, Ben; Institute of Medicine,; Wheatley, Ben</t>
  </si>
  <si>
    <t>Hepatitis and Liver Cancer : A National Strategy for Prevention and Control of Hepatitis B and C</t>
  </si>
  <si>
    <t>Colvin, Heather M.; Mitchell, Abigail E.; Institute of Medicine,</t>
  </si>
  <si>
    <t>Public Health Emergency Medical Countermeasures Enterprise : Innovative Strategies to Enhance Products from Discovery Through Approval : Workshop Summary</t>
  </si>
  <si>
    <t>Wizeman, Theresa; Forum on Drug Discovery, Development, and Translation,; Board on Health Sciences Policy,; Institute of Medicine,; Altevogt, Bruce M.; Stroud, Clare; Wizemann, Theresa</t>
  </si>
  <si>
    <t>Value in Health Care : Accounting for Cost, Quality, Safety, Outcomes, and Innovation</t>
  </si>
  <si>
    <t>Pierre L. Young; LeighAnne Olsen; J. Michael McGinnis; Roundtable on Evidence-Based Medicine,; Roundtable on Value &amp; Science-Driven Health Care,; Institute of Medicine,</t>
  </si>
  <si>
    <t>Leadership Commitments to Improve Value in Healthcare : Toward Common Ground : Workshop Summary</t>
  </si>
  <si>
    <t>Olsen, LeighAnne; Goolsby, W. Alexander; McGinnis, J. Michael; Roundtable on Evidence-Based Medicine,; Roundtable on Value &amp; Science-Driven Health Care,; Institute of Medicine,</t>
  </si>
  <si>
    <t>Toxicity Pathway-Based Risk Assessment : Preparing for Paradigm Change : A Symposium Summary</t>
  </si>
  <si>
    <t>Mantus, Ellen; Standing Committee on Risk Analysis Issues and Reviews; National Research Council; National Research Council,; Mantus, Ellen</t>
  </si>
  <si>
    <t>Considerations for Ensuring Safety and Efficacy of Vaccines and Therapeutic Proteins Manufactured by Using Platform Approaches : Summary of a Workshop</t>
  </si>
  <si>
    <t>Fox, Jeffery; Shelton-Davenport, Marilee; Hook-Bernard, India; Hook-Bernard, India; Shelton-Davenport, Marilee; Fox, Jeffrey</t>
  </si>
  <si>
    <t>Military Science; Medicine; Pharmacy</t>
  </si>
  <si>
    <t>Evaluation of Biomarkers and Surrogate Endpoints in Chronic Disease</t>
  </si>
  <si>
    <t>Micheel, Christine M.; Ball, John R.; Board on Health Sciences Policy,; Food and Nutrition Board,; Micheel, Christine M.; Ball, John R.</t>
  </si>
  <si>
    <t>Promoting Cardiovascular Health in the Developing World : A Critical Challenge to Achieve Global Health</t>
  </si>
  <si>
    <t>Fuster, Valentin; Kelly, Bridget B.</t>
  </si>
  <si>
    <t>Foundation for Evidence-Driven Practice : A Rapid Learning System for Cancer Care : Workshop Summary</t>
  </si>
  <si>
    <t>Murphy, Sharon; Patlak, Margie; Board on Health Care Services,; Patlak, Margie; Murphy, Sharon</t>
  </si>
  <si>
    <t>Population-Based Policy and Systems Change Approach to Prevent and Control Hypertension</t>
  </si>
  <si>
    <t>Committee on Public Health Priorities to Reduce and Control Hypertension in the U.S. Population; Institute of Medicine; Institute of Medicine,</t>
  </si>
  <si>
    <t>National Cancer Clinical Trials System for the 21st Century : Reinvigorating the NCI Cooperative Group Program</t>
  </si>
  <si>
    <t>Nass, Sharyl J.; Institute of Medicine; Institute of Medicine,; Nass, Sharyl J.; Moses, Harold L.; Mendelsohn, John; Mendelsohn, John</t>
  </si>
  <si>
    <t>Demographic Changes, a View from California : Implications for Framing Health Disparities : Workshop Summary</t>
  </si>
  <si>
    <t>Anderson, Karen M.; Board on Population Health and Public Health Practice,; Institute of Medicine,; Anderson, Karen M.</t>
  </si>
  <si>
    <t>Selling the Nation's Helium Reserve</t>
  </si>
  <si>
    <t>Committee on Understanding the Impact of Selling the Helium Reserve; National Materials Advisory Board; National Research Council; Division on Engineering and Physical Sciences,; National Research Council,</t>
  </si>
  <si>
    <t>Future Directions for the National Healthcare Quality and Disparities Reports</t>
  </si>
  <si>
    <t>Committee on Future Directions for the National Healthcare Quality and Disparities Reports; Institute of Medicine; Ulmer, Cheryl; Ulmer, Cheryl; Bruno, Michelle; Burke, Sheila</t>
  </si>
  <si>
    <t>Review of the Department of Defense Enhanced Particulate Matter Surveillance Program Report</t>
  </si>
  <si>
    <t>Committee for Review of the DOD???s Enhanced Particulate Matter Surveillance Program Report; National Research Council; Division on Earth and Life Studies,; National Research Council,</t>
  </si>
  <si>
    <t>Environmental Studies; Engineering: Environmental; Engineering</t>
  </si>
  <si>
    <t>Developing and Evaluating Methods for Using American Community Survey Data to Support the School Meals Program : Interim Report</t>
  </si>
  <si>
    <t>Schirm, Allen; Kirkendall, Nancy</t>
  </si>
  <si>
    <t>Perspectives from United Kingdom and United States Policy Makers on Obesity Prevention : Workshop Summary</t>
  </si>
  <si>
    <t>Tarnapol Whitacre, Paula; Burns, Annina Catherine; Institute of Medicine,; Burns, Annina Catherine; Whitacre, Paula Tarnapol</t>
  </si>
  <si>
    <t>Assessing the Effects of the Gulf of Mexico Oil Spill on Human Health : A Summary of the June 2010 Workshop</t>
  </si>
  <si>
    <t>McCoy, Margaret A.; Salerno, Judith A.; Salerno, Judith A.</t>
  </si>
  <si>
    <t>Science: Geology; Environmental Studies; Science</t>
  </si>
  <si>
    <t>Extending the Spectrum of Precompetitive Collaboration in Oncology Research : Workshop Summary</t>
  </si>
  <si>
    <t>Patlak, Margie; Board on Health Care Services,; Institute of Medicine,; Patlak, Margie; Nass, Sharyl J.; Balogh, Erin</t>
  </si>
  <si>
    <t>Public Health Effectiveness of the FDA 510(k) Clearance Process : Balancing Patient Safety and Innovation: Workshop Report</t>
  </si>
  <si>
    <t>Committee on the Public Health Effectiveness of the FDA 510(k) Clearance Process; Institute of Medicine; Wizemann, Theresa; Wizemann, Theresa</t>
  </si>
  <si>
    <t>Redesigning the Clinical Effectiveness Research Paradigm : Innovation and Practice-Based Approaches: Workshop Summary</t>
  </si>
  <si>
    <t>Olsen, LeighAnne; McGinnis, J. Michael; Roundtable on Value and Science-Driven Health Care; Institute of Medicine,</t>
  </si>
  <si>
    <t>Strategies to Reduce Sodium Intake in the United States</t>
  </si>
  <si>
    <t>Boon, Caitlin S.; Taylor, Christine L.; Henney, Jane E.; Henry, Jane E.; Taylor, Christine L.</t>
  </si>
  <si>
    <t>Providing Healthy and Safe Foods As We Age : Workshop Summary</t>
  </si>
  <si>
    <t>Pray, Leslie; Boon, Caitlin; Miller, Emily Ann; Pillsbury, Laura; Miller, Emily Ann; Boon, Caitlin; Pray, Leslie</t>
  </si>
  <si>
    <t>Women's Health Research : Progress, Pitfalls, and Promise</t>
  </si>
  <si>
    <t>Committee on Women's Health Research; Institute of Medicine; Institute of Medicine,</t>
  </si>
  <si>
    <t>Enhancing Food Safety : The Role of the Food and Drug Administration</t>
  </si>
  <si>
    <t>Committee on the Review of Food and Drug Administration's Role in Ensuring Safe Food; National Research Council; Wallace, Robert B.; Board on Agriculture and Natural Resources,; Institute of Medicine,; Wallace, Robert B.; Oria, Maria</t>
  </si>
  <si>
    <t>Role of Human Factors in Home Health Care : Workshop Summary</t>
  </si>
  <si>
    <t>Committee on the Role of Human Factors in Home Healthcare; National Research Council; Olson, Steve; National Research Council,; Olson, Steve</t>
  </si>
  <si>
    <t>Challenges and Opportunities in Using Residual Newborn Screening Samples for Translational Research : Workshop Summary</t>
  </si>
  <si>
    <t>Roundtable on Translating Genomic-Based Research for Health; Institute of Medicine; Olson, Steve; Berger, Adam C.; Olson, Steve</t>
  </si>
  <si>
    <t>Transforming Clinical Research in the United States : Challenges and Opportunities: Workshop Summary</t>
  </si>
  <si>
    <t>English, Rebecca; Lebovitz, Yeonwoo; Griffin, Robert; Forum on Drug Discovery, Development, and Translation,; Board on Health Sciences Policy,; Institute of Medicine,; Lebovitz, Yeonwoo; Griffin, Professor Robert; Board on Health Sciences Policy,; Giffin Robert B Lebovitz Yeanwoo English Rebecca a National Academies Press,</t>
  </si>
  <si>
    <t>HIV and Disability : Updating the Social Security Listings</t>
  </si>
  <si>
    <t>Committee on Social Security HIV Disability Criteria; Board on the Health of Select Populations; Institute of Medicine; National, Academies Press</t>
  </si>
  <si>
    <t>Cardiovascular Disability : Updating the Social Security Listings</t>
  </si>
  <si>
    <t>Committee on Social Security Cardiovascular Disability Criteria; Board on the Health of Select Populations; Institute of Medicine; National Academies Press,</t>
  </si>
  <si>
    <t>Medical Countermeasures Dispensing : Emergency Use Authorization and the Postal Model : Workshop Summary</t>
  </si>
  <si>
    <t>Stroud, Clare; Nadig, Lori; Institute of Medicine,; Altevogt, Bruce M.; Nadig, Lori; Stroud, Clare</t>
  </si>
  <si>
    <t>Mental, Neurological, and Substance Use Disorders in Sub-Saharan Africa : Reducing the Treatment Gap, Improving Quality of Care : Workshop Summary</t>
  </si>
  <si>
    <t>Altevogt, Bruce; Hanson, Sarah; Board on Health Sciences Policy,; Forum on Health and Nutrition,; Uganda Academy of Sciences,; Cuff, Patricia; Ssali, Zaam; Hanson, Sarah; Altevogt, Bruce</t>
  </si>
  <si>
    <t>Direct-to-Consumer Genetic Testing : Summary of a Workshop</t>
  </si>
  <si>
    <t>Fraker, Mary; Mazza, Anne-Marie; Roundtable on Translating Genomic-Based Research for Health,; Board on Life Sciences,; Board on Health Sciences Policy,; Policy and Global Affairs,; Division on Earth and Life Studies,; National Research Council,; Institute of Medicine,; Mazza, Anne-Marie</t>
  </si>
  <si>
    <t>Safe Use Initiative and Health Literacy : Workshop Summary</t>
  </si>
  <si>
    <t>Vancheri, Cori; Roundtable on Health Literacy; Institute of Medicine; Vancheri, Cori</t>
  </si>
  <si>
    <t>Improving Health Care Cost Projections for the Medicare Population : Summary of a Workshop</t>
  </si>
  <si>
    <t>Wunderlich, Gooloo S.; National Research Council; Division of Behavioral and Social Sciences and Education,; National Research Council,; Wunderlich, Gooloo S.</t>
  </si>
  <si>
    <t>Bridging the Evidence Gap in Obesity Prevention : A Framework to Inform Decision Making</t>
  </si>
  <si>
    <t>Kumanyika, Shiriki K.; Parker, Lynn; Institute of Medicine,; Kumanyika, Shiriki K.; Parker, Lynn; Sim, Leslie J.</t>
  </si>
  <si>
    <t>Antibiotic Resistance : Implications for Global Health and Novel Intervention Strategies : Workshop Summary</t>
  </si>
  <si>
    <t>Choffnes, Eileen R.; Relman, David A.; Institute of Medicine,; Mack, Alison; Relman, David A.; Choffnes, Eileen R.</t>
  </si>
  <si>
    <t>Future Opportunities to Leverage the Alzheimer's Disease Neuroimaging Initiative : Workshop Summary</t>
  </si>
  <si>
    <t>Wizeman, Theresa; Pankevich, Diana E.; Institute of Medicine,; Altevogt, Bruce M.; Pankevich, Diana E.; Wizemann, Theresa</t>
  </si>
  <si>
    <t>HIV Screening and Access to Care : Exploring Barriers and Facilitators to Expanded HIV Testing</t>
  </si>
  <si>
    <t>Committee on HIV Screening and Access to Care; Institute of Medicine; Institute of Medicine,</t>
  </si>
  <si>
    <t>2009 H1N1 Influenza Vaccination Campaign : Summary of a Workshop Series</t>
  </si>
  <si>
    <t>CNS Clinical Trials : Suicidality and Data Collection : Workshop Summary</t>
  </si>
  <si>
    <t>Hanson, Sarah; Davis, Miriam; Altevog, Bruce; Altevogt, Bruce; Davis, Miriam; Hanson, Sarah</t>
  </si>
  <si>
    <t>Accounting for Health and Health Care : Approaches to Measuring the Sources and Costs of Their Improvement</t>
  </si>
  <si>
    <t>Panel to Advance a Research Program on the Design of National Health Accounts; National Research Council; Division of Behavioral and Social Sciences and Education,; National Research Council,</t>
  </si>
  <si>
    <t>Prevention and Treatment of Missing Data in Clinical Trials</t>
  </si>
  <si>
    <t>Wartella, Ellen A.; National Research Council; Division of Behavioral and Social Sciences and Education,; National Research Council,</t>
  </si>
  <si>
    <t>Examination of Front-of-Package Nutrition Rating Systems and Symbols : Phase I Report</t>
  </si>
  <si>
    <t>Committee on Examination of Front-of-Package Nutrition Ratings Systems and Symbols; Lichtenstein, Alice H.; Institute of Medicine,; Wartella, Ellen A.; Lichtenstein, Alice H.; Boon, Caitlin S.; Boon, Caitlin S</t>
  </si>
  <si>
    <t>Perspectives on Biomarker and Surrogate Endpoint Evaluation : Discussion Forum Summary</t>
  </si>
  <si>
    <t>Mack, Alison; Balogh, Erin; Board on Health Sciences Policy,; Food and Nutrition Board,; Institute of Medicine,; Micheel, Christine; Balogh, Erin; Mack, Alison</t>
  </si>
  <si>
    <t>Science of Adolescent Risk-Taking : Workshop Report</t>
  </si>
  <si>
    <t>Committee on the Science of Adolescence; Board on Children, Youth, and Families; Institute of Medicine; Division of Behavioral and Social Sciences and Education,; National Research Council,</t>
  </si>
  <si>
    <t>Research Training in the Biomedical, Behavioral, and Clinical Research Sciences</t>
  </si>
  <si>
    <t>Committee to Study the National Needs for Biomedical, Behavioral, and Clinical Research Personnel; National Research Council; Policy and Global Affairs,; National Research Council,</t>
  </si>
  <si>
    <t>Establishing Precompetitive Collaborations to Stimulate Genomics-Driven Drug Development : Workshop Summary</t>
  </si>
  <si>
    <t>Olson, Steve; Berger, Adam; Roundtable on Translating Genomic-Based Research on Health, Institute of Medicine; Berger, Adam C.; Olson, Steve</t>
  </si>
  <si>
    <t>Future of Nursing : Leading Change, Advancing Health</t>
  </si>
  <si>
    <t>Committee on the Robert Wood Johnson Foundation Initiative on the Future of Nursing</t>
  </si>
  <si>
    <t>International Differences in Mortality at Older Ages : Dimensions and Sources</t>
  </si>
  <si>
    <t>Crimmins, Eileen M.; Preston, Samuel H.; Cohen, Barney; National Research Council,; Crimmins, Eileen M.; Preston, Samuel H.; Cohen, Barney</t>
  </si>
  <si>
    <t>Building a National Framework for the Establishment of Regulatory Science for Drug Development : Workshop Summary</t>
  </si>
  <si>
    <t>Lebovitz, Yeonwoo; Rebecca English; Anne Claiborne; Forum on Drug Discovery, Development, and Translation,; Board on Health Sciences Policy,; Institute of Medicine,; English, Rebecca; Claiborne, Anne; Board on Health Sciences Policy,</t>
  </si>
  <si>
    <t>Rare Diseases and Orphan Products : Accelerating Research and Development</t>
  </si>
  <si>
    <t>Committee on the Certification of Personal Protective Technologies; Field, Marilyn J.; Boat, Thomas F.; Field, Marilyn J.; Boat, Thomas F.</t>
  </si>
  <si>
    <t>Innovations in Health Literacy : Workshop Summary</t>
  </si>
  <si>
    <t>Vancheri, Cori; Institute of Medicine; Committee on Advancing Social Science Theory: The Importance of Common Metrics; Vancheri, Cori</t>
  </si>
  <si>
    <t>For the Public's Health : The Role of Measurement in Action and Accountability</t>
  </si>
  <si>
    <t>Committee on Public Health Strategies to Improve Health; Institute of Medicine; Institute of Medicine,</t>
  </si>
  <si>
    <t>HIV Screening and Access to Care : Exploring the Impact of Policies on Access to and Provision of HIV Care</t>
  </si>
  <si>
    <t>Preparedness and Response to a Rural Mass Casualty Incident : Workshop Summary</t>
  </si>
  <si>
    <t>Viswanathan, Kristin; Board on Health Sciences Policy,; Institute of Medicine,; Viswanathan, Kristin; Wizemann, Theresa; Altevogt, Bruce M.</t>
  </si>
  <si>
    <t>Emerging Threat of Drug-Resistant Tuberculosis in Southern Africa : Global and Local Challenges and Solutions : Workshop Summary</t>
  </si>
  <si>
    <t>Olson, Steve; Board on Health Sciences Policy,; Institute of Medicine,; Academy of Science of South Africa,; Claiborne, Anne; Lebovitz, Yeonwoo; Olson, Steve</t>
  </si>
  <si>
    <t>Dietary Reference Intakes for Calcium and Vitamin D</t>
  </si>
  <si>
    <t>Ross, A. Catharine; Food and Nutrition Board,; Institute of Medicine,; Ross, A. Catharine; Taylor, Christine L.; Yaktine, Ann L.; Valle, Heather B. Del</t>
  </si>
  <si>
    <t>Trends in Science and Technology Relevant to the Biological and Toxin Weapons Convention : Summary of an International Workshop : October 31 to November 3, 2010, Beijing, China</t>
  </si>
  <si>
    <t>National Academies Press; Chinese Academy of Sciences,; International Union of Biochemistry and Molecular Biology,; International Union of Microbiological Societies,; National Research Council,; Zhongguo Ke Xue Yuan,; Interacademy Panel on International Issues,; International Union Of Biochemistry and Molecular Biology,; National Research Council (U S ),</t>
  </si>
  <si>
    <t>Political Science; Military Science</t>
  </si>
  <si>
    <t>Child and Adult Care Food Program : Aligning Dietary Guidance for All</t>
  </si>
  <si>
    <t>Murphy, Suzanne P.; Yaktine, Ann L.; Suitor, Carol West; Murphy, Suzanne P.; Yaktine, Ann L.; Suitor, Carol West; Moats, Sheila</t>
  </si>
  <si>
    <t>HIV Screening and Access to Care : Health Care System Capacity for Increased HIV Testing and Provision of Care</t>
  </si>
  <si>
    <t>National Cancer Policy Summit : Opportunities and Challenges in Cancer Research and Care—Workshop Summary</t>
  </si>
  <si>
    <t>Patlak, Margie; Nass, Sharyl J.; Institute of Medicine,; Balogh, Erin; Nass, Sharyl J.; Patlak, Margie</t>
  </si>
  <si>
    <t>Hunger and Obesity : Understanding a Food Insecurity Paradigm—Workshop Summary</t>
  </si>
  <si>
    <t>Institute of Medicine; Institute of Medicine,; Olson, Steve; Miller, Emily Ann; Troy, Lisa M.</t>
  </si>
  <si>
    <t>Risk-Characterization Framework for Decision-Making at the Food and Drug Administration</t>
  </si>
  <si>
    <t>Committee on Ranking FDA Product Categories Based on Health Consequences, Phase II; National Research Council; Institute of Medicine,; Division on Earth and Life Studies,; National Research Council,</t>
  </si>
  <si>
    <t>Causes and Impacts of Neglected Tropical and Zoonotic Diseases : Opportunities for Integrated Intervention Strategies—Workshop Summary</t>
  </si>
  <si>
    <t>Choffnes, Eileen R.; Relman, David A.; Institute of Medicine,; Relman, David A.; Choffnes, Eileen R.</t>
  </si>
  <si>
    <t>Critical Needs and Gaps in Understanding Prevention, Amelioration, and Resolution of Lyme and Other Tick-Borne Diseases : The Short-Term and Long-Term Outcomes—Workshop Report</t>
  </si>
  <si>
    <t>Committee on Lyme Disease and Other Tick-Borne Diseases: The State of the Science; Institute of Medicine; Institute of Medicine,</t>
  </si>
  <si>
    <t>Review of the Environmental Protection Agency's Draft IRIS Assessment of Formaldehyde</t>
  </si>
  <si>
    <t>Committee to Review EPA's Draft IRIS Assessment of Formaldehyde; National Research Council; Division on Earth and Life Studies,; National Research Council,</t>
  </si>
  <si>
    <t>Nutrition and Traumatic Brain Injury : Improving Acute and Subacute Health Outcomes in Military Personnel</t>
  </si>
  <si>
    <t>Committee on Nutrition, Trauma, and the Brain; Institute of Medicine; Institute of Medicine,; Erdman, John; Oria, Maria; Pillsbury, Laura</t>
  </si>
  <si>
    <t>Leading Health Indicators for Healthy People 2020—Letter Report</t>
  </si>
  <si>
    <t>Committee on Leading Health Indicators for Healthy People 2020; Institute of Medicine; Institute of Medicine,</t>
  </si>
  <si>
    <t>Public Health Effectiveness of the FDA 510(k) Clearance Process : Measuring Postmarket Performance and Other Select Topics—Workshop Report</t>
  </si>
  <si>
    <t>Blue Water Navy Vietnam Veterans and Agent Orange Exposure</t>
  </si>
  <si>
    <t>Committee on Blue Water Navy Vietnam Veterans and Agent Orange Exposure; Institute of Medicine; Institute of Medicine,</t>
  </si>
  <si>
    <t>Engineering a Learning Healthcare System : A Look at the Future: Workshop Summary</t>
  </si>
  <si>
    <t>Grossmann, Claudia; Goolsby, W. Alexander; Olsen, LeighAnne; Goolsby, W. Alexander; Olsen, LeighAnne; McGinnis, J. Michael</t>
  </si>
  <si>
    <t>Health Care Comes Home : The Human Factors</t>
  </si>
  <si>
    <t>National Research Council (U.S.), Committee on the Role of Human Factors in Home Health Care Staff; Board on Human-Systems Integration,; Division of Behavioral and Social Sciences and Education,; National Research Council,</t>
  </si>
  <si>
    <t>New Profile of Drug-Resistant Tuberculosis in Russia : A Global and Local Perspective: Summary of a Joint Workshop</t>
  </si>
  <si>
    <t>Olson, Steve; Institute of Medicine; Russian Academy of Medical Sciences; Russian Academy of Medical Sciences,; Claiborne, Anne; English, Rebecca; Olson, Steve</t>
  </si>
  <si>
    <t>Glutamate-Related Biomarkers in Drug Development for Disorders of the Nervous System : Workshop Summary</t>
  </si>
  <si>
    <t>Forum on Neuroscience and Nervous System Disorders; Institute of Medicine; Institute of Medicine,; Altevogt, Bruce M.; Davis, Miriam; Pankevich, Diana E.</t>
  </si>
  <si>
    <t>Health Literacy Implications for Health Care Reform : Workshop Summary</t>
  </si>
  <si>
    <t>Wizemann, Theresa; Board on Population Health and Public Health Practice,; Institute of Medicine,; Wizemann, Theresa</t>
  </si>
  <si>
    <t>Patient-Centered Cancer Treatment Planning : Improving the Quality of Oncology Care : Workshop Summary</t>
  </si>
  <si>
    <t>Patlak, Margie; Balogh, Erin; Institute of Medicine,; Nass, Sharyl; Balogh, Erin; Patlak, Margie</t>
  </si>
  <si>
    <t>Examining the Health Disparities Research Plan of the National Institutes of Health : Unfinished Business</t>
  </si>
  <si>
    <t>Williams, Monique B.; Mitchell, Faith; Thomson, Gerald E.</t>
  </si>
  <si>
    <t>Procedures for Testing Color Vision : Report of Working Group 41</t>
  </si>
  <si>
    <t>Committee on Vision, National Research Council; Commission on Behavioral and Social Sciences and Education,; Division of Behavioral and Social Sciences and Education,; National Research Council,; National Academy of Sciences,</t>
  </si>
  <si>
    <t>Emergency and Continuous Exposure Limits for Selected Airborne Contaminants, Volume 2</t>
  </si>
  <si>
    <t>Best, Richard; Board on Toxicology and Environmental Health Hazards,; Commission on Life Sciences,; Division on Earth and Life Studies,; National Research Council,; National Academy of Sciences,</t>
  </si>
  <si>
    <t>Unequal Treatment : Confronting Racial and Ethnic Disparities in Healthcare</t>
  </si>
  <si>
    <t>Institute of Medicine; Board on Health Sciences Policy,; Institute of Medicine,; National Academy of Sciences,; Smedley, Brian D.; Stith, Adrienne Y.; Nelson, Alan R.</t>
  </si>
  <si>
    <t>Health; Social Science; Political Science</t>
  </si>
  <si>
    <t>Emergent Techniques for Assessment of Visual Performance</t>
  </si>
  <si>
    <t>Sex Differences and Implications for Translational Neuroscience Research : Workshop Summary</t>
  </si>
  <si>
    <t>Forum on Neuroscience and Nervous System Disorders; Institute of Medicine; Institute of Medicine,; Altevogt, Bruce M.; Wizemann, Theresa; Pankevich, Diana E.</t>
  </si>
  <si>
    <t>Managing Food Safety Practices from Farm to Table : Workshop Summary</t>
  </si>
  <si>
    <t>Food Forum; Institute of Medicine; Institute of Medicine,; Yaktine, Ann; Pray, Leslie</t>
  </si>
  <si>
    <t>Responding to Health Needs and Scientific Opportunity : The Organizational Structure of the National Institutes of Health</t>
  </si>
  <si>
    <t>Division of Health Sciences Policy; Institute of Medicine,; National Academy of Sciences,</t>
  </si>
  <si>
    <t>Diet and Health : Implications for Reducing Chronic Disease Risk</t>
  </si>
  <si>
    <t>Dietary Reference Intakes : Applications in Dietary Assessment</t>
  </si>
  <si>
    <t>Institute of Medicine, Subcommittee on Interpretation and Uses of Dietary Reference Intakes; Institute of Medicine, Subcommittee on Upper Reference Levels of Nutrients; Institute of Medicine, Standing Committee on the Scientific Evaluation of Dietary Reference Intakes</t>
  </si>
  <si>
    <t>Dietary Reference Intakes : The Essential Guide to Nutrient Requirements</t>
  </si>
  <si>
    <t>Otten, Jennifer J.; Hellwig, Jennifer Pitzi; Meyers, Linda</t>
  </si>
  <si>
    <t>Clinical Practice Guidelines We Can Trust</t>
  </si>
  <si>
    <t>Graham, Robin; Mancher, Michelle; Wolman, Dianne Miller; Graham, Robin; Mancher, Michelle; Wolman, Dianne Miller; Greenfield, Sheldon; Steinberg, Earl</t>
  </si>
  <si>
    <t>Mammography and Beyond : Developing Technologies for the Early Detection of Breast Cancer: A Non-Technical Summary</t>
  </si>
  <si>
    <t>Patlak, Margie; Nass, Sharyl J.; Henderson, I. Craig; Institute of Medicine,; National Research Council,; National Academy of Sciences,; Patlak, Margie; Nass, Sharyl J.; Henderson, I. Craig; Lashof, Joyce C.</t>
  </si>
  <si>
    <t>Improving Palliative Care for Cancer</t>
  </si>
  <si>
    <t>Gelband, Hellen; Foley, Kathleen M.; National Research Council; National Academy of Sciences,; Foley, Kathleen M.; Gelband, Hellen</t>
  </si>
  <si>
    <t>Clinical Data as the Basic Staple of Health Learning : Creating and Protecting a Public Good: Workshop Summary</t>
  </si>
  <si>
    <t>Alex W. Goodby; LeighAnne Olsen; Michael McGinnis; Institute of Medicine,; Roundtable on Value &amp; Science-Driven Health Care,; Olsen, LeighAnne; Goodby, Alex W; McGinnis, Michael; Roundtable on Value &amp; Science-Driven Health Care,</t>
  </si>
  <si>
    <t>Leveraging Food Technology for Obesity Prevention and Reduction Effort : Workshop Summary</t>
  </si>
  <si>
    <t>Pray, Leslie; Pillsbury, Laura; Institute of Medicine,</t>
  </si>
  <si>
    <t>Legal Strategies in Childhood Obesity Prevention : Workshop Summary</t>
  </si>
  <si>
    <t>Parker, Lynn; Spear, Matthew; Ferring Holovach, Nicole; Olson, Stephen; Holovach, Nicole Ferring; Spear, Matthew</t>
  </si>
  <si>
    <t>Asbestos : Selected Cancers</t>
  </si>
  <si>
    <t>Institute of Medicine; Board on Population Health and Public Health Practice,; Institute of Medicine,; National Academy of Sciences,</t>
  </si>
  <si>
    <t>Nanotechnology and Oncology : Workshop Summary</t>
  </si>
  <si>
    <t>Institute of Medicine; Board on Health Care Services,; Institute of Medicine,; Micheel, Christine; Patlak, Margie</t>
  </si>
  <si>
    <t>Advancing Regulatory Science for Medical Countermeasure Development : Workshop Summary</t>
  </si>
  <si>
    <t>Wizemann, Theresa; Altebogt, Bruce M.; Board on Health Sciences Policy,; Institute of Medicine,; Altevogt, Bruce M.; Claiborne, Anne B.; Wizemann, Theresa</t>
  </si>
  <si>
    <t>Measuring Health Performance in the Public Sector : A Summary of Two Reports</t>
  </si>
  <si>
    <t>Panel on Performance Measures and Data for Public Health Performance Partnership Grants; Commission on Behavioral and Social Sciences and Education,; Division of Behavioral and Social Sciences and Education,; National Research Council,; National Academy of Sciences,</t>
  </si>
  <si>
    <t>Learning What Works : Infrastructure Required for Comparative Effectiveness Research : Workshop Summary</t>
  </si>
  <si>
    <t>LeighAnne Olsen; Claudia Grossman; J. Michael McGinnis; Grossman, Claudia; Olsen, LeighAnne</t>
  </si>
  <si>
    <t>Risk Assessment in the Federal Government : Managing the Process Working Papers</t>
  </si>
  <si>
    <t>Committee on the Institutional Means for Assessment of Risks to Public Health; National Research Council; Division on Earth and Life Studies,; National Research Council,; National Academy of Sciences,</t>
  </si>
  <si>
    <t>Health Effects of Exposure to Low Levels of Ionizing Radiation : Beir V</t>
  </si>
  <si>
    <t>Combined Exposures to Hydrogen Cyanide and Carbon Monoxide in Army Operations</t>
  </si>
  <si>
    <t>Committee on Combined Exposures to Hydrogen Cyanide and Carbon Monoxide in Army Operations; Committee on Toxicology; National Research Council; Division on Earth and Life Studies,; National Research Council,</t>
  </si>
  <si>
    <t>Finding What Works in Health Care : Standards for Systematic Reviews</t>
  </si>
  <si>
    <t>Eden, Jill; Levit, Laura; Berg, Alfred; Eden, Jill; Levit, Laura; Berg, Alfred O.; Morton, Sally</t>
  </si>
  <si>
    <t>Global Issues in Water, Sanitation, and Health : Workshop Summary</t>
  </si>
  <si>
    <t>Forum on Microbial Threats; Institute of Medicine; Institute of Medicine,; Mack, Alison; Choffnes, Eileen R.</t>
  </si>
  <si>
    <t>State and Local Policy Initiatives to Reduce Health Disparities : Workshop Summary</t>
  </si>
  <si>
    <t>Anderson, Karen M.; Roundtable on the Promotion of Health Equity and the Elimination of Health Disparities; Institute of Medicine; Anderson, Karen M.</t>
  </si>
  <si>
    <t>Fungal Diseases : An Emerging Threat to Human, Animal, and Plant Health: Workshop Summary</t>
  </si>
  <si>
    <t>Olsen, LeighAnne; Choffnes, Eileen R.; Relman, David A.; Pray, Leslie; Relman, David A.; Choffnes, Eileen R.; Olsen, LeighAnne</t>
  </si>
  <si>
    <t>Patients Charting the Course : Citizen Engagement in the Learning Health System : Workshop Summary</t>
  </si>
  <si>
    <t>Olsen, LeighAnne; Saunders, Robert S.; Olsen, LeighAnne; Saunders, Robert S.; McGinnis, J. Michael</t>
  </si>
  <si>
    <t>Incorporating Occupational Information in Electronic Health Records : Letter Report</t>
  </si>
  <si>
    <t>Wegman, David H.; Institute of Medicine; Institute of Medicine,; Clever, Linda Hawes; Rogers, M. E. Bonnie; Schultz, Andrea M.; Liverman, Catharyn T.</t>
  </si>
  <si>
    <t>Public Engagement and Clinical Trials : New Models and Disruptive Technologies: Workshop Summary</t>
  </si>
  <si>
    <t>Weisfeld, Victoria; English, Rebecca; Institute of Medicine,; Claiborne, Anne B.; Weisfeld, Victoria D.; English, Rebecca A.</t>
  </si>
  <si>
    <t>Implementing a National Cancer Clinical Trials System for the 21st Century : A Workshop Summary</t>
  </si>
  <si>
    <t>Mack, Alison; Nass, Sharyl J.; National Cancer Policy Forum; American Society of Clinical Oncology,; Mack, Alison; Nass, Sharyl J.</t>
  </si>
  <si>
    <t>Digital Infrastructure for the Learning Health System : The Foundation for Continuous Improvement in Health and Health Care: Workshop Series Summary</t>
  </si>
  <si>
    <t>Grossman, Claudia; Powers, Brian; Institute of Medicine; McGinnis, J. Michael</t>
  </si>
  <si>
    <t>Improving Health Literacy Within a State : Workshop Summary</t>
  </si>
  <si>
    <t>Hewitt, Maria; Institute of Medicine; Roundtable on Health Literacy; Hewitt, Maria</t>
  </si>
  <si>
    <t>Long-Term Health Consequences of Exposure to Burn Pits in Iraq and Afghanistan</t>
  </si>
  <si>
    <t>Committee on the Long-Term Health Consequences of Exposure to Burn Pits in Iraq and Afghanistan; Institute of Medicine; Institute of Medicine,</t>
  </si>
  <si>
    <t>Allied Health Workforce and Services : Workshop Summary</t>
  </si>
  <si>
    <t>Institute of Medicine; Olson, Steve; Olson, Steve</t>
  </si>
  <si>
    <t>Updating the USDA National Breastfeeding Campaign : Workshop Summary</t>
  </si>
  <si>
    <t>Institute of Medicine; Whitacre, Paula Tarnapol; Moats, Sheila; Whitacre, Paula Tarnapol</t>
  </si>
  <si>
    <t>Early Childhood Obesity Prevention Policies</t>
  </si>
  <si>
    <t>Committee on Obesity Prevention Policies for Young Children; Institute of Medicine; Birch, Leann L.; Parker, Lynn; Burns, Annina Catherine</t>
  </si>
  <si>
    <t>Medical Devices and the Public's Health : The FDA 510(k) Clearance Process at 35 Years</t>
  </si>
  <si>
    <t>Committee on the Public Health Effectiveness of the FDA 510(k) Clearance Process; Institute of Medicine; Institute of Medicine,</t>
  </si>
  <si>
    <t>Law; Social Science</t>
  </si>
  <si>
    <t>Occupational Health Nurses and Respiratory Protection : Improving Education and Training : Letter Report</t>
  </si>
  <si>
    <t>Clever, Linda Hawes; Rogers, M.E. Bonnie; Committee on the Respiratory Protection Curriculum for Occupational Health Nursing Programs; Clever, Linda Hawes; Rogers, M. E. Bonnie; Schultz, Andrea M.; Liverman, Catharyn T.</t>
  </si>
  <si>
    <t>Healthcare Imperative : Lowering Costs and Improving Outcomes</t>
  </si>
  <si>
    <t>Young, Pierre L.; Olsen, LeighAnne; Roundtable on Evidence-Based Medicine; Roundtable on Value &amp; Science-Driven Health Care,; Institute of Medicine,; Young, Pierre L; Roundtable on Value &amp; Science-Driven Health Care,</t>
  </si>
  <si>
    <t>For the Public's Health : Revitalizing Law and Policy to Meet New Challenges</t>
  </si>
  <si>
    <t>Improving Health in the United States : The Role of Health Impact Assessment</t>
  </si>
  <si>
    <t>Committee on Health Impact Assessment; National Research Council; Division on Earth and Life Studies,; National Research Council,</t>
  </si>
  <si>
    <t>Relieving Pain in America : A Blueprint for Transforming Prevention, Care, Education, and Research</t>
  </si>
  <si>
    <t>Committee on Advancing Pain Research, Care, and Education; Institute of Medicine</t>
  </si>
  <si>
    <t>Clinical Preventive Services for Women : Closing the Gaps</t>
  </si>
  <si>
    <t>Committee on Preventive Services for Women; Institute of Medicine; Institute of Medicine,</t>
  </si>
  <si>
    <t>Promoting Health Literacy to Encourage Prevention and Wellness : Workshop Summary</t>
  </si>
  <si>
    <t>Hernandez, Lyla; Landi, Suzanne; Roundtable on Health Literacy; Landi, Suzanne; Hernandez, Lyla</t>
  </si>
  <si>
    <t>Advancing Oral Health in America</t>
  </si>
  <si>
    <t>Committee on an Oral Health Initiative; Institute of Medicine; Institute of Medicine,</t>
  </si>
  <si>
    <t>Cognitive Rehabilitation Therapy for Traumatic Brain Injury : Evaluating the Evidence</t>
  </si>
  <si>
    <t>Koehler, Rebecca; Wilhelm, Erin; Shoulson, Ira; Koehler, Rebecca N.; Wilhelm, Erin; Shoulson, Ira</t>
  </si>
  <si>
    <t>Strategies and Priorities for Information Technology at the Centers for Medicare and Medicaid Services</t>
  </si>
  <si>
    <t>Committee on Future Information Architectures; Strategies for the Centers for Medicare and Medicaid Services; National Research Council</t>
  </si>
  <si>
    <t>Social Science; Computer Science/IT; Engineering: General; Engineering</t>
  </si>
  <si>
    <t>Perspectives on Essential Health Benefits : Workshop Report</t>
  </si>
  <si>
    <t>Ulmer, Cheryl; McFadden, Bernadette; Cacace, Cassandra; McFadden, Bernadette; Cacace, Cassandra; Ulmer, Cheryl</t>
  </si>
  <si>
    <t>Essential Health Benefits : Balancing Coverage and Costs</t>
  </si>
  <si>
    <t>Ulmer, Cheryl; Ball, John; McGlynn, Elizabeth; Ulmer, Cheryl; Ball, John; McGlynn, Elizabeth A.; Hamdounia, Shadia Bel</t>
  </si>
  <si>
    <t>Toward Precision Medicine : Building a Knowledge Network for Biomedical Research and a New Taxonomy of Disease</t>
  </si>
  <si>
    <t>Committee on a Framework for Development a New Taxonomy of Disease; National Research Council; Board on Life Sciences,; Division on Earth and Life Studies,; National Research Council,</t>
  </si>
  <si>
    <t>Improving Access to Oral Health Care for Vulnerable and Underserved Populations</t>
  </si>
  <si>
    <t>Committee on Oral Health Access to Services; Institute of Medicine and National Research Council; Board on Health Care Services,; Board on Children, Youth, and Families,; Institute of Medicine,; Division of Behavioral and Social Sciences and Education,; National Research Council,</t>
  </si>
  <si>
    <t>Front-of-Package Nutrition Rating Systems and Symbols : Promoting Healthier Choices</t>
  </si>
  <si>
    <t>Wartella, Ellen A.; Lichtenstein, Alice H.; Yaktine, Ann; Wartella, Ellen A.; Lichtenstein, Alice H.; Yaktine, Ann; Nathan, Romy</t>
  </si>
  <si>
    <t>Measuring Progress in Obesity Prevention : Workshop Report</t>
  </si>
  <si>
    <t>Committee on Accelerating Progress in Obesity Prevention; Institute of Medicine; Institute of Medicine,</t>
  </si>
  <si>
    <t>Integrating Large-Scale Genomic Information into Clinical Practice : Workshop Summary</t>
  </si>
  <si>
    <t>Olson, Steve; Beachy, Sarah H.; Giammaria, Claire F.; Berger, Adam C.; Giammaria, Claire F.; Beachy, Sarah H.; Olson, Steve</t>
  </si>
  <si>
    <t>Facilitating Collaborations to Develop Combination Investigational Cancer Therapies : Workshop Summary</t>
  </si>
  <si>
    <t>Patlak, Margie; Balogh, Erin; Nass, Sharyl J.; Nass, Sharyl J.; Balogh, Erin; Patlak, Margie</t>
  </si>
  <si>
    <t>Facilitating State Health Exchange Communication Through the Use of Health Literate Practices : Workshop Summary</t>
  </si>
  <si>
    <t>Institute of Medicine; Hewitt, Maria; Roundtable on Health Literacy; Hewitt, Maria</t>
  </si>
  <si>
    <t>Prepositioning Antibiotics for Anthrax</t>
  </si>
  <si>
    <t>Stroud, Clare; Viswanathan, Kristin; Powell, Tia; Stroud, Clare; Viswanathan, Kristin; Powell, Tia; Bass, Robert R.</t>
  </si>
  <si>
    <t>Technical Evaluation of the NASA Model for Cancer Risk to Astronauts Due to Space Radiation</t>
  </si>
  <si>
    <t>Committee for Evaluation of Space Radiation Cancer Risk Model; National Research Council; Space Studies Board,; Division on Engineering and Physical Sciences,; National Research Council,; National Academies,</t>
  </si>
  <si>
    <t>Health IT and Patient Safety : Building Safer Systems for Better Care</t>
  </si>
  <si>
    <t>Committee on Patient Safety and Health Information Technology; Institute of Medicine; Board on Health Care Services,; Institute of Medicine,</t>
  </si>
  <si>
    <t>Strengthening a Workforce for Innovative Regulatory Science in Therapeutics Development : Workshop Summary</t>
  </si>
  <si>
    <t>Olsen, Steve; Claiborne, Anne B.; Forum on Drug Discovery; Claiborne, Anne B.; Olson, Steve</t>
  </si>
  <si>
    <t>Medicine; Pharmacy; Law</t>
  </si>
  <si>
    <t>Adverse Effects of Vaccines : Evidence and Causality</t>
  </si>
  <si>
    <t>Stratton, Kathleen; Ford, Andrew; Rusch, Erin; Stratton, Kathleen; Ford, Andrew; Rusch, Erin; Clayton, Ellen Wright</t>
  </si>
  <si>
    <t>Alzheimer's Diagnostic Guideline Validation : Exploration of Next Steps : Workshop Summary</t>
  </si>
  <si>
    <t>Pankevich, Diana E.; Wizemann, Theresa; Altevogt, Bruce M.; Altevogt, Bruce M.; Wizemann, Theresa; Pankevich, Diana E.</t>
  </si>
  <si>
    <t>Breast Cancer and the Environment : A Life Course Approach</t>
  </si>
  <si>
    <t>Committee on Breast Cancer and the Environment: The Scientific Evidence; Research Methodology; Future Directions, Institute of Medicine</t>
  </si>
  <si>
    <t>Accelerating Progress in Obesity Prevention : Solving the Weight of the Nation</t>
  </si>
  <si>
    <t>Glickman, Dan; Parker, Lynn; Sim, Leslie J.</t>
  </si>
  <si>
    <t>Nutrition and Healthy Aging in the Community : Workshop Summary</t>
  </si>
  <si>
    <t>Hoglund, Julia; Food and Nutrition Board; Moats, Sheila; Moats, Sheila</t>
  </si>
  <si>
    <t>Geographic Adjustment in Medicare Payment : Phase I : Improving Accuracy</t>
  </si>
  <si>
    <t>Committee on Geographic Adjustment Factors in Medicare Payment; Edmunds, Margaret; Sloan, Frank A.; Edmunds, Margaret; Sloan, Frank A.</t>
  </si>
  <si>
    <t>Alliances for Obesity Prevention : Finding Common Ground: Workshop Summary</t>
  </si>
  <si>
    <t>Parker, Lynn; Miller, Emily Ann; Ovaitt, Elena; Parker, Lynn; Miller, Emily Ann; Ovaitt, Elena; Olson, Stephen</t>
  </si>
  <si>
    <t>Role of Obesity in Cancer Survival and Recurrence : Workshop Summary</t>
  </si>
  <si>
    <t>National Cancer Policy Forum; Patlak, Margie; Nass, Sharyl J.; Patlak, Margie; Nass, Sharyl J.</t>
  </si>
  <si>
    <t>Country-Level Decision Making for Control of Chronic Diseases : Workshop Summary</t>
  </si>
  <si>
    <t>Board on Global Health; Institute of Medicine; Beatty, Alexandra</t>
  </si>
  <si>
    <t>Facing the Reality of Drug-Resistant Tuberculosis : Challenges and Potential Solutions in India: Summary of a Joint Workshop by the Institute of Medicine, the Indian National Science Academy, and the Indian Council of Medical Research</t>
  </si>
  <si>
    <t>Olson, Steve; English, Rebecca A.; Guenther, Rita S.; Olsen Steve Indian Council of Medical Research Institute of Medicine,</t>
  </si>
  <si>
    <t>Public Engagement on Facilitating Access to Antiviral Medications and Information in an Influenza Pandemic : Workshop Series Summary</t>
  </si>
  <si>
    <t>Fain, Barbara; Viswanathan, Kristin; Altevogt, Bruce M.; Fain, Barbara; Altevogt, Bruce M.; Viswanathan, Kristin</t>
  </si>
  <si>
    <t>Epilepsy Across the Spectrum : Promoting Health and Understanding</t>
  </si>
  <si>
    <t>England, Mary Jane; Liverman, Catharyn T.; Schultz, Andrea M.</t>
  </si>
  <si>
    <t>Monitoring HIV Care in the United States : Indicators and Data Systems</t>
  </si>
  <si>
    <t>Committee on Review Data Systems for Monitoring HIV Care; Ford, Morgan A.; Spicer, Carol Mason; Ford, Morgan A.; Spicer, Carol Mason</t>
  </si>
  <si>
    <t>Treatment for Posttraumatic Stress Disorder in Military and Veteran Populations : Initial Assessment</t>
  </si>
  <si>
    <t>Committee on the Assessment of Ongoing Effects in the Treatment of Posttraumatic Stress Disorder; Institute of Medicine; Institute of Medicine,</t>
  </si>
  <si>
    <t>How Can Health Care Organizations Become More Health Literate? : Workshop Summary</t>
  </si>
  <si>
    <t>Hernandez, Lyla M.; Roundtable on Health Literacy; Board on Population Health; Hernandez, Lyla M.</t>
  </si>
  <si>
    <t>Research Methods to Assess Dietary Intake and Program Participation in Child Day Care : Application to the Child and Adult Care Food Program: Workshop Summary</t>
  </si>
  <si>
    <t>Pray, Leslie; Yaktine, Ann; Moats, Sheila; Yaktine, Ann; Moats, Sheila</t>
  </si>
  <si>
    <t>Post-Incident Recovery Considerations of the Health Care Service Delivery Infrastructure : Workshop Summary</t>
  </si>
  <si>
    <t>Wizemann, Theresa; Altevogt,  Bruce M.; Forum on Medical and Public Health Preparedness for Catastrophic Events; Wizemann, Theresa; Altevogt, Bruce M.</t>
  </si>
  <si>
    <t>Improving Food Safety Through a One Health Approach : Workshop Summary</t>
  </si>
  <si>
    <t>Choffnes, Eileen R.; Relman, David A.; Olsen, LeighAnne; Choffnes, Eileen R.; Relman, David A.; Olsen, LeighAnne; Hutton, Rebekah; Mack, Alison</t>
  </si>
  <si>
    <t>Crisis Standards of Care : A Systems Framework for Catastrophic Disaster Response</t>
  </si>
  <si>
    <t>Hanfling, Dan; Altevogt, Bruce M.; Viswanathan, Kristin; Hanfling, Dan; Altevogt, Bruce M.; Viswanathan, Kristin; Gostin, Lawrence O.</t>
  </si>
  <si>
    <t>How Far Have We Come in Reducing Health Disparities? : Progress since 2000: Workshop Summary</t>
  </si>
  <si>
    <t>Anderson, Karen M.; Roundtable on the Promotion of Health Equity and the Elimination of Health Disparities; Board on Population Health and Public Health Practice, Institute of Medicine; Anderson, Karen M.</t>
  </si>
  <si>
    <t>Ensuring Safe Foods and Medical Products Through Stronger Regulatory Systems Abroad</t>
  </si>
  <si>
    <t>Riviere, Jim E.; Buckley,  Gillian J.; Committee on Strengthening Core Elements of Regulatory Systems in Developing Countries; Institute of Medicine,; Riviere, Jim E.; Buckley, Gillian J.</t>
  </si>
  <si>
    <t>Envisioning a Transformed Clinical Trials Enterprise in the United States : Establishing an Agenda for 2020: Workshop Summary</t>
  </si>
  <si>
    <t>Weisfeld, Neil; English, Rebecca A.; Claiborne, Anne B.; Weisfeld, Neil E.; English, Rebecca A.; Claiborne, Anne B.</t>
  </si>
  <si>
    <t>Ranking Vaccines : A Prioritization Framework: Phase I: Demonstration of Concept and a Software Blueprint</t>
  </si>
  <si>
    <t>Madhavan, Guruprasad; Sangha, Kinpritma; Phelps, Charles; Institute of Medicine,; Madharan, Guruprasad; Sangha, Kinpritma; Phelps, Charles E.; Fryback, Dennis; Lieu, Tracy; Martinez, Rose Marie</t>
  </si>
  <si>
    <t>Building Public-Private Partnerships in Food and Nutrition : Workshop Summary</t>
  </si>
  <si>
    <t>Pray, Leslie; Pillsbury, Laura; Food Forum: Food and Nutrition Board; Pray, Leslie; Pilsbury, Laura</t>
  </si>
  <si>
    <t>Geographic Adjustment in Medicare Payment : Phase II: Implications for Access, Quality, and Efficiency</t>
  </si>
  <si>
    <t>Committee on Geographic Adjustment Factors in Medicare Payment; Board on Health Care Services; Institute of Medicine; Frank A. Sloan; A. Bruce Steinwald</t>
  </si>
  <si>
    <t>Toward Quality Measures for Population Health and the Leading Health Indicators</t>
  </si>
  <si>
    <t>Board on Population Health and Public Health Practice; Institute of Medicine; Committee on Quality Measures for the Healthy People Leading Health Indicators</t>
  </si>
  <si>
    <t>Large Simple Trials and Knowledge Generation in a Learning Health System : Workshop Summary</t>
  </si>
  <si>
    <t>Roundtable on Value and Science-Driven Health Care; Forum on Drug Discovery, Development, and Translation; Institute of Medicine; Julia Sanders; Rebecca A. English; Board on Health Sciences Policy</t>
  </si>
  <si>
    <t>An Update on Research Issues in the Assessment of Birth Settings : Workshop Summary</t>
  </si>
  <si>
    <t>Board on Children, Youth, and Families; Institute of Medicine; National Research Council; Pray, Leslie</t>
  </si>
  <si>
    <t>Contagion of Violence : Workshop Summary</t>
  </si>
  <si>
    <t>Forum on Global Violence Prevention; Board on Global Health; Institute of Medicine; National Research Council; Melissa A. Simon; Rachel M. Taylor</t>
  </si>
  <si>
    <t>The Role of Telehealth in an Evolving Health Care Environment : Workshop Summary</t>
  </si>
  <si>
    <t>Board on Health Care Services; Institute of Medicine; Lustig, Tracy A.</t>
  </si>
  <si>
    <t>Discussion Framework for Clinical Trial Data Sharing : Guiding Principles, Elements, and Activities</t>
  </si>
  <si>
    <t>Board on Health Sciences Policy; Institute of Medicine; Committee on Strategies for Responsible Sharing of Clinical Trial Data</t>
  </si>
  <si>
    <t>Fitness Measures and Health Outcomes in Youth</t>
  </si>
  <si>
    <t>Committee on Fitness Measures and Health Outcomes in Youth; Food and Nutrition Board; Institute of Medicine; Maria Oria; Laura Pillsbury; Pillsbury, Laura</t>
  </si>
  <si>
    <t>Accelerating the Development of New Drugs and Diagnostics : Maximizing the Impact of the Cures Acceleration Network: Workshop Summary</t>
  </si>
  <si>
    <t>Forum on Drug Discovery, Development, and Translation; Board on Health Sciences Policy; Institute of Medicine; Anne B. Claiborne; Claiborne, Anne B.</t>
  </si>
  <si>
    <t>Sodium Intake in Populations : Assessment of Evidence</t>
  </si>
  <si>
    <t>Committee on the Consequences of Sodium Reduction in Populations; Board on Population Health and Public Health Practice; Institute of Medicine; Ann L. Yaktine; Maria Oria; Food and Nutrition Board; Oria, Maria</t>
  </si>
  <si>
    <t>Oral Health Literacy : Workshop Summary</t>
  </si>
  <si>
    <t>Roundtable on Health Literacy; Board on Population Health and Public Health Practice; Institute of Medicine; Hewitt, Maria</t>
  </si>
  <si>
    <t>Potential Health Risks to DOD Firing-Range Personnel from Recurrent Lead Exposure</t>
  </si>
  <si>
    <t>Committee on Toxicology; Board on Environmental Studies and Toxicology; Division on Earth and Life Studies; National Research Council; National Research Council,</t>
  </si>
  <si>
    <t>Exposure Science in the 21st Century : A Vision and a Strategy</t>
  </si>
  <si>
    <t>Board on Environmental Studies and Toxicology; Division on Earth and Life Studies; National Research Council; National Research Council,</t>
  </si>
  <si>
    <t>Leveraging Action to Support Dissemination of Pregnancy Weight Gain Guidelines : Workshop Summary</t>
  </si>
  <si>
    <t>Committee on Implementation of the IOM Pregnancy Weight Gain Guidelines; Board on Children, Youth, and Families; National Research Council; Ann L. Yaktine; Food and Nutrition Board; Institute of Medicine; Yaktine, Ann L.</t>
  </si>
  <si>
    <t>The Global Crisis of Drug-Resistant Tuberculosis and Leadership of China and the BRICS : Challenges and Opportunities: Summary of a Joint Workshop by the Institute of Medicine and the Institute of Microbiology, Chinese Academy of Sciences</t>
  </si>
  <si>
    <t>Forum on Drug Discovery, Development, and Translation; Rebecca A. English; Anne B. Claiborne; Board on Health Sciences Policy; Institute of Medicine; Institute of Medicine,</t>
  </si>
  <si>
    <t>Reducing Maternal and Neonatal Mortality in Indonesia : Saving Lives, Saving the Future</t>
  </si>
  <si>
    <t>Development, Security, and Cooperation; Policy and Global Affairs; National Research Council; Indonesian Academy of Sciences; Indonesian Academy of Sciences,</t>
  </si>
  <si>
    <t>Variation in Health Care Spending : Target Decision Making, Not Geography</t>
  </si>
  <si>
    <t>Committee on Geographic Variation in Health Care Spending and Promotion of High-Value Care; Board on Health Care Services; Institute of Medicine; Alan M. Garber; Robin P. Graham; Margaret A. McCoy; Michelle Mancher; Ashna Kibria</t>
  </si>
  <si>
    <t>Reducing Tobacco-Related Cancer Incidence and Mortality : Workshop Summary</t>
  </si>
  <si>
    <t>National Cancer Policy Forum; Board on Health Care Services; Institute of Medicine; Margie Patlak; Sharyl J. Nass; Nass, Sharyl J.</t>
  </si>
  <si>
    <t>Delivering Affordable Cancer Care in the 21st Century : Workshop Summary</t>
  </si>
  <si>
    <t>Health Literacy : Improving Health, Health Systems, and Health Policy Around the World: Workshop Summary</t>
  </si>
  <si>
    <t>Roundtable on Health Literacy; Board on Population Health and Public Health Practice; Institute of Medicine; Hernandez, Lyla M.</t>
  </si>
  <si>
    <t>Review of the Department of Labor's Site Exposure Matrix Database</t>
  </si>
  <si>
    <t>Board on the Health of Select Populations; Institute of Medicine; Committee on the Review of the Department of Labor's Site Exposure Matrix (SEM) Database</t>
  </si>
  <si>
    <t>Identifying and Addressing the Needs of Adolescents and Young Adults with Cancer : Workshop Summary</t>
  </si>
  <si>
    <t>National Cancer Policy Forum; Board on Health Care Services; Margie Patlak; Institute of Medicine; Nass, Sharyl J.; Patlak, Margie</t>
  </si>
  <si>
    <t>Collecting Sexual Orientation and Gender Identity Data in Electronic Health Records : Workshop Summary</t>
  </si>
  <si>
    <t>Board on the Health of Select Populations; Institute of Medicine; Monica N. Feit; Jon Q. Sanders; Sanders, Jon Q.</t>
  </si>
  <si>
    <t>Implementing a National Cancer Clinical Trials System for the 21st Century : Second Workshop Summary</t>
  </si>
  <si>
    <t>Institute of Medicine; Board on Health Care Services; Sharyl J. Nass; Margie Patlak; National Cancer Policy Forum; Patlak, Margie</t>
  </si>
  <si>
    <t>Organizational Change to Improve Health Literacy : Workshop Summary</t>
  </si>
  <si>
    <t>Roundtable on Health Literacy; Board on Population Health and Public Health Practice; Institute of Medicine; Lyla M. Hernandez; Hernandez, Lyla M.</t>
  </si>
  <si>
    <t>Perspectives on Research with H5N1 Avian Influenza : Scientific Inquiry, Communication, Controversy: Summary of a Workshop</t>
  </si>
  <si>
    <t>Committee on Science, Technology, and Law; Division on Earth and Life Studies; Institute of Medicine; Anne-Marie Mazza; Steven Kendall; Forum on Microbial Threats; Policy and Global Affairs; Board on Life Sciences; Board on Global Health; Committee on Science, Technology, and Law</t>
  </si>
  <si>
    <t>Crisis Standards of Care : A Toolkit for Indicators and Triggers</t>
  </si>
  <si>
    <t>Board on Health Sciences Policy; Institute of Medicine; Committee on Crisis Standards of Care: A Toolkit for indicators and Triggers</t>
  </si>
  <si>
    <t>An Integrated Framework for Assessing the Value of Community-Based Prevention</t>
  </si>
  <si>
    <t>Board on Population Health and Public Health Practice; Institute of Medicine; Committee on Valuing Community-Based, Non-Clinical Prevention Programs</t>
  </si>
  <si>
    <t>U.S. Health in International Perspective : Shorter Lives, Poorer Health</t>
  </si>
  <si>
    <t>Panel on Understanding Cross-National Health Differences Among High-Income Countries; Committee on Population; National Research Council; Laudan Aron; Division of Behavioral and Social Sciences and Education; Board on Population Health and Public Health Practice; Institute of Medicine</t>
  </si>
  <si>
    <t>Improving the Utility and Translation of Animal Models for Nervous System Disorders : Workshop Summary</t>
  </si>
  <si>
    <t>Forum on Neuroscience and Nervous System Disorders; Board on Health Sciences Policy; Institute of Medicine; Theresa M. Wizemann; Bruce M. Altevogt; Altevogt, Bruce M.</t>
  </si>
  <si>
    <t>Cognitive Rehabilitation Therapy for Traumatic Brain Injury : Model Study Protocols and Frameworks to Advance the State of the Science: Workshop Summary</t>
  </si>
  <si>
    <t>Board on the Health of Select Populations; Institute of Medicine; Matchett, Karin</t>
  </si>
  <si>
    <t>Nutrition Education in the K-12 Curriculum : The Role of National Standards: Workshop Summary</t>
  </si>
  <si>
    <t>Food and Nutrition Board; Board on Children, Youth, and Families; Institute of Medicine; Sheila Moats; Moats, Sheila</t>
  </si>
  <si>
    <t>Health; Education</t>
  </si>
  <si>
    <t>Review of NASA's Evidence Reports on Human Health Risks : 2013 Letter Report</t>
  </si>
  <si>
    <t>Committee to Review NASAââ'¬â"¢s Evidence Reports on Human Health Risks; Daniel R. Masys; Catharyn T. Liverman; Margaret A. McCoy; Board on Health Sciences Policy; Institute of Medicine; Institute of Medicine,</t>
  </si>
  <si>
    <t>Interprofessional Education for Collaboration : Learning How to Improve Health from Interprofessional Models Across the Continuum of Education to Practice: Workshop Summary</t>
  </si>
  <si>
    <t>Global Forum on Innovation in Health Professional Education; Board on Global Health; Institute of Medicine; Cuff, Patricia A.</t>
  </si>
  <si>
    <t>Evaluation of PEPFAR</t>
  </si>
  <si>
    <t>Board on Global Health; Board on Children, Youth, and Families; Institute of Medicine; Division of Behavioral and Social Sciences and Education</t>
  </si>
  <si>
    <t>Delivering High-Quality Cancer Care : Charting a New Course for a System in Crisis</t>
  </si>
  <si>
    <t>Committee on Improving the Quality of Cancer Care: Addressing the Challenges of an Aging Population; Board on Health Care Services; Institute of Medicine; Erin Balogh; Sharyl Nass; Patricia A. Ganz; Ganz, Patricia A.</t>
  </si>
  <si>
    <t>Strengthening Human Resources Through Development of Candidate Core Competencies for Mental, Neurological, and Substance Use Disorders in Sub-Saharan Africa : Workshop Summary</t>
  </si>
  <si>
    <t>A Collaboration of the Forum on Neuroscience and Nervous System Disorders and the African Science Academy Development Initiative; Board on Health Sciences Policy; Institute of Medicine; Theresa M. Wizemann; Patricia A. Cuff; Bruce M. Altevogt</t>
  </si>
  <si>
    <t>International Regulatory Harmonization Amid Globalization of Drug Development : Workshop Summary</t>
  </si>
  <si>
    <t>Forum on Drug Discovery, Development, and Transition; Board on Health Sciences Policy; Institute of Medicine; Tracy A. Lustig; Lustig, Tracy A.</t>
  </si>
  <si>
    <t>Nationwide Response Issues After an Improvised Nuclear Device Attack : Medical and Public Health Considerations for Neighboring Jurisdictions: Workshop Summary</t>
  </si>
  <si>
    <t>Forum on Medical and Public Health Preparedness for Catastrophic Events; Board on Health Sciences Policy; Institute of Medicine; Megan Reeve; Bruce Altevogt; Altevogt, Bruce</t>
  </si>
  <si>
    <t>Critical Aspects of EPA's IRIS Assessment of Inorganic Arsenic : Interim Report</t>
  </si>
  <si>
    <t>Neurodegeneration : Exploring Commonalities Across Diseases: Workshop Summary</t>
  </si>
  <si>
    <t>Forum on Neuroscience and Nervous System Disorders; Board on Health Sciences Policy; Institute of Medicine; Clare Stroud; Stroud, Clare</t>
  </si>
  <si>
    <t>Public Health Linkages with Sustainability : Workshop Summary</t>
  </si>
  <si>
    <t>Roundtable on Environmental Health Sciences, Research, and Medicine; Board on Population Health and Public Health Practice; Institute of Medicine; Erin Rusch; Rusch, Erin</t>
  </si>
  <si>
    <t>Acute Exposure Guideline Levels for Selected Airborne Chemicals : Volume 14</t>
  </si>
  <si>
    <t>Evaluating Obesity Prevention Efforts : A Plan for Measuring Progress</t>
  </si>
  <si>
    <t>Food and Nutrition Board; Institute of Medicine; Committee on Evaluating Progress of Obesity Prevention Effort</t>
  </si>
  <si>
    <t>Leveraging Culture to Address Health Inequalities : Examples from Native Communities: Workshop Summary</t>
  </si>
  <si>
    <t>Roundtable on the Promotion of Health Equity and the Elimination of Health Disparities; Board on Population Health and Public Health Practice; Steve Olson; Institute of Medicine; Institute of Medicine,</t>
  </si>
  <si>
    <t>Sports-Related Concussions in Youth : Improving the Science, Changing the Culture</t>
  </si>
  <si>
    <t>Committee on Sports-Related Concussions in Youth; Board on Children, Youth, and Families; Institute of Medicine; National Research Council; Frederick P. Rivara; Morgan A. Ford; Carol Mason Spicer</t>
  </si>
  <si>
    <t>Improving and Accelerating Therapeutic Development for Nervous System Disorders : Workshop Summary</t>
  </si>
  <si>
    <t>Forum on Neuroscience and Nervous System Disorders; Diana E. Pankevich; Miriam Davis; Bruce M. Altevogt; Board on Health Sciences Policy; Institute of Medicine; Institute of Medicine,</t>
  </si>
  <si>
    <t>Genome-Based Therapeutics : Targeted Drug Discovery and Development: Workshop Summary</t>
  </si>
  <si>
    <t>Roundtable on Translating Genomic-Based Research for Health; Board on Health Sciences Policy; Institute of Medicine; Steve Olson</t>
  </si>
  <si>
    <t>Core Measurement Needs for Better Care, Better Health, and Lower Costs : Counting What Counts: Workshop Summary</t>
  </si>
  <si>
    <t>Roundtable on Value &amp; Science-Driven Health Care; Institute of Medicine; Julia Sanders; Robert Saunders; Saunders, Robert</t>
  </si>
  <si>
    <t>Population Health Implications of the Affordable Care Act : Workshop Summary</t>
  </si>
  <si>
    <t>Roundtable on Population Health Improvement; Board on Population Health and Public Health Practice; Institute of Medicine; Alper, Joe</t>
  </si>
  <si>
    <t>The Economics of Genomic Medicine : Workshop Summary</t>
  </si>
  <si>
    <t>Roundtable on Translating Genomic-Based Research for Health; Board on Health Sciences Policy; Institute of Medicine; Steve Olson; Berger, Adam C.</t>
  </si>
  <si>
    <t>Genome-Based Diagnostics : Demonstrating Clinical Utility in Oncology: Workshop Summary</t>
  </si>
  <si>
    <t>Roundtable on Translating Genomic-Based Research for Health; Board on Health Sciences Policy; Center for Medical Technology Policy; Steve Olson; Institute of Medicine; Olson, Steve</t>
  </si>
  <si>
    <t>Digital Data Improvement Priorities for Continuous Learning in Health and Health Care : Workshop Summary</t>
  </si>
  <si>
    <t>Roundtable on Value and Science-Driven Health Care; Institute of Medicine; Brian Powers; Julia Sanders; Grossman, Claudia</t>
  </si>
  <si>
    <t>Developing and Strengthening the Global Supply Chain for Second-Line Drugs for Multidrug-Resistant Tuberculosis : Workshop Summary</t>
  </si>
  <si>
    <t>Forum on Drug Discovery, Development, and Translation; Board on Health Sciences Policy; Institute of Medicine; Rebecca A. English; Rita S. Guenther; Anne B. Claiborne; Nicholson, Anna</t>
  </si>
  <si>
    <t>Medical Care Economic Risk : Measuring Financial Vulnerability from Spending on Medical Care</t>
  </si>
  <si>
    <t>Panel on Measuring Medical Care Risk in Conjunction with the New Supplemental Income Poverty Measure; Committee on National Statistics; Division of Behavioral and Social Sciences and Education; Board on Health Care Services; Institute of Medicine; National Research Council; Gooloo S. Wunderlich</t>
  </si>
  <si>
    <t>Sharing Clinical Research Data : Workshop Summary</t>
  </si>
  <si>
    <t>Forum on Drug Discovery, Development, and Translation; Forum on Neuroscience and Nervous System Disorders; Institute of Medicine; Autumn S. Downey; National Cancer Policy Forum; Roundtable on Translating Genomic-Based Research for Health; Board on Health Sciences Policy; Board on Health Care Services; Olson, Steve</t>
  </si>
  <si>
    <t>Acute Exposure Guideline Levels for Selected Airborne Chemicals : Volume 13</t>
  </si>
  <si>
    <t>Refining Processes for the Co-Development of Genome-Based Therapeutics and Companion Diagnostic Tests : Workshop Summary</t>
  </si>
  <si>
    <t>Roundtable on Translating Genomic-Based Research for Health; Board on Health Sciences Policy; Institute of Medicine; Samuel G. Johnson; Steve Olson; Adam C. Berger; Beachy, Sarah H.</t>
  </si>
  <si>
    <t>Informatics Needs and Challenges in Cancer Research : Workshop Summary</t>
  </si>
  <si>
    <t>National Cancer Policy Forum; Board on Health Care Services; Institute of Medicine; Theresa Wizemann</t>
  </si>
  <si>
    <t>Observational Studies in a Learning Health System : Workshop Summary</t>
  </si>
  <si>
    <t>A Learning Health System Activity; Roundtable on Value and Science-Driven Health Care; Institute of Medicine; Joe Alper; Alper, Joe</t>
  </si>
  <si>
    <t>Best Care at Lower Cost : The Path to Continuously Learning Health Care in America</t>
  </si>
  <si>
    <t>Committee on the Learning Health Care System in America; Institute of Medicine; Robert Saunders; Leigh Stuckhardt; J. Michael McGinnis; McGinnis, J. Michael</t>
  </si>
  <si>
    <t>Interim Report of the Committee on Geographic Variation in Health Care Spending and Promotion of High-Value Care : Preliminary Committee Observations</t>
  </si>
  <si>
    <t>Committee on Geographic Variation in Health Care Spending and Promotion of High-Value Care; Alan M. Garber; Robin P. Graham; Margaret A. McCoy; Michelle Mancher; Ashna Kibria</t>
  </si>
  <si>
    <t>Acute Exposure Guideline Levels for Selected Airborne Chemicals : Volume 15</t>
  </si>
  <si>
    <t>Monitoring HIV Care in the United States : A Strategy for Generating National Estimates of HIV Care and Coverage</t>
  </si>
  <si>
    <t>Committee to Review Data Systems for Monitoring HIV Care; Board on Population Health and Public Health Practice; Institute of Medicine; Carol Mason Spicer; Spicer, Carol Mason</t>
  </si>
  <si>
    <t>Design of the National Children's Study : A Workshop Summary</t>
  </si>
  <si>
    <t>Committee on National Statistics; Division of Behavioral and Social Sciences and Education; Board on Children, Youth, and Families; National Research Council; Institute of Medicine; Kirkendall, Nancy</t>
  </si>
  <si>
    <t>Creating Equal Opportunities for a Healthy Weight : Workshop Summary</t>
  </si>
  <si>
    <t>Breiner, Heather; Standing Committee on Childhood Obesity Prevention; Food and Nutrition Board; Institute of Medicine; Parker, Lynn; Olson, Steve</t>
  </si>
  <si>
    <t>Establishing Transdisciplinary Professionalism for Improving Health Outcomes : Workshop Summary</t>
  </si>
  <si>
    <t>Including Health in Global Frameworks for Development, Wealth, and Climate Change : Workshop Summary</t>
  </si>
  <si>
    <t>Roundtable on Environmental Health Sciences, Research, and Medicine; Board on Population Health and Public Health Practice; Institute of Medicine; Landi, Suzanne</t>
  </si>
  <si>
    <t>The Current State of Obesity Solutions in the United States : Workshop Summary</t>
  </si>
  <si>
    <t>Roundtable on Obesity Solutions; Food and Nutrition Board; Institute of Medicine; Institute of Medicine,</t>
  </si>
  <si>
    <t>Conflict of Interest and Medical Innovation : Ensuring Integrity While Facilitating Innovation in Medical Research: Workshop Summary</t>
  </si>
  <si>
    <t>Roundtable on Translating Genomic-Based Research for Health; Adam C. Berger; Steve Olson; Board on Health Sciences Policy; Institute of Medicine; Institute of Medicine,</t>
  </si>
  <si>
    <t>Treatment for Posttraumatic Stress Disorder in Military and Veteran Populations : Final Assessment</t>
  </si>
  <si>
    <t>Board on the Health of Select Populations; Institute of Medicine; Committee on the Assessment of Ongoing Efforts in the Treatment of Posttraumatic Stress Disorder</t>
  </si>
  <si>
    <t>Partnering with Patients to Drive Shared Decisions, Better Value, and Care Improvement : Workshop Proceedings</t>
  </si>
  <si>
    <t>Institute of Medicine; Roundtable on Value and Science-Driven Health Care</t>
  </si>
  <si>
    <t>Health Literacy and Numeracy : Workshop Summary</t>
  </si>
  <si>
    <t>Roundtable on Health Literacy; Board on Population Health and Public Health Practice; Institute of Medicine; French, Melissa G.</t>
  </si>
  <si>
    <t>Best Practices for Risk-Informed Decision Making Regarding Contaminated Sites : Summary of a Workshop Series</t>
  </si>
  <si>
    <t>Committee on Best Practices for Risk-Informed Remedy Selection, Closure and Post-Closure of Contaminated Sites; Nuclear and Radiation Studies Board; Science and Technology for Sustainability Program; Policy and Global Affairs; National Research Council; Jennifer A. Heimberg, Rapporteur, Workshop 2; Division on Earth and Life Studies</t>
  </si>
  <si>
    <t>Improving Access to Essential Medicines for Mental, Neurological, and Substance Use Disorders in Sub-Saharan Africa : Workshop Summary</t>
  </si>
  <si>
    <t>Forum on Neuroscience and Nervous System Disorders; Sheena M. Posey Norris; Theresa M. Wizemann; Bruce M. Altevogt; Board on Health Sciences Policy; Board on Global Health; Institute of Medicine; Institute of Medicine,</t>
  </si>
  <si>
    <t>Drug Repurposing and Repositioning : Workshop Summary</t>
  </si>
  <si>
    <t>Roundtable on Translating Genomic-Based Research for Health; Samuel G. Johnson; Steve Olson; Adam C. Berger; Board on Health Sciences Policy; Institute of Medicine; Institute of Medicine,</t>
  </si>
  <si>
    <t>Review of the Styrene Assessment in the National Toxicology Program 12th Report on Carcinogens</t>
  </si>
  <si>
    <t>Board on Environmental Studies and Toxicology; Division on Earth and Life Studies; National Research Council</t>
  </si>
  <si>
    <t>Can Earth's and Society's Systems Meet the Needs of 10 Billion People? : Summary of a Workshop</t>
  </si>
  <si>
    <t>Board on Environmental Change and Society; Committee on Population; Division of Behavioral and Social Sciences and Education; Board on Life Sciences; Division on Earth and Life Studies; National Research Council; Mellody, Maureen</t>
  </si>
  <si>
    <t>Graduate Medical Education That Meets the Nation's Health Needs</t>
  </si>
  <si>
    <t>Committee on the Governance and Financing of Graduate Medical Education; Board on Health Care Services; Institute of Medicine; Donald Berwick; Gail Wilensky</t>
  </si>
  <si>
    <t>Strategies for Scaling Effective Family-Focused Preventive Interventions to Promote Children's Cognitive, Affective, and Behavioral Health : Workshop Summary</t>
  </si>
  <si>
    <t>Forum on Promoting Childrenââ'¬â"¢s Cognitive, Affective, and Behavioral Health; Board on Children, Youth, and Families; Institute of Medicine; Division on Behavioral and Social Sciences and Education; National Research Council</t>
  </si>
  <si>
    <t>The Influence of Global Environmental Change on Infectious Disease Dynamics : Workshop Summary</t>
  </si>
  <si>
    <t>Forum on Microbial Threats; Board on Global Health; Alison Mack; Institute of Medicine; Institute of Medicine,</t>
  </si>
  <si>
    <t>Assessing Health Professional Education : Workshop Summary</t>
  </si>
  <si>
    <t>Global Forum on Innovation in Health Professional Education; Board on Global Health; Institute of Medicine; Institute of Medicine,</t>
  </si>
  <si>
    <t>Investing in Global Health Systems : Sustaining Gains, Transforming Lives</t>
  </si>
  <si>
    <t>Committee on Investing in Global Health Systems in Low- and Middle-Income Countries; Board on Global Health; Institute of Medicine; John E. Lange; E. Anne Peterson; Buckley, Gillian J.</t>
  </si>
  <si>
    <t>Contemporary Issues for Protecting Patients in Cancer Research : Workshop Summary</t>
  </si>
  <si>
    <t>National Cancer Policy Forum; Board on Health Care Services; Institute of Medicine; Margie Patlak</t>
  </si>
  <si>
    <t>Implications of Health Literacy for Public Health : Workshop Summary</t>
  </si>
  <si>
    <t>Roundtable on Health Literacy; Board on Population Health and Public Health Practice; Lyla M. Hernandez; Institute of Medicine; Institute of Medicine,</t>
  </si>
  <si>
    <t>Supporting a Movement for Health and Health Equity : Lessons from Social Movements: Workshop Summary</t>
  </si>
  <si>
    <t>Roundtable on Population Health Improvement; Alina Baciu; Nirupa Goel; Roundtable on the Promotion of Health Equity and the Elimination of Health Disparities; Board on Population Health and Public Health Practice; Institute of Medicine; Institute of Medicine,</t>
  </si>
  <si>
    <t>Capturing Social and Behavioral Domains and Measures in Electronic Health Records : Phase 2</t>
  </si>
  <si>
    <t>Board on Population Health and Public Health Practice; Institute of Medicine</t>
  </si>
  <si>
    <t>Integrating Research and Practice : Health System Leaders Working Toward High-Value Care: Workshop Summary</t>
  </si>
  <si>
    <t>IOM Roundtable on Value &amp; Science-Driven Care; Institute of Medicine; Claudia Grossmann</t>
  </si>
  <si>
    <t>Ranking Vaccines : Applications of a Prioritization Software Tool: Phase III: Use Case Studies and Data Framework</t>
  </si>
  <si>
    <t>Committee on Identifying and Prioritizing New Preventive Vaccines for Development, Phase III; Board on Population Health and Public Health Practice; Charles Phelps; Rino Rappuoli; Rose Marie Martinez; Lonnie King; Martinez, Rose Marie; King, Lonnie; Phelps, Charles; Madhavan, Guruprasad</t>
  </si>
  <si>
    <t>Beyond Myalgic Encephalomyelitis/Chronic Fatigue Syndrome : Redefining an Illness</t>
  </si>
  <si>
    <t>Board on the Health of Select Populations; Institute of Medicine; Committee on the Diagnostic Criteria for Myalgic Encephalomyelitis/Chronic Fatigue Syndrome</t>
  </si>
  <si>
    <t>Emerging Viral Diseases : The One Health Connection: Workshop Summary</t>
  </si>
  <si>
    <t>Dying in America : Improving Quality and Honoring Individual Preferences Near the End of Life</t>
  </si>
  <si>
    <t>Institute of Medicine; Committee on Approaching Death: Addressing Key End of Life Issues</t>
  </si>
  <si>
    <t>Toxic Substances in Articles : The Need for Information</t>
  </si>
  <si>
    <t>Nordiska ministerrådets förlag</t>
  </si>
  <si>
    <t>Nordiska ministerrådet</t>
  </si>
  <si>
    <t>OECD Conceptual Framework for Testing and Assessment of Endocrine Disrupters as a basis for regulation of substances with endocrine disrupting properties</t>
  </si>
  <si>
    <t>Nordic Council of Ministers' Publishing House</t>
  </si>
  <si>
    <t>Staff</t>
  </si>
  <si>
    <t>Evidence-Based Design for Healthcare Facilities</t>
  </si>
  <si>
    <t>Sigma Theta Tau International</t>
  </si>
  <si>
    <t>McCullough, Cynthia S.</t>
  </si>
  <si>
    <t>Synergy : The Unique Relationship Between Nurses and Patients</t>
  </si>
  <si>
    <t>Curley, Martha A. Q.</t>
  </si>
  <si>
    <t>Making a Difference : Stories from the Point of Care</t>
  </si>
  <si>
    <t>Hudacek, Sharon</t>
  </si>
  <si>
    <t>The Nurse Manager’s Guide to Hiring, Firing &amp; Inspiring</t>
  </si>
  <si>
    <t>Hess, Vicki</t>
  </si>
  <si>
    <t>Interpretive Phenomenology in Health Care Research : Studying Social Practice, Lifeworlds, and Embodiment</t>
  </si>
  <si>
    <t>Chan, Garrett; Benner, Patricia; Brykczynski, Karen A.; Malone, Ruth E.</t>
  </si>
  <si>
    <t>Fit Nurse : Your Total Plan For Getting Fit And Living Well</t>
  </si>
  <si>
    <t>Scholar, Gary</t>
  </si>
  <si>
    <t>Being Present A Nurse's Resource for End-of-Life Communication</t>
  </si>
  <si>
    <t>Schaffer, Marjorie; Norlander, Linda; Norlander, Linda</t>
  </si>
  <si>
    <t>Tales from the Pager Chronicles</t>
  </si>
  <si>
    <t>Rancour, Patrice</t>
  </si>
  <si>
    <t>When Parents Say No : Religious and Cultural Influences on Pediatric Healthcare Treatment</t>
  </si>
  <si>
    <t>Linnard-Palmer, Luanne</t>
  </si>
  <si>
    <t>Pivotal Moments in Nursing : Leaders Who Changed the Path of a Profession</t>
  </si>
  <si>
    <t>Houser, Beth; Player, Kathy</t>
  </si>
  <si>
    <t>Daybook for Critical Care Nurses</t>
  </si>
  <si>
    <t>Gallen Bademan, Eileen</t>
  </si>
  <si>
    <t>Nursing Without Borders : Values, Wisdom, Success Markers</t>
  </si>
  <si>
    <t>Weinstein, Sharon; Brooks, Ann Marie T.</t>
  </si>
  <si>
    <t>Conversations with Leaders</t>
  </si>
  <si>
    <t>Hansen-Turton, Tine; Sherman, Susan; Ferguson, Vernice</t>
  </si>
  <si>
    <t>The Nurse Executive's Coaching Manual</t>
  </si>
  <si>
    <t>McNally, Kimberly A.; Cunningham, Liz; Sigma Theta Tau International Staff</t>
  </si>
  <si>
    <t>101 Global Leadership Lessons for Nurses : Shared Legacies from Leaders and Their Mentors</t>
  </si>
  <si>
    <t>Gantz, Nancy Rollins</t>
  </si>
  <si>
    <t>Take Charge of Your Nursing Career: Open the Door to Your Dreams</t>
  </si>
  <si>
    <t>Marshall, Lois S.; Dreher, Melanie</t>
  </si>
  <si>
    <t>Johns Hopkins Nursing Evidence-Based Practice: Implementation and Translation</t>
  </si>
  <si>
    <t>Poe, Stephanie S.; White, Kathleen, M.</t>
  </si>
  <si>
    <t>Why Retire?</t>
  </si>
  <si>
    <t>Bower, Fay Louise; Sadler, William Alan; Buerhaus, Peter I</t>
  </si>
  <si>
    <t>Nurse's Communication Advantage : How Business Savvy Communication Can Advance Your Nursing Career</t>
  </si>
  <si>
    <t>Pagana, Kathleen Deska</t>
  </si>
  <si>
    <t>The Nurse’s Social Media Advantage: How Making Connections and Sharing Ideas Can Enhance Your Nursing Practice</t>
  </si>
  <si>
    <t>Fraser, Robert</t>
  </si>
  <si>
    <t>When Nurses Hurt Nurses : Recognizing and Overcoming the Cycle of Nurse Bullying</t>
  </si>
  <si>
    <t>Dellasega, Cheryl</t>
  </si>
  <si>
    <t>Volunteering at Home and Abroad : The Essential Guide for Nurses</t>
  </si>
  <si>
    <t>Leffers, Jeanne; Plotnick, Julia</t>
  </si>
  <si>
    <t>Implementing Evidence-Based Practice : Real-Life Success Stories</t>
  </si>
  <si>
    <t>Mazurek Melnyk, Bernadette; Fineout-Overholt, Ellen</t>
  </si>
  <si>
    <t>Mastering Precepting: A Nurse’s Handbook for Success</t>
  </si>
  <si>
    <t>Ulrich, Beth; Sigma Theta Tau International Staff</t>
  </si>
  <si>
    <t>The Nurse’s GrantWriting Advantage: How Grantwriting Can Advance Your Nursing Career</t>
  </si>
  <si>
    <t>Bowers-Lanier, Rebecca</t>
  </si>
  <si>
    <t>Literature; Social Science</t>
  </si>
  <si>
    <t>Nursing Ethics in Everyday Practice : A Step-By-Step Guide</t>
  </si>
  <si>
    <t>Ulrich, Connie M.</t>
  </si>
  <si>
    <t>Reflective Practice: Transforming Education and Improving Outcomes</t>
  </si>
  <si>
    <t>Sherwood, Gwen; Horton-Deutsch, Sara; Horton -Deutsch, Sara</t>
  </si>
  <si>
    <t>Fostering Nurse-Led Care : Professional Practice for the Bedside Leader from Massachusetts General Hospital</t>
  </si>
  <si>
    <t>Erickson, Jeanette Ives; Jones, Dorothy A.; Ditomassi, Marianne</t>
  </si>
  <si>
    <t>Nurse Manager's Guide to an Intergenerational Workforce</t>
  </si>
  <si>
    <t>Clipper, Bonnie</t>
  </si>
  <si>
    <t>Landing Your Perfect Nursing Job</t>
  </si>
  <si>
    <t>Thomas, Lisa Mauri</t>
  </si>
  <si>
    <t>Daybook for Nurse Educators</t>
  </si>
  <si>
    <t>Pakieser-Reed, Katherine; Sigma Theta Tau International Staff</t>
  </si>
  <si>
    <t>Daybook for Beginning Nurses</t>
  </si>
  <si>
    <t>Cardillo, Donna Wilk; Sigma Theta Tau International Staff</t>
  </si>
  <si>
    <t>A Daybook for Nurse Leaders and Mentors</t>
  </si>
  <si>
    <t>Sigma, Theta Tau International</t>
  </si>
  <si>
    <t>Nurse Manager's Guide to Innovative Staffing</t>
  </si>
  <si>
    <t>Mensik, Jennifer</t>
  </si>
  <si>
    <t>The Nurse's Reality Gap : Overcoming Barriers Between Academic Achievement and Clinical Success</t>
  </si>
  <si>
    <t>Neal-Boylan, Leslie; Sigma Theta Tau International Staff</t>
  </si>
  <si>
    <t>Claiming the Corner Office: Executive Leadership Lessons for Nurses</t>
  </si>
  <si>
    <t>Curran, Connie; Fitzpatrick, Therese</t>
  </si>
  <si>
    <t>Toxic Nursing: Managing Bullying, Bad Attitudes, and Total Turmoil</t>
  </si>
  <si>
    <t>Dellasega, Cheryl; Volpe, Rebecca L</t>
  </si>
  <si>
    <t>Man Up! : A Practical Guide for Men in Nursing</t>
  </si>
  <si>
    <t>Coleman, Christopher Lance</t>
  </si>
  <si>
    <t>Night Shift Nursing: Savvy Solutions for a Healthy Lifestyle</t>
  </si>
  <si>
    <t>The State of Nursing and Nursing Education in Africa: A Country-by-Country Review</t>
  </si>
  <si>
    <t>Klopper, Hester; Uys, Leana</t>
  </si>
  <si>
    <t>Whole Person Care : An Interprofessional Model for Healing and Wellness</t>
  </si>
  <si>
    <t>Thornton, Lucia</t>
  </si>
  <si>
    <t>Leading Valiantly in Healthcare: Four Steps to Sustainable Success</t>
  </si>
  <si>
    <t>Robinson-Walker, Catherine</t>
  </si>
  <si>
    <t>Clinical Research Manual : Practical Tools and Templates for Managing Clinical Research</t>
  </si>
  <si>
    <t>Cavalieri, R. Jennifer; Rupp, Mark E.; Sigma Theta Tau International Staff</t>
  </si>
  <si>
    <t>Mentoring Today’s Nurses: A Global Perspective for Success</t>
  </si>
  <si>
    <t>Baxley, Susan M.; Ibitayo, Kristina S.; Bond, Mary Lou; Sigma Theta Tau International,</t>
  </si>
  <si>
    <t>Mastering Simulation: A Handbook for Success</t>
  </si>
  <si>
    <t>Ulrich, Beth; Mancini, Mary E.</t>
  </si>
  <si>
    <t>Accelerate Your Career in Nursing: A guide to professional advancement and recognition</t>
  </si>
  <si>
    <t>Phillips, Janice; Boivin, Janet</t>
  </si>
  <si>
    <t>The Nerdy Nurse's Guide to Technology</t>
  </si>
  <si>
    <t>Wilson, Brittney</t>
  </si>
  <si>
    <t>Anatomy of Research for Nurses</t>
  </si>
  <si>
    <t>Hedges, Christine; Williams, Barbara</t>
  </si>
  <si>
    <t>Anatomy of Writing for Publication for Nurses</t>
  </si>
  <si>
    <t>Saver, Cynthia; Sigma Theta Tau International,</t>
  </si>
  <si>
    <t>Transforming Interprofessional Partnerships : A New Framework for Nursing and Partnership-Based Health Care</t>
  </si>
  <si>
    <t>Eisler, Riane; Potter, Teddie M.; Sigma Theta Tau International Staff</t>
  </si>
  <si>
    <t>Staff Educator's Guide to Clinical Orientation : Onboarding Solutions for Nurses</t>
  </si>
  <si>
    <t>Jeffery, Alvin D.; Jarvis, Robin L.; Sigma Theta Tau International Staff</t>
  </si>
  <si>
    <t>Population-Based Public Health Nursing Clinical Manual : The Henry Street Model for Nurses</t>
  </si>
  <si>
    <t>Garcia, Carolyn; Schaffer, Marjorie; Schoon, Patricia</t>
  </si>
  <si>
    <t>To Comfort Always a Nurse's Guide to End-of-Life Care</t>
  </si>
  <si>
    <t>Norlander, Linda</t>
  </si>
  <si>
    <t>Person and Family Centered Care</t>
  </si>
  <si>
    <t>Barnsteiner, Jane; Disch, Joanne; Walton, Mary</t>
  </si>
  <si>
    <t>Critical Conversations in Healthcare Scripts &amp; Techniques for Effective Interprofessional &amp; Patient Communication</t>
  </si>
  <si>
    <t>Clancy, Cheri</t>
  </si>
  <si>
    <t>B is for Balance : A Nurse’s Guide to Caring for Yourself at Work and at Home</t>
  </si>
  <si>
    <t>Weinstein, Sharon</t>
  </si>
  <si>
    <t>Business Administration for Clinical Trials: Managing Research, Strategy, Finance, Regulation, and Quality</t>
  </si>
  <si>
    <t>Cavalieri, R. Jennifer; Rupp, Mark E.</t>
  </si>
  <si>
    <t>The Nurse's Reality Shift: Using History to Transform the Future</t>
  </si>
  <si>
    <t>Mastering Pharmacogenomics: A Nurse’s Handbook for Success</t>
  </si>
  <si>
    <t>Halsey Lea, Dale; Cheek, Dennis J.; Brazeau, Daniel; Brazeau, Gayle</t>
  </si>
  <si>
    <t>Mastering Informatics: A Healthcare Handbook for Success</t>
  </si>
  <si>
    <t>Sengstack, Patricia; Boicey, Charles</t>
  </si>
  <si>
    <t>Fostering Clinical Success:Using Clinical Narratives for Interprofessional Team Partnerships From Massachusetts General</t>
  </si>
  <si>
    <t>Ives Erickson, Jeanette; Ditomassi, Marianne; Sabia, Susan; Smith, Mary Ellin</t>
  </si>
  <si>
    <t>A Nurse's Step-By-Step Guide to Writing Your Dissertation or Capstone</t>
  </si>
  <si>
    <t>Roush, Karen; Sigma Theta Tau International,</t>
  </si>
  <si>
    <t>Breast Cancer Sourcebook</t>
  </si>
  <si>
    <t>Omnigraphics</t>
  </si>
  <si>
    <t>Bellenir, Karen</t>
  </si>
  <si>
    <t>Multiple Myeloma : A Textbook for Nurses</t>
  </si>
  <si>
    <t>Oncology Nursing Society</t>
  </si>
  <si>
    <t>Tariman, Joseph D.; Oncology Nursing Society Staff</t>
  </si>
  <si>
    <t>Cancer Basics</t>
  </si>
  <si>
    <t>Eggert, Julie; Oncology Nursing Society Staff</t>
  </si>
  <si>
    <t>Principles of Skin Care and the Oncology Patient</t>
  </si>
  <si>
    <t>Haas, Marliyn L.; Moore-Higgs, Giselle J.</t>
  </si>
  <si>
    <t>Chemotherapy and Biotherapy Scenarios</t>
  </si>
  <si>
    <t>Saria, Marlon Garzo; Oncology Nursing Society Staff</t>
  </si>
  <si>
    <t>Manual for Clinical Trials Nursing</t>
  </si>
  <si>
    <t>Bacon, Monica; Klimaszewski, Angela; Deininger, Heidi; Ford, B.A. ; Westendorp, J.G.</t>
  </si>
  <si>
    <t>Putting Evidence into Practice : Improving Oncology Patient Outcomes</t>
  </si>
  <si>
    <t>Eaton, Linda; Tipton, Janelle</t>
  </si>
  <si>
    <t>Advanced Oncology Nursing Certification Review and Resource Manual</t>
  </si>
  <si>
    <t>Holmes Gobel, Barbara; Triest-Robertson, Shirley; Vogel, Wendy</t>
  </si>
  <si>
    <t>CAF Excellence Model for Health Care Organisations - 2013</t>
  </si>
  <si>
    <t>Benchmarking</t>
  </si>
  <si>
    <t>Heino, Juha; Tuominen, Kari; Malmberg, Lasse</t>
  </si>
  <si>
    <t>Excellence Framework for Health Care Organizations</t>
  </si>
  <si>
    <t>Tuominen, Kari; Malmberg, Lasse; Heino, Juha</t>
  </si>
  <si>
    <t>Occupational Health and Safety - OHSAS 18001 : 2007 - Part 5</t>
  </si>
  <si>
    <t>Tuominen, Kari; Korhonen, Eero; Moisio, Jussi</t>
  </si>
  <si>
    <t>EFQM Excellence Model for Health Care Organisations - EFQM 2013</t>
  </si>
  <si>
    <t>Well-being at Work - Excellence Criteria - EFQM 2013</t>
  </si>
  <si>
    <t>Tuominen, Kari; Malmberg, Lasse; Parvinen, Arvi</t>
  </si>
  <si>
    <t>Baldrige Criteria for Health Care Organizations - 2013-14</t>
  </si>
  <si>
    <t>Fungal Disease in Britain and the United States 1850-2000 : Mycoses and Modernity</t>
  </si>
  <si>
    <t>Palgrave Macmillan Limited</t>
  </si>
  <si>
    <t>Homei, Aya; Worboys, Michael</t>
  </si>
  <si>
    <t>Working with People with Learning Disabilities and Offending Behaviour : A Handbook</t>
  </si>
  <si>
    <t>Pavilion Publishing</t>
  </si>
  <si>
    <t>Chaplin, Eddie; Henry, Jayne; Hardy, Steve</t>
  </si>
  <si>
    <t>Voicing Psychotic Experiences : A Reconsideration ofRecovery and Diversity</t>
  </si>
  <si>
    <t>Chandler, Ruth; Hayward, Mark</t>
  </si>
  <si>
    <t>Older People's Mental Health Today : A Handbook</t>
  </si>
  <si>
    <t>Williamson, Toby</t>
  </si>
  <si>
    <t>Strength, Support, Setbacks and Solutions : The Developmental Pathway To Addiction Recovery</t>
  </si>
  <si>
    <t>Pavilion</t>
  </si>
  <si>
    <t>Best, David</t>
  </si>
  <si>
    <t>Diploma in Child Health : A Practical Study Guide : Volume 1</t>
  </si>
  <si>
    <t>Paul, Siba Prosad; Bandaranayake, Geethika; Bandaranayake, Geethika</t>
  </si>
  <si>
    <t>Diploma in Child Health : A Practical Study Guide : Volume 2</t>
  </si>
  <si>
    <t>Caring for Challenging Patients and Family Members</t>
  </si>
  <si>
    <t>PESI HealthCare</t>
  </si>
  <si>
    <t>Kravitz, S. Michael; Schubert, Susan D.</t>
  </si>
  <si>
    <t>Black Death</t>
  </si>
  <si>
    <t>Pocket Essentials</t>
  </si>
  <si>
    <t>Martin, Sean</t>
  </si>
  <si>
    <t>Menopause and Culture</t>
  </si>
  <si>
    <t>Pluto Press</t>
  </si>
  <si>
    <t>Berger, Gabriella E.</t>
  </si>
  <si>
    <t>A Doctor in Galilee : The Life and Struggle of a Palestinian in Israel</t>
  </si>
  <si>
    <t>Kanaaneh, Hatim; Cook, Jonathan</t>
  </si>
  <si>
    <t>Hunger Watch Report 2007-08 : The Justice of Eating - the Struggle for Food and Dignity in Recent Humanitarian Crises</t>
  </si>
  <si>
    <t>Action Against Hunger; Hauenstein Swan, Samuel; Vaitla, Bapu</t>
  </si>
  <si>
    <t>The Power of Pills : Social, Ethical and Legal Issues in Drug Development, Marketing and Pricing</t>
  </si>
  <si>
    <t>Cohen, Jillian Clare; Illingworth, Patricia; Schuklenk, Udo</t>
  </si>
  <si>
    <t>The Politics of Prevention : A Global Crisis in AIDS and Education</t>
  </si>
  <si>
    <t>Boler, Tania; Archer, David</t>
  </si>
  <si>
    <t>Hope Amidst Despair : HIV/AIDS-Affected Children in Sub-Saharan Africa</t>
  </si>
  <si>
    <t>Grannis, Susanna W.</t>
  </si>
  <si>
    <t>Children of AIDS : Africa’s Orphan Crisis</t>
  </si>
  <si>
    <t>Guest, Emma</t>
  </si>
  <si>
    <t>Dioxin War : Truth and Lies About a Perfect Poison</t>
  </si>
  <si>
    <t>Allen, Robert</t>
  </si>
  <si>
    <t>Thurlbeck's Chronic Airflow Obstruction</t>
  </si>
  <si>
    <t>B. C. Decker Incorporated</t>
  </si>
  <si>
    <t>Thurlbeck, William M.; Wright, Joanne L.</t>
  </si>
  <si>
    <t>Imaging of Diffuse Lung Disease</t>
  </si>
  <si>
    <t>Lynch, David A.; Newell, John D.; Lee, Jin Seong</t>
  </si>
  <si>
    <t>Rheumatoid Arthritis FAQs</t>
  </si>
  <si>
    <t>Newman, Eric; Matzko, Cynthia</t>
  </si>
  <si>
    <t>Advanced Therapy of Prostate Disease</t>
  </si>
  <si>
    <t>Resnick, Martin I.; Thompson, Ian M.</t>
  </si>
  <si>
    <t>Development of the Gastrointestinal Tract</t>
  </si>
  <si>
    <t>Sanderson, Ian R.; Walker, W. Allan</t>
  </si>
  <si>
    <t>Depression FAQs</t>
  </si>
  <si>
    <t>Paolucci, Susan L.; Paolucci, Stephen J.; Buckley, Sandra A.</t>
  </si>
  <si>
    <t>Evidence-Based Surgery</t>
  </si>
  <si>
    <t>Gordon, Toby; Cameron, John L.</t>
  </si>
  <si>
    <t>Low Back Pain FAQs</t>
  </si>
  <si>
    <t>Gutknecht, David</t>
  </si>
  <si>
    <t>Pediatric Obesity FAQs</t>
  </si>
  <si>
    <t>Cochran, William</t>
  </si>
  <si>
    <t>Adult Obesity FAQs</t>
  </si>
  <si>
    <t>Still, Christopher Doubet</t>
  </si>
  <si>
    <t>Menopause FAQs</t>
  </si>
  <si>
    <t>Weber, Valerie</t>
  </si>
  <si>
    <t>Nutrition in Pediatrics : Basic Science, Clinical Applications</t>
  </si>
  <si>
    <t>PMPH USA, Ltd.</t>
  </si>
  <si>
    <t>Duggan, Christopher; Walker, W. Allan; Watkins, John B.</t>
  </si>
  <si>
    <t>Ballenger's Otolaryngology : Head and Neck Surgery (17th Edition)</t>
  </si>
  <si>
    <t>Snow, James B.; Wackym, P. Ashley; Snow, James B.</t>
  </si>
  <si>
    <t>PDQ Statistics (3rd Edition)</t>
  </si>
  <si>
    <t>Norman, Geoffrey R.; Streiner, David L.</t>
  </si>
  <si>
    <t>Manual of Pediatric Intensive Care</t>
  </si>
  <si>
    <t>Kirpalani, Haresh N.; Huang, Lennox K.; Kirpalani, Haresh M. ; Huang, Lennox H.</t>
  </si>
  <si>
    <t>Fisher's Contact Dermatitis</t>
  </si>
  <si>
    <t>Rietschel, Robert L.; Fowler, Joseph F.</t>
  </si>
  <si>
    <t>Renal Cell Carcinoma</t>
  </si>
  <si>
    <t>Rini, Brian I.; Campbell, Steven C.</t>
  </si>
  <si>
    <t>Manual of Travel Medicine and Health (3rd Edition)</t>
  </si>
  <si>
    <t>Steffen, Robert; DuPont, Herbert L.; Wilder-Smith, Annelies</t>
  </si>
  <si>
    <t>PDQ Endodontics (2nd Edition)</t>
  </si>
  <si>
    <t>Ingle, John I.</t>
  </si>
  <si>
    <t>Travelers' Diarrhea  (2nd Edition)</t>
  </si>
  <si>
    <t>Ericsson, Charles D.; DuPont, Herbert L.; Steffen, Robert</t>
  </si>
  <si>
    <t>Heart's Vortex : Intracardiac Blood Flow Phenomena</t>
  </si>
  <si>
    <t>Pasipoularides, Ares</t>
  </si>
  <si>
    <t>Vascular Surgery : Therapeutic Strategies</t>
  </si>
  <si>
    <t>Eskandari, Mark K.; Morasch, Mark D.; Yao, Magerstadt Professor of Surgery Division of Vascular Surgery James S T</t>
  </si>
  <si>
    <t>Chronic Obstructive Lung Disease</t>
  </si>
  <si>
    <t>Voelkel, Norbert F.; MacNee, William</t>
  </si>
  <si>
    <t>Essential Tissue Healing of the Face and Neck</t>
  </si>
  <si>
    <t>Hom, David B.; Hebda, Patricia A.; Gosain, Arun K.</t>
  </si>
  <si>
    <t>PDQ Evidence-Based Principles and Practice (2nd Edition)</t>
  </si>
  <si>
    <t>McKibbon, Ann; Wilczynski, Nancy</t>
  </si>
  <si>
    <t>Medical Care of Cancer Patients</t>
  </si>
  <si>
    <t>Yueng, Sai-Ching Jim; Escalante, Carmen P.; Gagel, Robert F.</t>
  </si>
  <si>
    <t>PDQ Epidemiology (3rd Edition)</t>
  </si>
  <si>
    <t>Streiner, David L.; Norman, Geoffrey R.</t>
  </si>
  <si>
    <t>Travelers' Malaria (2nd Edition)</t>
  </si>
  <si>
    <t>Schalgenahauf-Lawlor, Patricia</t>
  </si>
  <si>
    <t>Evidence-Based Cardiology Practice</t>
  </si>
  <si>
    <t>Hu, Dayi; Nguyen, Thach</t>
  </si>
  <si>
    <t>EUS Pathology with Digital Anatomy Correlation</t>
  </si>
  <si>
    <t>Bhutani, Manoop S.; Deutsch, John C.</t>
  </si>
  <si>
    <t>Burket's Oral Medicine (11th Edition)</t>
  </si>
  <si>
    <t>Greenberg, Martin S.; Glick, Michael; Ship, Jonathan A.</t>
  </si>
  <si>
    <t>Current Management in Child Neurology</t>
  </si>
  <si>
    <t>Maria, Bernard L.</t>
  </si>
  <si>
    <t>Advanced Therapy in Epilepsy</t>
  </si>
  <si>
    <t>Wheless, James W.; Willmore, L. James; Brumback, Roger A.</t>
  </si>
  <si>
    <t>Manual of Neonatal Surgical Intensive Care (2nd Edition)</t>
  </si>
  <si>
    <t>Hansen, Anne R.; Puder, Mark</t>
  </si>
  <si>
    <t>Physical Examination of the Heart and Circulation (4th Edition)</t>
  </si>
  <si>
    <t>Perloff, Joseph K.; Perloff, Joseph K</t>
  </si>
  <si>
    <t>Guidelines for Antithrombotic Therapy (8th Edition)</t>
  </si>
  <si>
    <t>Hirsh, Jack</t>
  </si>
  <si>
    <t>Molecular Imaging</t>
  </si>
  <si>
    <t>Weissleder, Ralph; Ross, Brian D.; Rehemtulla, Alnawaz</t>
  </si>
  <si>
    <t>Hospitalist Manual</t>
  </si>
  <si>
    <t>Mehta, Manish; Mathew, Arun</t>
  </si>
  <si>
    <t>Cranial Nerves in Health and Disease (2nd Edition)</t>
  </si>
  <si>
    <t>Wilson-Pauwels, Linda; Akesson, Elizabeth J</t>
  </si>
  <si>
    <t>Walker's Pediatric Gastrointestinal Disease (5th Edition)</t>
  </si>
  <si>
    <t>Kleinman, Ronald E.; Goulet, Olivier J.; Mieli-Vergani, Giogina; Shneider, Benjamin L.</t>
  </si>
  <si>
    <t>Headache in Children and Adolescents (2nd Edition)</t>
  </si>
  <si>
    <t>Winner, Paul; Lewis, Donald W.; Rothner, A. David</t>
  </si>
  <si>
    <t>Surgery of the Cerebellopontine Angle</t>
  </si>
  <si>
    <t>Bambakidis, Nicholas C.; Mgerian, Cliff A.; Spetzler, Robert F.</t>
  </si>
  <si>
    <t>Herb-Drug Interactions in Oncology (2nd Edition)</t>
  </si>
  <si>
    <t>Cassileth, Barrie R.; Yueng, K. Simon; Gubli, Jyothirmai</t>
  </si>
  <si>
    <t>Manual of Pediatric Nutrition</t>
  </si>
  <si>
    <t>PMPH-USA, Ltd.</t>
  </si>
  <si>
    <t>Sonneville, Kendrin; Duggan, Christopher</t>
  </si>
  <si>
    <t>Conquering Irritable Bowel Syndrome</t>
  </si>
  <si>
    <t>Talley, Nicholas J.</t>
  </si>
  <si>
    <t>Hall's Critical Decisions in Periodontology</t>
  </si>
  <si>
    <t>Harpenau, Lisa A.; Kao, Richard T.; Lundergan, William P.; Sanz, Mariano</t>
  </si>
  <si>
    <t>Minimally Invasive Maxillofacial Surgery</t>
  </si>
  <si>
    <t>Troulis, Mark J.; Kaban, Leonard B.; Troulis, Mark J; Kaban, Leonard B</t>
  </si>
  <si>
    <t>Evidence- Based Clinical Reasonsing in Medicine</t>
  </si>
  <si>
    <t>Brown, Thomas; Shah, Sonali</t>
  </si>
  <si>
    <t>Essential Hypertension</t>
  </si>
  <si>
    <t>Cruickshank, John Malcolm; Cruickshank, John Malcolm</t>
  </si>
  <si>
    <t>Current Vascular Surgery 2013</t>
  </si>
  <si>
    <t>Eskandari, Mark K.; Pearce, William H.; Yao, James S. T.</t>
  </si>
  <si>
    <t>Aesthetic Surgery of the Forehead and Upper Third of the Face : Aesthetic Surgery of the Forehead and Upper Third of the Face</t>
  </si>
  <si>
    <t>People's Medical Publishing House</t>
  </si>
  <si>
    <t>Scalfini, Anthony; Thomas, J. Regan</t>
  </si>
  <si>
    <t>Image Guided Radiation Therapy : A Clinical Perspective</t>
  </si>
  <si>
    <t>Mundt, Arno; Roeske, John</t>
  </si>
  <si>
    <t>Rhinoplasty : Rhinoplasty</t>
  </si>
  <si>
    <t>Perkins, Stephen; Thomas, J. Regan</t>
  </si>
  <si>
    <t>Contemporary Vascular Surgery</t>
  </si>
  <si>
    <t>Eskandari, Mark; Pearce, William; Yao, James</t>
  </si>
  <si>
    <t>Ethical Decision Making in Dentistry</t>
  </si>
  <si>
    <t>Stucki-McCormick, Suzanne</t>
  </si>
  <si>
    <t>Advanced Therapy in Inflammatory Bowel Disease, Volume 2 : Crohn´s Disease</t>
  </si>
  <si>
    <t>Bayless, Theodore; Hanauer, Stephen</t>
  </si>
  <si>
    <t>Clinical Outline of Oral Pathology : Diagnosis and Treatment</t>
  </si>
  <si>
    <t>Eversole, Lewis</t>
  </si>
  <si>
    <t>HIV/AIDS in the Post-HAART Era : Manifestations, Treatment, Epidemiology</t>
  </si>
  <si>
    <t>Hall, John; Hall, Brian; Cockerell, Clay</t>
  </si>
  <si>
    <t>Surgery : Evidence-Based Practice</t>
  </si>
  <si>
    <t>Aesthetic Otoplasty : Aesthetic Otoplasty</t>
  </si>
  <si>
    <t>Adamson, Peter; Litner, Jason; Thomas, J. Regan</t>
  </si>
  <si>
    <t>Facial Soft Tissue Reconstruction : Facial Soft Tissue Reconstruction</t>
  </si>
  <si>
    <t>Branham, Gregory; Thomas, J. Regan</t>
  </si>
  <si>
    <t>Blepharoplasty : Blepharoplasty</t>
  </si>
  <si>
    <t>Papel, Ira; Thomas, J. Regan</t>
  </si>
  <si>
    <t>Prehospital Care : Pearls and Pitfalls</t>
  </si>
  <si>
    <t>Pons, Peter; Markovchick, Vincent</t>
  </si>
  <si>
    <t>Current Vascular Surgery 2012</t>
  </si>
  <si>
    <t>Advanced Therapy in Inflammatory Bowel Disease, Volume 1 : IBD and Ulcerative Colitis</t>
  </si>
  <si>
    <t>Management of Medical Disorders in Pregnancy</t>
  </si>
  <si>
    <t>Cohen, Wayne; August, Phyllis</t>
  </si>
  <si>
    <t>Antibiotic Manual : A Guide to Commonly Used Antimicrobials</t>
  </si>
  <si>
    <t>Schlossberg, David; Samuel, Rafik; Samuel, Rafik</t>
  </si>
  <si>
    <t>Atlas of Travel Medicine and Health</t>
  </si>
  <si>
    <t>Chiodini, Jane; Boyne, Lorna</t>
  </si>
  <si>
    <t>Non-Invasive Cosmetic Procedures : Non-Invasive Cosmetic Procedures</t>
  </si>
  <si>
    <t>Koch, James; Thomas, J. Regan</t>
  </si>
  <si>
    <t>Cutaneous Lymphoma : Diagnosis and Treatment</t>
  </si>
  <si>
    <t>Hall, John; Hall, Brian</t>
  </si>
  <si>
    <t>Facelift : Facelift</t>
  </si>
  <si>
    <t>Thomas, J. Regan</t>
  </si>
  <si>
    <t>Pulmonary Hypertension : The Present and Future</t>
  </si>
  <si>
    <t>Voelkel, Norbert</t>
  </si>
  <si>
    <t>Inside Public Psychiatry</t>
  </si>
  <si>
    <t>Jacobs, Shelby</t>
  </si>
  <si>
    <t>Endovascular Technology</t>
  </si>
  <si>
    <t>Eskandari, Mark; Morasch, Mark; Pearce, William</t>
  </si>
  <si>
    <t>Burket's Oral Medicine</t>
  </si>
  <si>
    <t>Glick, Micheal</t>
  </si>
  <si>
    <t>Diabetes in Pregnancy Dilemma</t>
  </si>
  <si>
    <t>Langer, Oded</t>
  </si>
  <si>
    <t>Creating Moments of Joy for the Person with Alzheimers or Dementia : A Journal for Caregivers</t>
  </si>
  <si>
    <t>Brackey, Jolene</t>
  </si>
  <si>
    <t>Maternal and Infant Deaths : Chasing Millennium Development Goals 4 and 5</t>
  </si>
  <si>
    <t>Royal College of Obstetricians and Gynaecologists</t>
  </si>
  <si>
    <t>Kehoe, Sean; Neilson, James P; Norman, Jane E</t>
  </si>
  <si>
    <t>Current Management of Polycystic Ovary Syndrome</t>
  </si>
  <si>
    <t>Balen, Adam; Franks, Stephen; Homburg, Roy; Kehoe, Sean</t>
  </si>
  <si>
    <t>Psychological Disorders in Obstetrics and Gynaecology</t>
  </si>
  <si>
    <t>Ismail, Khaled MK; Crome, Ilana; O'Brien, PM Shaugh</t>
  </si>
  <si>
    <t>Rees, Margaret</t>
  </si>
  <si>
    <t>Medical Genetics</t>
  </si>
  <si>
    <t>Connor J Michael</t>
  </si>
  <si>
    <t>Gynaecological Ultrasound in Clinical Practice : Ultrasound Imaging in the Management of Gynaecological Conditions</t>
  </si>
  <si>
    <t>Jurkovic, Davor; Valentin, Lil; Vyas, Sanjay</t>
  </si>
  <si>
    <t>Paediatric and Adolescent Gynaecology</t>
  </si>
  <si>
    <t>Garden, Anne; Hernon, Mary; Topping, Joanne</t>
  </si>
  <si>
    <t>Haemorrhage and Thrombosis</t>
  </si>
  <si>
    <t>Harper, Ann</t>
  </si>
  <si>
    <t>Gynaecological and Obstetric Pathology</t>
  </si>
  <si>
    <t>Wells, Michael; Buckley, Hilary; Fox, Harold</t>
  </si>
  <si>
    <t>Acheson, Nigel; Luesley, David</t>
  </si>
  <si>
    <t>Reproductive Endocrinology</t>
  </si>
  <si>
    <t>Balen, Adam</t>
  </si>
  <si>
    <t>Management of Infertility</t>
  </si>
  <si>
    <t>Bhattacharya, Siladitya; Hamilton, Mark</t>
  </si>
  <si>
    <t>MRCOG : A Guide to the Examination</t>
  </si>
  <si>
    <t>Ledger, William L; Murphy, Michael G</t>
  </si>
  <si>
    <t>The Principles and Practice of Antiaging Medicine for the Clinical Physician</t>
  </si>
  <si>
    <t>River Publishers</t>
  </si>
  <si>
    <t>Giampapa, Vincent C.</t>
  </si>
  <si>
    <t>Change and Reform in Medicine and Health Education in China - A Teaching Staffs Perspective</t>
  </si>
  <si>
    <t>Du, Xiangyun; Shi, Jiannong; Zhao, Yuhong</t>
  </si>
  <si>
    <t>Motor Disorders : Third Edition</t>
  </si>
  <si>
    <t>Rothstein Associates, Incorporated</t>
  </si>
  <si>
    <t>Younger, David; Noakes-Fry, Kristen</t>
  </si>
  <si>
    <t>Experimental Endocrinology and Reproductive Biology</t>
  </si>
  <si>
    <t>Science Publishers</t>
  </si>
  <si>
    <t>Haldar, Chandana; Singaravel, M.; Pandi-Perumal, S.R.; Cardinali, Daniel P.</t>
  </si>
  <si>
    <t>Compendia of World's Medicinal Flora</t>
  </si>
  <si>
    <t>Singh, Amritpal</t>
  </si>
  <si>
    <t>Pharmacy; Science: Botany; Medicine; Science</t>
  </si>
  <si>
    <t>Biomaterials from Aquatic and Terrestrial Organisms</t>
  </si>
  <si>
    <t>Fingerman, Milton; Nagabhushanam, Rachakonda</t>
  </si>
  <si>
    <t>Liver Diseases : Biochemical Mechanisms and New Therapeutic Insights</t>
  </si>
  <si>
    <t>Ali, Shakir; Friedman, Scott L.; Mann, Derek A.</t>
  </si>
  <si>
    <t>Fighting for Our Health : The Epic Battle to Make Health Care a Right in the United States</t>
  </si>
  <si>
    <t>State University of New York Press</t>
  </si>
  <si>
    <t>Kirsch, Richard</t>
  </si>
  <si>
    <t>Governing the Female Body : Gender, Health, and Networks of Power</t>
  </si>
  <si>
    <t>Reed, Lori; Saukko, Paula</t>
  </si>
  <si>
    <t>Integral Psychotherapy : Inside Out/Outside In</t>
  </si>
  <si>
    <t>Ingersoll, R. Elliott; Zeitler, David M.</t>
  </si>
  <si>
    <t>Integral Psychotherapy : Complexity, Integration, and Spirituality in Practice</t>
  </si>
  <si>
    <t>Forman, Mark D.</t>
  </si>
  <si>
    <t>Holotropic Breathwork : A New Approach to Self-Exploration and Therapy</t>
  </si>
  <si>
    <t>Grof, Stanislav; Grof, Christina; Kornfield, Jack</t>
  </si>
  <si>
    <t>Psychotherapy of Love : Psychosynthesis in Practice</t>
  </si>
  <si>
    <t>Firman, John; Gila, Ann</t>
  </si>
  <si>
    <t>Future of Psychoanalysis</t>
  </si>
  <si>
    <t>Chessick, Richard D.</t>
  </si>
  <si>
    <t>Dying to Teach : A Memoir of Love, Loss, and Learning</t>
  </si>
  <si>
    <t>Berman, Jeffrey</t>
  </si>
  <si>
    <t>Taking America off Drugs : Why Behavioral Therapy Is More Effective for Treating ADHD, OCD, Depression, and Other Psychological Problems</t>
  </si>
  <si>
    <t>Flora, Stephen Ray</t>
  </si>
  <si>
    <t>Empathic Ground : Intersubjectivity and Nonduality in the Psychotherapeutic Process</t>
  </si>
  <si>
    <t>Blackstone, Judith</t>
  </si>
  <si>
    <t>Integral Psychotherapy : The Meeting of East and West</t>
  </si>
  <si>
    <t>Cortright, Brant</t>
  </si>
  <si>
    <t>Negotiating the Holistic Turn : The Domestication of Alternative Medicine</t>
  </si>
  <si>
    <t>Fadlon, Judith</t>
  </si>
  <si>
    <t>Solving the Health Care Problem : How Other Nations Succeeded and Why the United States Has Not</t>
  </si>
  <si>
    <t>Behan, Pamela</t>
  </si>
  <si>
    <t>Hospital Transports : A Memoir of the Embarkation of the Sick and Wounded from the Peninsula of Virginia in the Summer of 1862</t>
  </si>
  <si>
    <t>Behling, Laura L.</t>
  </si>
  <si>
    <t>Sites of Autopsy in Contemporary Culture</t>
  </si>
  <si>
    <t>Klaver, Elizabeth</t>
  </si>
  <si>
    <t>Tainted Milk : Breastmilk, Feminisms, and the Politics of Environmental Degradation</t>
  </si>
  <si>
    <t>Boswell-Penc, Maia</t>
  </si>
  <si>
    <t>Nervous Conditions : Science and the Body Politic in Early Industrial Britain</t>
  </si>
  <si>
    <t>Green Musselman, Elizabeth</t>
  </si>
  <si>
    <t>End of Modern Medicine : Biomedical Science under a Microscope</t>
  </si>
  <si>
    <t>Foss, Laurence</t>
  </si>
  <si>
    <t>Idioms of Distress : Psychosomatic Disorders in Medical and Imaginative Literature</t>
  </si>
  <si>
    <t>Furst, Lilian R.</t>
  </si>
  <si>
    <t>Measured Meals : Nutrition in America</t>
  </si>
  <si>
    <t>Mudry, Jessica J.</t>
  </si>
  <si>
    <t>Medical Progress and Social Reality : A Reader in Nineteenth-Century Medicine and Literature</t>
  </si>
  <si>
    <t>Policy Making at the Margins of Government : The Case of the Israeli Health System</t>
  </si>
  <si>
    <t>Zalmanovitch, Yair</t>
  </si>
  <si>
    <t>Ottoman Medicine : Healing and Medical Institutions, 1500-1700</t>
  </si>
  <si>
    <t>Shefer-Mossensohn, Miri</t>
  </si>
  <si>
    <t>Mapping the Victorian Social Body</t>
  </si>
  <si>
    <t>Gilbert, Pamela K.</t>
  </si>
  <si>
    <t>Nurse Educators and Politics</t>
  </si>
  <si>
    <t>Koff, Sondra Z.</t>
  </si>
  <si>
    <t>Mediating Effect of Public Opinion on Public Policy : Exploring the Realm of Health Care</t>
  </si>
  <si>
    <t>Chard, Richard E.</t>
  </si>
  <si>
    <t>Signifying Pain : Constructing and Healing the Self Through Writing</t>
  </si>
  <si>
    <t>Harris, Judith</t>
  </si>
  <si>
    <t>Diagnosis for Our Times : Alternative Health, from Lifeworld to Politics</t>
  </si>
  <si>
    <t>Schneirov, Matthew; Geczik, Jonathan David</t>
  </si>
  <si>
    <t>AIDS and American Apocalypticism : The Cultural Semiotics of an Epidemic</t>
  </si>
  <si>
    <t>Long, Thomas L.</t>
  </si>
  <si>
    <t>Somatic Lessons : Narrating Patienthood and Illness in Indian Medical Literature</t>
  </si>
  <si>
    <t>Cerulli, Anthony</t>
  </si>
  <si>
    <t>Religious Understandings of a Good Death in Hospice Palliative Care</t>
  </si>
  <si>
    <t>Coward, Harold; Stajduhar, Kelli I.; Stajduhar, Kelli I.</t>
  </si>
  <si>
    <t>Rethinking Autonomy : A Critique of Principlism in Biomedical Ethics</t>
  </si>
  <si>
    <t>Traphagan, John W.</t>
  </si>
  <si>
    <t>Integral Recovery : A Revolutionary Approach to the Treatment of Alcoholism and Addiction</t>
  </si>
  <si>
    <t>Dupuy, John</t>
  </si>
  <si>
    <t>Modern and Global Ayurveda : Pluralism and Paradigms</t>
  </si>
  <si>
    <t>Wujastyk, Dagmar; Smith, Frederick M.</t>
  </si>
  <si>
    <t>Feminist Phenomenology and Medicine</t>
  </si>
  <si>
    <t>Zeiler, Kristin; Käll, Lisa Folkmarson</t>
  </si>
  <si>
    <t>SWEDENBORG, MESMER, AND THE MIND/BODY CONNECTION : THE ROOTS OF COMPLEMENTARY MEDICINE</t>
  </si>
  <si>
    <t>Swedenborg Foundation Publishers</t>
  </si>
  <si>
    <t>HALLER, JOHN S.</t>
  </si>
  <si>
    <t>Acts of Conscience : World War II, Mental Institutions, and Religious Objectors</t>
  </si>
  <si>
    <t>Syracuse University Press</t>
  </si>
  <si>
    <t>Taylor, Steven J.</t>
  </si>
  <si>
    <t>Antipsychiatry : Quackery Squared</t>
  </si>
  <si>
    <t>Szasz, Thomas</t>
  </si>
  <si>
    <t>Gender and Medicine in Ireland, 1700-1950</t>
  </si>
  <si>
    <t>Preston, Margaret; Ó hÓgartaigh, Margaret</t>
  </si>
  <si>
    <t>Single Best Answer MCQs in Anaesthesia : Volume II  Basic Sciences</t>
  </si>
  <si>
    <t>tfm Publishing Ltd</t>
  </si>
  <si>
    <t>Mendonca, Cyprian; Chaudhari, Mahesh; Pitchiah, A</t>
  </si>
  <si>
    <t>Current Orthopaedic Practice : A concise guide for postgraduate exams</t>
  </si>
  <si>
    <t>Agarwal, Sanjeev</t>
  </si>
  <si>
    <t>Evidence-based Management of Hypertension</t>
  </si>
  <si>
    <t>Weir, Matthew R</t>
  </si>
  <si>
    <t>A Guide to Cancer Genetics in Clinical Practice</t>
  </si>
  <si>
    <t>Clark, Sue</t>
  </si>
  <si>
    <t>Pearce's Surgical Companion : Essential Revision Notes for Postgraduate Exams</t>
  </si>
  <si>
    <t>Pearce, Oliver</t>
  </si>
  <si>
    <t>Single Best Answer MCQs in Anaesthesia, Volume 1 : Clinical Anaesthesia</t>
  </si>
  <si>
    <t>Mendonca, Cyprian; Chaudhari, Mahesh; James, Josephine; James, Josephine</t>
  </si>
  <si>
    <t>Inflammatory Bowel Disease : an Evidence-based Practical Guide</t>
  </si>
  <si>
    <t>Hart, Ailsa L; Ng, Siew C</t>
  </si>
  <si>
    <t>Evidence-based Management of Diabetes</t>
  </si>
  <si>
    <t>Vora, Jiten; Buse, John</t>
  </si>
  <si>
    <t>Fetal Cardiology Simplified : A Practical Manual</t>
  </si>
  <si>
    <t>Sharland, Gurleen</t>
  </si>
  <si>
    <t>Schein's Common Sense Prevention and Management of Surgical Complications : For surgeons, residents, lawyers, and even those who never have any complications</t>
  </si>
  <si>
    <t>Schein, Moshe; Rogers, Paul N.; Leppäniemi, Ari; Rosin, Danny</t>
  </si>
  <si>
    <t>Evidence-based Management of Lipid Disorders</t>
  </si>
  <si>
    <t>Vissers, Maud N; Kastelein, John JP; Stroes, Erik S</t>
  </si>
  <si>
    <t>MCQs in Intensive Care Medicine</t>
  </si>
  <si>
    <t>Benington, Steve; Nightingale, Peter; Shelly, Maire</t>
  </si>
  <si>
    <t>Complications in Vascular and Endovascular Surgery : How to avoid them and how to get out of trouble</t>
  </si>
  <si>
    <t>Earnshaw, Jonothan J; Wyatt, Michael G</t>
  </si>
  <si>
    <t>MCQs in Plastic Surgery</t>
  </si>
  <si>
    <t>Shokrollahi, Kayvan; Whitaker, Iain S; Laing, Hamish</t>
  </si>
  <si>
    <t>Musculoskeletal Trauma Simplified : A casebook to aid diagnosis &amp; management</t>
  </si>
  <si>
    <t>Gupta, Shivani; Diwan, Amna; Perone, Richard W; Smith, Dr. R. Malcolm; Wenokor, Cornelia</t>
  </si>
  <si>
    <t>Evidence-based Management of Epilepsy</t>
  </si>
  <si>
    <t>Schachter, Steven C.</t>
  </si>
  <si>
    <t>Evidence-based Management of Stroke</t>
  </si>
  <si>
    <t>Biller, José; Ferro, José M.</t>
  </si>
  <si>
    <t>50 Gastrointestinal Cases and Associated Imaging</t>
  </si>
  <si>
    <t>Shaikh, Abdullah A.; Hussain, Syed M.; Desilets, David J.; Catanzano, Tara M.</t>
  </si>
  <si>
    <t>Smart Surgeons; Sharp Decisions : Cognitive skills to avoid errors &amp; achieve results</t>
  </si>
  <si>
    <t>Shiralkar, Uttam</t>
  </si>
  <si>
    <t>The Structured Oral Examination in Clinical Anaesthesia : Practice examination papers</t>
  </si>
  <si>
    <t>Mendonca, Cyprian; Hillermann, Carl; James, Josephine; Kumar, Anil</t>
  </si>
  <si>
    <t>Key Questions in Cardiac Surgery</t>
  </si>
  <si>
    <t>Moorjani, Narain; Viola, Nicola; Ohri, Sunil K.</t>
  </si>
  <si>
    <t>The Evidence for Neurosurgery</t>
  </si>
  <si>
    <t>Ghogawala, Zoher; Krishnaney, Ajit A.; Steinmetz, Michael P.; Batjer, H; Benzel, Edward</t>
  </si>
  <si>
    <t>Biochips : Handheld Labs and Microscopic Sensors</t>
  </si>
  <si>
    <t>Technology Research News</t>
  </si>
  <si>
    <t>Patch, Kimberly; Smalley, Eric</t>
  </si>
  <si>
    <t>Feminine Touch : Women in Osteopathic Medicine</t>
  </si>
  <si>
    <t>Truman State University Press</t>
  </si>
  <si>
    <t>Quinn, Thomas A.</t>
  </si>
  <si>
    <t>Doing Good : Racial Tensions and Workplace Inequalities at a Community Clinic in el Nuevo South</t>
  </si>
  <si>
    <t>University of Arizona Press</t>
  </si>
  <si>
    <t>Deeb-Sossa, Natalia</t>
  </si>
  <si>
    <t>Out of Nature : Why Drugs from Plants Matter to the Future of Humanity</t>
  </si>
  <si>
    <t>Rogers, Kara</t>
  </si>
  <si>
    <t>Chicana and Chicano Mental Health : Alma, Mente y Corazón</t>
  </si>
  <si>
    <t>Flores, Yvette G.</t>
  </si>
  <si>
    <t>Silent Violence : Global Health, Malaria, and Child Survival in Tanzania</t>
  </si>
  <si>
    <t>Kamat, Vinay R.</t>
  </si>
  <si>
    <t>Building Health Promotion Capacity : Action for Learning, Learning from Action</t>
  </si>
  <si>
    <t>UBC Press</t>
  </si>
  <si>
    <t>McLean, Scott; Feather, Joan; Butler-Jones, David</t>
  </si>
  <si>
    <t>Ethics and Aging : The Right to Live, the Right to Die</t>
  </si>
  <si>
    <t>Thornton, James E.; Winkler, Earl R.</t>
  </si>
  <si>
    <t>Obstructed Labour : Race and Gender in the Re-Emergence of Midwifery</t>
  </si>
  <si>
    <t>Nestel, Sheryl</t>
  </si>
  <si>
    <t>Nutrition Policy in Canada, 1870-1939</t>
  </si>
  <si>
    <t>Ostry, Aleck Samuel</t>
  </si>
  <si>
    <t>Psychological and Medical Effects of Concentration Camps and Related Persecutions on Survivors of the Holocaust : A Research Bibliography</t>
  </si>
  <si>
    <t>Eitinger, Leo; Krell, Robert</t>
  </si>
  <si>
    <t>Brock Chisholm, the World Health Organization, and the Cold War</t>
  </si>
  <si>
    <t>Healing Henan : Canadian Nurses at the North China Mission, 1888-1947</t>
  </si>
  <si>
    <t>Grypma, Sonya</t>
  </si>
  <si>
    <t>Sins of the Flesh : A History of Vegetarian Thought</t>
  </si>
  <si>
    <t>Preece, Rod</t>
  </si>
  <si>
    <t>Place and Practice in Canadian Nursing History</t>
  </si>
  <si>
    <t>Elliott, Jayne; Stuart, Meryn; Toman, Cynthia</t>
  </si>
  <si>
    <t>Taking Medicine : Women's Healing Work and Colonial Contact in Southern Alberta, 1880-1930</t>
  </si>
  <si>
    <t>Burnett, Kristin</t>
  </si>
  <si>
    <t>Making of Modern Chinese Medicine, 1850-1960</t>
  </si>
  <si>
    <t>Andrews, Bridie</t>
  </si>
  <si>
    <t>Qualitative Evaluation of the Western Cheshire Comunity Weight Management Programme : Step by Step Healthy Weight and Lifestyle Programme</t>
  </si>
  <si>
    <t>University of Chester</t>
  </si>
  <si>
    <t>Alford, Simon; Perry, Catherine</t>
  </si>
  <si>
    <t>Use and Experiences of Front-line Health Services Amongst Black and Minority Ethnic Residents of Western Cheshire</t>
  </si>
  <si>
    <t>Ward, Fiona; Powell, Katie; Thurston, Miranda; Cleary, Paul</t>
  </si>
  <si>
    <t>The Japanese Way of Tea : From Its Origins in China to Sen Rikyu</t>
  </si>
  <si>
    <t>University of Hawaii Press</t>
  </si>
  <si>
    <t>Sōshitsu XV, Sen; Morris, V. Dixon</t>
  </si>
  <si>
    <t>Imagine What It's Like : A Literature and Medicine Anthology</t>
  </si>
  <si>
    <t>Nadelhaft, Ruth; Bonebakker, Victoria</t>
  </si>
  <si>
    <t>Making Sense of AIDS : Culture, Sexuality, and Power in Melanesia</t>
  </si>
  <si>
    <t>Butt, Leslie; Eves, Richard</t>
  </si>
  <si>
    <t>Penina Uliuli : Contemporary Challenges in Mental Health for Pacific Peoples</t>
  </si>
  <si>
    <t>Alefaio, Siautu; Afeaki-Mafile'o, Emeline; Maliko, Tavita T.; Lutui, Maika; Berking, Tina; Fatialofa, Caroline Salumalo; Lupe, Karen; Culbertson, Philip; Agee, Margaret Nelson; Makasiale, Cabrini Ofa</t>
  </si>
  <si>
    <t>Chinese Healing Exercises : The Tradition of Daoyin</t>
  </si>
  <si>
    <t>Kohn, Livia</t>
  </si>
  <si>
    <t>Thinking with Cases : Specialist Knowledge in Chinese Cultural History</t>
  </si>
  <si>
    <t>Furth, Charlotte; Zeitlin, Judith T.; Hsiung, Ping-Chen</t>
  </si>
  <si>
    <t>Conquest and Pestilence in the Early Spanish Philippines</t>
  </si>
  <si>
    <t>Newson, Linda A.</t>
  </si>
  <si>
    <t>Mai Lepera : Disease and Displacement in Nineteenth-Century Hawaii</t>
  </si>
  <si>
    <t>Inglis, Kerri A.</t>
  </si>
  <si>
    <t>Fighting for Breath : Living Morally and Dying of Cancer in a Chinese Village</t>
  </si>
  <si>
    <t>Lora-Wainwright, Anna</t>
  </si>
  <si>
    <t>Kalaupapa : A Collective Memory</t>
  </si>
  <si>
    <t>Law, Anwei Skinsnes</t>
  </si>
  <si>
    <t>Confluences of Medicine in Medieval Japan : Buddhist Healing, Chinese Knowledge, Islamic Formulas, and Wounds of War</t>
  </si>
  <si>
    <t>Goble, Andrew Edmond</t>
  </si>
  <si>
    <t>From the Jewish Heartland : Two Centuries of Midwest Foodways</t>
  </si>
  <si>
    <t>University of Illinois Press</t>
  </si>
  <si>
    <t>Steinberg, Ellen F.; Prost, Jack H.</t>
  </si>
  <si>
    <t>The Political Geographies of Pregnancy</t>
  </si>
  <si>
    <t>Woliver, Laura R.</t>
  </si>
  <si>
    <t>Elizabeth Packard : A Noble Fight</t>
  </si>
  <si>
    <t>Carlisle, Linda V.</t>
  </si>
  <si>
    <t>Sex, Sickness, and Slavery : Defining Illness in the Antebellum South</t>
  </si>
  <si>
    <t>Weiner, Marli F.; Hough, Mayzie</t>
  </si>
  <si>
    <t>Japanese American Midwives : Culture, Community, and Health Politics, 1880-1950</t>
  </si>
  <si>
    <t>Smith, Susan L.</t>
  </si>
  <si>
    <t>Marketing Nutrition : Soy, Functional Foods, Biotechnology, and Obesity</t>
  </si>
  <si>
    <t>Wansink, Brian</t>
  </si>
  <si>
    <t>Diagnoses in Assyrian and Babylonian Medicine : Ancient Sources, Translations, and Modern Medical Analyses</t>
  </si>
  <si>
    <t>Scurlock, JoAnn; Andersen, Burton R.</t>
  </si>
  <si>
    <t>Dying Inside : The HIV/AIDS Ward at Limestone Prison</t>
  </si>
  <si>
    <t>University of Michigan Press</t>
  </si>
  <si>
    <t>Fleury-Steiner, Benjamin; Crowder, Carla</t>
  </si>
  <si>
    <t>Pain, Death, and the Law</t>
  </si>
  <si>
    <t>Sarat, Austin</t>
  </si>
  <si>
    <t>Opposition and Intimidation : The Abortion Wars and Strategies of Political Harassment</t>
  </si>
  <si>
    <t>Doan, Alesha E.</t>
  </si>
  <si>
    <t>Political Science; Social Science</t>
  </si>
  <si>
    <t>Markets and Medicine : The Politics of Health Care Reform in Britain, Germany, and the United States</t>
  </si>
  <si>
    <t>Giaimo, Susan</t>
  </si>
  <si>
    <t>Affirmative Action in Medicine : Improving Health Care for Everyone</t>
  </si>
  <si>
    <t>Curtis, James L.</t>
  </si>
  <si>
    <t>Future Medicine : Ethical Dilemmas, Regulatory Challenges, and Therapeutic Pathways to Health Care and Healing in Human Transformation</t>
  </si>
  <si>
    <t>Cohen, Michael Howard</t>
  </si>
  <si>
    <t>Conversations in Medicine and Society : Formative Years: Children's Health in the United States, 1880-2000</t>
  </si>
  <si>
    <t>Stern, Alexandra Minna; Markel, Howard</t>
  </si>
  <si>
    <t>Untimely Interventions : AIDS Writing, Testimonial, and the Rhetoric of Haunting</t>
  </si>
  <si>
    <t>Chambers, Ross; Chambers, Leigh Ross</t>
  </si>
  <si>
    <t>Mergers of Teaching Hospitals in Boston, New York, and Northern California</t>
  </si>
  <si>
    <t>Kastor, John Alfred</t>
  </si>
  <si>
    <t>Fractured Borders : Reading Women's Cancer Literature</t>
  </si>
  <si>
    <t>DeShazer, Mary K.</t>
  </si>
  <si>
    <t>Moving Beyond Prozac, DSM, and the New Psychiatry : The Birth of Postpsychiatry</t>
  </si>
  <si>
    <t>Lewis, Bradley</t>
  </si>
  <si>
    <t>Private Guns, Public Health</t>
  </si>
  <si>
    <t>Hemenway, David</t>
  </si>
  <si>
    <t>Challenge of Regulating Managed Care</t>
  </si>
  <si>
    <t>Billi, John Eugene; Agrawal, Gail Bopp (JD</t>
  </si>
  <si>
    <t>History, Medicine, and the Traditions of Renaissance Learning</t>
  </si>
  <si>
    <t>Deep : Real Life with Spinal Cord Injury</t>
  </si>
  <si>
    <t>Epstein, Marcy Joy; Pettway, Travar</t>
  </si>
  <si>
    <t>Containing Health Care Costs in Japan</t>
  </si>
  <si>
    <t>Ikegami, Naoki; Campbell, John Creighton; Campbell, John Creighton</t>
  </si>
  <si>
    <t>Facing It : AIDS Diaries and the Death of the Author</t>
  </si>
  <si>
    <t>Playing Doctor : Television, Storytelling, and Medical Power</t>
  </si>
  <si>
    <t>Turow, Joseph</t>
  </si>
  <si>
    <t>Mad at School : Rhetorics of Mental Disability and Academic Life</t>
  </si>
  <si>
    <t>Price, Margaret; Siebers, Tobin</t>
  </si>
  <si>
    <t>Physician Communication with Patients : Research Findings and Challenges</t>
  </si>
  <si>
    <t>Christianson, Jon B.; Jonas, Wayne B.; Jonas, Wayne B.; Warrick, Louise H.</t>
  </si>
  <si>
    <t>The Chief Concern of Medicine : The Integration of the Medical Humanities and Narrative Knowledge into Medical Practices</t>
  </si>
  <si>
    <t>Schleifer, Ronald; Vannatta, Jerry; Crow, Sheila</t>
  </si>
  <si>
    <t>What Matters in Medicine : Lessons from a Life in Primary Care</t>
  </si>
  <si>
    <t>Loxterkamp, David</t>
  </si>
  <si>
    <t>Geese Theatre Handbook : Drama with Offenders and People at Risk</t>
  </si>
  <si>
    <t>Waterside Press</t>
  </si>
  <si>
    <t>Baim, Clarke; Brookes, Sally; Mountford, Alan</t>
  </si>
  <si>
    <t>Psychopaths : An Introduction</t>
  </si>
  <si>
    <t>Prins, Herschel</t>
  </si>
  <si>
    <t>Land of Stone : Breaking Silence Through Poetry</t>
  </si>
  <si>
    <t>Wayne State University Press</t>
  </si>
  <si>
    <t>Chase, Karen</t>
  </si>
  <si>
    <t>Politcal Economy of Health Care Reforms</t>
  </si>
  <si>
    <t>W. E. Upjohn Institute for Employment Research</t>
  </si>
  <si>
    <t>Zhou, Huizhong</t>
  </si>
  <si>
    <t>Economics of Medicare Reform</t>
  </si>
  <si>
    <t>Rettenmaier, Andrew J.; Saving, Thomas R.</t>
  </si>
  <si>
    <t>Wild Chickens and Petty Tyrants : 108 Metaphors for Mindfulness</t>
  </si>
  <si>
    <t>Wisdom Publications</t>
  </si>
  <si>
    <t>Kozak, Arnie</t>
  </si>
  <si>
    <t>Buddhist Care for the Dying and Bereaved</t>
  </si>
  <si>
    <t>Watts, Jonathan S.; Tomatsu, Yoshiharu</t>
  </si>
  <si>
    <t>McGlamry's Comprehensive Textbook of Foot and Ankle Surgery</t>
  </si>
  <si>
    <t>Institute, The Podiatry; Southerland, Joe T.; Boberg, Jeffrey S.; Downey, Michael S.; Nakra, Aprajita; Rabjohn, Linnie V.; Rabjohn, Linnie V.; Rabjohn, Dr Linnie; Boberg, Dr Jeffrey</t>
  </si>
  <si>
    <t>Magnetic Resonance Imaging  of the Brain and Spine</t>
  </si>
  <si>
    <t>Wolters Kluwer</t>
  </si>
  <si>
    <t>TeLinde's Operative Gynecology</t>
  </si>
  <si>
    <t>Rock, John A.</t>
  </si>
  <si>
    <t>Grabb's Encyclopedia of Flaps</t>
  </si>
  <si>
    <t>Strauch, Berish; Vasconez, Luis O.; Hall-Findlay, Elizabeth J.; Lee, Bernard T.; Lee, Bernard T</t>
  </si>
  <si>
    <t>Bonica's Management of Pain</t>
  </si>
  <si>
    <t>Fishman, Scott M.; Ballantyne, Jane C.; Rathmell, James P.</t>
  </si>
  <si>
    <t>Danforth's Obstetrics and Gynecology</t>
  </si>
  <si>
    <t>Gibbs, Ronald S.; Karlan, Beth Y.; Haney, Arthur F.; Nygaard, Ingrid E.</t>
  </si>
  <si>
    <t>Cousins and Bridenbaugh's Neural Blockade in Clinical Anesthesia and Pain Medicine</t>
  </si>
  <si>
    <t>Cousins, Michael J.; Bridenbaugh, Philip O.; Carr, Daniel B.; Horlocker, Terese T.</t>
  </si>
  <si>
    <t>Perez &amp; Brady's Principles and Practice of Radiation Oncology</t>
  </si>
  <si>
    <t>Halperin, Edward C.; Brady, Luther W.; Perez, Carlos A.; Wazer, David E.</t>
  </si>
  <si>
    <t>Head and Neck Cancer : A Multidisciplinary Approach</t>
  </si>
  <si>
    <t>Harrison, Louis B.; Sessions, Roy B.; Kies, Merrill S.</t>
  </si>
  <si>
    <t>Lippincott's Nursing Procedures</t>
  </si>
  <si>
    <t>Pediatric Retina</t>
  </si>
  <si>
    <t>Hartnett, Mary Elizabeth</t>
  </si>
  <si>
    <t>Marino's The ICU Book</t>
  </si>
  <si>
    <t>Marino, Paul L.</t>
  </si>
  <si>
    <t>Washington Manual of Surgical Pathology</t>
  </si>
  <si>
    <t>Humphrey, Peter A.; Dehner, Louis P.; Pfeifer, John D.</t>
  </si>
  <si>
    <t>Evidence-Based Endocrinology</t>
  </si>
  <si>
    <t>Camacho, Pauline M; Gharib, Hossein; Sizemore, Glen W</t>
  </si>
  <si>
    <t>Schrier's Diseases of the Kidney</t>
  </si>
  <si>
    <t>Schrier, Robert W,; Coffman, Thomas M.; Falk, Ronald J.; Molitoris, Bruce A.; Neilson, Eric G.</t>
  </si>
  <si>
    <t>Clinical Manual of Contact Lenses</t>
  </si>
  <si>
    <t>Bennett, Edward S.; Henry, Vinita Allee</t>
  </si>
  <si>
    <t>Biopsy Interpretation of the Breast</t>
  </si>
  <si>
    <t>Schnitt, Stuart J; Collins, Laura C.</t>
  </si>
  <si>
    <t>Moss &amp; Adams' Heart Disease in Infants, Children, and Adolescents</t>
  </si>
  <si>
    <t>Allen, Hugh D.; Driscoll, David J.; Shaddy, Robert E.; Feltes, Timothy F.; Allen,</t>
  </si>
  <si>
    <t>5 Minute Pediatric Consult</t>
  </si>
  <si>
    <t>Schwartz, M. William</t>
  </si>
  <si>
    <t>Lippincott's Primary Care Orthopaedics</t>
  </si>
  <si>
    <t>Lotke, Paul A.; Abboud, Joseph A.; Ende, Jack</t>
  </si>
  <si>
    <t>Bennett &amp; Brachman's Hospital Infections</t>
  </si>
  <si>
    <t>Werner &amp; Ingbar's The Thyroid</t>
  </si>
  <si>
    <t>Braverman, Lewis E.; Cooper, David; Braverman,</t>
  </si>
  <si>
    <t>Clinical Anesthesia, 7e : Print + Ebook with Multimedia</t>
  </si>
  <si>
    <t>Barash, Paul; Cullen, Bruce F.; Stoelting, Robert K.; Cahalan, Michael; Stock, M. Christine; Ortega, Rafael</t>
  </si>
  <si>
    <t>Principles and Practice of Palliative Care and Supportive Oncology</t>
  </si>
  <si>
    <t>Berger, Ann M.; Shuster, John L.; Roenn, Jamie H. Von</t>
  </si>
  <si>
    <t>Shnider and Levinson's Anesthesia for Obstetrics</t>
  </si>
  <si>
    <t>Suresh, Maya</t>
  </si>
  <si>
    <t>Clinical Management of Binocular Vision</t>
  </si>
  <si>
    <t>Scheiman, Mitchell; Wick, Bruce</t>
  </si>
  <si>
    <t>Corman's Colon and Rectal Surgery</t>
  </si>
  <si>
    <t>Corman, Marvin; Nicholls, R. John; Fazio, Victor W.; Bergamaschi, Roberto</t>
  </si>
  <si>
    <t>Practical Guide to Emergency Ultrasound</t>
  </si>
  <si>
    <t>Cosby, Karen S.; Kendall, John L.</t>
  </si>
  <si>
    <t>Handbook of Clinical Anesthesia</t>
  </si>
  <si>
    <t>Wound Care Essentials</t>
  </si>
  <si>
    <t>Baranoski, Sharon; Ayello, Elizabeth A.</t>
  </si>
  <si>
    <t>Manual of Emergency Airway Management</t>
  </si>
  <si>
    <t>Walls, Ron; Murphy, Michael; Walls,</t>
  </si>
  <si>
    <t>The Trauma Manual: Trauma and Acute Care Surgery</t>
  </si>
  <si>
    <t>Peitzman, Andrew B.; Schwab, C. W.; Yealy, Donald M.; Rhodes, Michael; Fabian, Timothy C.</t>
  </si>
  <si>
    <t>Mastery of Endoscopic and Laparoscopic Surgery</t>
  </si>
  <si>
    <t>Swanstrom, Lee L.; Soper, Nathaniel J.; Soper, Nathaniel J</t>
  </si>
  <si>
    <t>Pleural Diseases</t>
  </si>
  <si>
    <t>Light, Richard W.</t>
  </si>
  <si>
    <t>Atlas of Procedures in Neonatology</t>
  </si>
  <si>
    <t>MacDonald, Mhairi G.; Ramasethu, Jayashree; Rais-Bahrami, Khodayar</t>
  </si>
  <si>
    <t>Nursing Pharmacology Made Incredibly Easy</t>
  </si>
  <si>
    <t>Lippincott; Springhouse Publishing Company Staff</t>
  </si>
  <si>
    <t>Practical Neurology</t>
  </si>
  <si>
    <t>Washington Manual of Surgery</t>
  </si>
  <si>
    <t>Klingensmith, Mary E.; Aziz, Abdulhameed; Bharat, Ankit; Fox, Amy C; Porembka, Matthew R</t>
  </si>
  <si>
    <t>Harley's Pediatric Ophthalmology</t>
  </si>
  <si>
    <t>Nelson, Leonard B.; Olitsky, Scott E.</t>
  </si>
  <si>
    <t>Manual of Cardiovascular Medicine</t>
  </si>
  <si>
    <t>Griffin, Brian P.</t>
  </si>
  <si>
    <t>Taylor's Differential Diagnosis Manual</t>
  </si>
  <si>
    <t>Paulman, Paul M.; Paulman, Audrey A.; Harrison, Jeffrey D.; Nasir, Laeth Sari; Jarzynka, Kimberly J.</t>
  </si>
  <si>
    <t>Berek and Novak's Gynecology</t>
  </si>
  <si>
    <t>Berek, Jonathan S.</t>
  </si>
  <si>
    <t>ElderCare Strategies : Expert Care Plans for Older Adults</t>
  </si>
  <si>
    <t>Handbook of Pharmacology and Physiology in Anesthetic Practice</t>
  </si>
  <si>
    <t>Stoelting, Robert K.; Hillier, Simon C.</t>
  </si>
  <si>
    <t>Critical Care Handbook of the Massachussetts General Hospital</t>
  </si>
  <si>
    <t>Bigatello, Luca M.; Alam, Hasan; Allain, Rae M.; Bittner, Edward A; Hess, Dean; Pino, Richard M</t>
  </si>
  <si>
    <t>Washington Manual of Critical Care</t>
  </si>
  <si>
    <t>Kollef, Marin; Isakow, Warren</t>
  </si>
  <si>
    <t>Hospital Medicine</t>
  </si>
  <si>
    <t>Wachter, Robert M.; Goldman, Lee; Hollander, Harry</t>
  </si>
  <si>
    <t>Feigenbaum's Echocardiography</t>
  </si>
  <si>
    <t>Armstrong, William F.; Ryan, Thomas</t>
  </si>
  <si>
    <t>Drug Interactions in Psychiatry</t>
  </si>
  <si>
    <t>Ciraulo, Domenic A.; Shader, Richard I.; Greenblatt, David J.; Creelman, Wayne L.</t>
  </si>
  <si>
    <t>5-Minute Neurology Consult</t>
  </si>
  <si>
    <t>Lynn, D. Joanne; Newton, Herbert; Rae-Grant, Alexander</t>
  </si>
  <si>
    <t>Clinical Epidemiology : How to Do Clinical Practice Research</t>
  </si>
  <si>
    <t>Haynes, R. Brian; Sackett, David L.; Guyatt, Gordon H.; Tugwell, Peter</t>
  </si>
  <si>
    <t>Electroencephalography : Basic Principles, Clinical Applications, and Related Fields</t>
  </si>
  <si>
    <t>Niedermeyer, Ernst; Da Silva, Fernando Lopes; Niedermeyer, Ernst; Lopes Da Silva, Fernando H</t>
  </si>
  <si>
    <t>Wills Eye Manual : Office and Emergency Room Diagnosis and Treatment of Eye Disease</t>
  </si>
  <si>
    <t>Gerstenblith, Adam T.; Rabinowitz, Michael P.</t>
  </si>
  <si>
    <t>Critical Care Medicine : The Essentials</t>
  </si>
  <si>
    <t>Marini, John J.; Wheeler, Arthur P.</t>
  </si>
  <si>
    <t>Shields Textbook of Glaucoma</t>
  </si>
  <si>
    <t>Allingham, R. Rand; Damji, Karim F.; Freedman, Sharon F.; Freedman, Sharon F.; Rhee, Douglas J.; Shields, M.Bruce</t>
  </si>
  <si>
    <t>Textbook of Uroradiology</t>
  </si>
  <si>
    <t>Dunnick, Reed; Sandler, Carl; Newhouse, Jeffrey</t>
  </si>
  <si>
    <t>Grossman's Cardiac Catheterization, Angiography, and Intervention</t>
  </si>
  <si>
    <t>Baim, Donald S.</t>
  </si>
  <si>
    <t>Headaches</t>
  </si>
  <si>
    <t>Olesen, Jes; Olesen, Danish Headache Centre Department of Neurology Glostrup Hospital Jes; Tfelt-Hansen, Peer; Welch, K Michaela; Goadsby, Peter J; Ramadan, Nabih M</t>
  </si>
  <si>
    <t>Computed Body Tomography with MRI Correlation</t>
  </si>
  <si>
    <t>Lee, Joseph K.T.; Sagel, Stuart S.; Stanley, Robert J.; Heiken, Jay P.</t>
  </si>
  <si>
    <t>Grabb and Smith's Plastic Surgery</t>
  </si>
  <si>
    <t>Thorne, Charles HM; Gurtner, Geoffrey C.; Chung, Kevin C.; Gosain, Arun; Mehrara, Babak Joseph; Rubin, Peter; Spear, Scott L.; Spear, Scott L</t>
  </si>
  <si>
    <t>Genodermatoses : A Clinical Guide to Genetic Skin Disorders</t>
  </si>
  <si>
    <t>Spitz, Joel L.; Spitz, Joel L</t>
  </si>
  <si>
    <t>Perry's The Chemotherapy Source Book</t>
  </si>
  <si>
    <t>Perry, Michael C</t>
  </si>
  <si>
    <t>Handbook of Kidney Transplantation</t>
  </si>
  <si>
    <t>Danovitch, Gabriel M.</t>
  </si>
  <si>
    <t>Neonatal and Pediatric Pharmacology : Therapeutic Principles in Practice</t>
  </si>
  <si>
    <t>Yaffe, Sumner J.; Yaffe,; Aranda, Jacob V.; Yaffe, Sumner J; Aranda, Jacob V</t>
  </si>
  <si>
    <t>Kaplan and Sadock's Pocket Handbook of Psychiatric Drug Treatment</t>
  </si>
  <si>
    <t>Sadock, Benjamin J.; Sadock, Virginia A.; Sussman, Norman</t>
  </si>
  <si>
    <t>Joslin's Diabetes Mellitus</t>
  </si>
  <si>
    <t>Kahn, C. Ronald; Weir, Gordon C.; King, George L.; Jacobson, Alan M.; Moses, Alan C.; Smith, Robert J.; Kahn, Ronald C; Weir, Gordon C; King, George L; Moses, Alan C</t>
  </si>
  <si>
    <t>Neuroscience of Clinical Psychiatry : The Pathophysiology of Behavior and Mental Illness</t>
  </si>
  <si>
    <t>Higgins, Edmund S.; George, Mark S.</t>
  </si>
  <si>
    <t>Merritt's Neurology</t>
  </si>
  <si>
    <t>Rowland, Lewis P.; Pedley, Timothy A.</t>
  </si>
  <si>
    <t>MRI of the Musculoskeletal System</t>
  </si>
  <si>
    <t>Glenn's Urologic Surgery</t>
  </si>
  <si>
    <t>Graham, Sam D.; Keane, Thomas E.; Glenn, James F; Brendler, Charles B; Jordan, Gerald H; Goldstein, Marc</t>
  </si>
  <si>
    <t>Koss' Diagnostic Cytology and Its Histopathologic Bases</t>
  </si>
  <si>
    <t>Koss, Leopold G.; Melamed, Myron R.</t>
  </si>
  <si>
    <t>DeLisa's Physical Medicine and Rehabilitation : Principles and Practice, Two Volume Set</t>
  </si>
  <si>
    <t>Frontera, Walter R.; Frontera, Salter R; Frontera, Prof Walter R</t>
  </si>
  <si>
    <t>DeJong's The Neurologic Examination</t>
  </si>
  <si>
    <t>Campbell, William W.; Campbell,</t>
  </si>
  <si>
    <t>Comprehensive Facial Rejuvenation : A Practical and Systematic Guide to Surgical Management of the Aging Face</t>
  </si>
  <si>
    <t>Williams, Edwin F.; Lam, Samuel M.</t>
  </si>
  <si>
    <t>Mastery of Cardiothoracic Surgery</t>
  </si>
  <si>
    <t>Kaiser, Larry; Kron, Irving L.; Spray, Thomas L.; Spray, Division of Cardiothoracic Surgery Thomas L</t>
  </si>
  <si>
    <t>Eyelid, Conjunctival, and Orbital Tumors and Intraocular Tumors : An Atlas and Text</t>
  </si>
  <si>
    <t>Shields, Jerry A.; Shields, Carol L.</t>
  </si>
  <si>
    <t>Clinical Geriatric Psychopharmacology</t>
  </si>
  <si>
    <t>Salzman, Carl</t>
  </si>
  <si>
    <t>Handbook of Pediatric Urology</t>
  </si>
  <si>
    <t>Baskin, Laurence S.; Kogan, Barry A.; Baskin, Laurence S; Kogan, Barry A</t>
  </si>
  <si>
    <t>Infections of the Central Nervous System</t>
  </si>
  <si>
    <t>Scheld, W. Michael; W M Scheld MD Richard J Whitley MD &amp; Christina M Marra MD,; Whitley, Richard J.; Marra, Christina M.; Scheld, W Michael; Whitley, Dr Richard J; Marra, Dr Christina M</t>
  </si>
  <si>
    <t>Handbook of Diagnostic Tests</t>
  </si>
  <si>
    <t>Springhouse; Springhouse,; Lippincott,; Lippincott Williams &amp; Wilkins,; Springhouse,</t>
  </si>
  <si>
    <t>Lovell and Winter's Pediatric Orthopaedics</t>
  </si>
  <si>
    <t>Weinstein, Stuart L.; Flynn, John M.; Flynn, Jack; Flynn, Dr John M</t>
  </si>
  <si>
    <t>Operative Techniques in Laparoscopic Colorectal Surgery</t>
  </si>
  <si>
    <t>Delaney, Conor P.; Lawrence, Justin K; Keller, Deborah S; Champagne, Bradley J; Senagore, Anthony J</t>
  </si>
  <si>
    <t>Cancer of the Nervous System</t>
  </si>
  <si>
    <t>Black, Peter M.</t>
  </si>
  <si>
    <t>Essentials of Otolaryngology</t>
  </si>
  <si>
    <t>Lucente, Frank E.; Har-El, Gady; Goldsmith, Ari J; Sperling, Neil M; Turk, Jon B</t>
  </si>
  <si>
    <t>Developmental and Behavioral Pediatrics : A Handbook for Primary Care</t>
  </si>
  <si>
    <t>Parker, Steven J.; Zuckerman, Barry; Augustyn, Marilyn; Parker, Steven J; Zuckerman, Barry S; Augustyn, Marilyn C</t>
  </si>
  <si>
    <t>Child Neurology</t>
  </si>
  <si>
    <t>Menkes, John H.; Sarnat, Harvey B.; Maria, Bernard L.</t>
  </si>
  <si>
    <t>Civetta, Taylor and Kirby's Critical Care</t>
  </si>
  <si>
    <t>Gabrielli, Andrea; Layon, A. Joseph; Yu, Mihae</t>
  </si>
  <si>
    <t>Handbook of Diseases</t>
  </si>
  <si>
    <t>Springhouse; Lippincott Williams &amp; Wilkins,; Springhouse,</t>
  </si>
  <si>
    <t>Manual of Clinical Problems in Infectious Disease</t>
  </si>
  <si>
    <t>Gantz, Nelson M.</t>
  </si>
  <si>
    <t>Cardiac Nursing</t>
  </si>
  <si>
    <t>Woods, Susan L.; Froelicher, Erika S Sivarajan; Motzer, Sandra Adams; Bridges, Col Elizabeth; Woods, Susan L; Froelicher, Erika Sivarajan; Motzer, Sandra Adams(underhill); Bridges, Col Elizabeth</t>
  </si>
  <si>
    <t>Lung Cancer : Principles and Practice</t>
  </si>
  <si>
    <t>Pass, Harvey I.; Carbone, David P.; Johnson, David H.</t>
  </si>
  <si>
    <t>Pediatric Spine : Principles and Practice</t>
  </si>
  <si>
    <t>LWW (PE)</t>
  </si>
  <si>
    <t>Weinstein, Stuart L.</t>
  </si>
  <si>
    <t>Multidetector Computed Tomography : Principles, Techniques, and Clinical Applications</t>
  </si>
  <si>
    <t>Fishman, Elliot K.; Jeffrey, R. Brooke</t>
  </si>
  <si>
    <t>Baum's Textbook of Pulmonary Diseases</t>
  </si>
  <si>
    <t>Crapo, James D.; Glassroth, Jeffrey L.; Karlinsky, Joel B.</t>
  </si>
  <si>
    <t>Chapman's Orthopaedic Surgery</t>
  </si>
  <si>
    <t>Chapman, Michael W.; Szabo, Robert M.; Marder, Richard A.</t>
  </si>
  <si>
    <t>Postcards of Nursing : A Worldwide Tribute</t>
  </si>
  <si>
    <t>Zwerdling, Michael</t>
  </si>
  <si>
    <t>Neuropsychopharmacology : The Fifth Generation of Progress : An Official Publication of the American College of Neuropsychopharmacology</t>
  </si>
  <si>
    <t>Davis, Kenneth L.; Charney, Dennis; Coyle, Joseph T.; Nemeroff, Charles B.</t>
  </si>
  <si>
    <t>Arthritis and Allied Conditions : A Textbook of Rheumatology</t>
  </si>
  <si>
    <t>Koopman, William J.; Moreland, Larry W.</t>
  </si>
  <si>
    <t>Adult and Pediatric Urology</t>
  </si>
  <si>
    <t>Gillenwater, Jay Y.; Grayhack, John T.; Howards, Stuart S.</t>
  </si>
  <si>
    <t>Samter's Immunologic Diseases</t>
  </si>
  <si>
    <t>Austen, K. Frank; Frank, Michael M.; Atkinson, John P.</t>
  </si>
  <si>
    <t>Clinical Laboratory Medicine</t>
  </si>
  <si>
    <t>McClatchey, Kenneth D.; Alkan, Serhan; Hackel, Emanuel</t>
  </si>
  <si>
    <t>Principles and Practice of the Biologic Therapy of Cancer</t>
  </si>
  <si>
    <t>Rosenberg, Steven A.</t>
  </si>
  <si>
    <t>Master Techniques in Orthopaedic Surgery : The Elbow</t>
  </si>
  <si>
    <t>Morrey, Bernard F.</t>
  </si>
  <si>
    <t>Pain in Infants, Children, and Adolescents</t>
  </si>
  <si>
    <t>Schechter, Neil L.; Berde, Charles B.; Yaster, Myron</t>
  </si>
  <si>
    <t>Principles and Practice of Radiation Oncology</t>
  </si>
  <si>
    <t>Perez, Carlos A.; Brady, Luther W.; Halperin, Edward C.</t>
  </si>
  <si>
    <t>Manual of Family Practice</t>
  </si>
  <si>
    <t>Taylor, Robert B.</t>
  </si>
  <si>
    <t>Johns Hopkins Hospital 2005-06 Guide to Medical Care of Patients with HIV Infection, Revised</t>
  </si>
  <si>
    <t>Bartlett, John G.</t>
  </si>
  <si>
    <t>Ocular Differential Diagnosis</t>
  </si>
  <si>
    <t>Roy, F. Hampton</t>
  </si>
  <si>
    <t>Principles and Practice of Pediatric Surgery</t>
  </si>
  <si>
    <t>Oldham, Keith T.; Colombani, Paul M.; Foglia, Robert P.; Skinner, Michael A.</t>
  </si>
  <si>
    <t>Diseases of the Orbit : A Multidisciplinary Approach</t>
  </si>
  <si>
    <t>Rootman, Jack</t>
  </si>
  <si>
    <t>Wills Eye Hospital Atlas of Clinical Ophthalmology</t>
  </si>
  <si>
    <t>Tasman, William; Jaeger, Edward A.; Augsburger, James J.</t>
  </si>
  <si>
    <t>Notes on Nursing : What It Is and What It Is Not</t>
  </si>
  <si>
    <t>Nightingale, Florence; Biology,</t>
  </si>
  <si>
    <t>Carpenter, Sue Ellen Koehler; Rock, John A.</t>
  </si>
  <si>
    <t>Kelley's Textbook of Internal Medicine</t>
  </si>
  <si>
    <t>DuPont, Herbert L.; Gardner, Laurence B.; Humes, H. David</t>
  </si>
  <si>
    <t>Principles and Practice of Endocrinology and Metabolism</t>
  </si>
  <si>
    <t>Bilezikian, John P.; Bremner, William J.; Becker, Kenneth L.</t>
  </si>
  <si>
    <t>Hand Surgery</t>
  </si>
  <si>
    <t>Berger, Richard A.; Weiss, Arnold-Peter C.</t>
  </si>
  <si>
    <t>Adult Knee</t>
  </si>
  <si>
    <t>Callaghan, John J.; Rosenberg, Aaron G.; Rubash, Harry E.</t>
  </si>
  <si>
    <t>Gastrointestinal Oncology : Principles and Practices</t>
  </si>
  <si>
    <t>Kelsen, David P.; Daly, John M.; Kern, Scott E.</t>
  </si>
  <si>
    <t>Endoscopic Paranasal Sinus Surgery</t>
  </si>
  <si>
    <t>Rice, Dale H.; Schaefer, Steven D.</t>
  </si>
  <si>
    <t>Physical Medicine and Rehabilitation : Principles and Practice</t>
  </si>
  <si>
    <t>Gans, Bruce M.; Walsh, Nicolas E.; DeLisa, Joel A.</t>
  </si>
  <si>
    <t>Pediatric Pathology</t>
  </si>
  <si>
    <t>Stocker, J. Thomas; Dehner, Louis P.</t>
  </si>
  <si>
    <t>Neuropsychiatry</t>
  </si>
  <si>
    <t>Schiffer, Randolph B.; Rao, Stephen M.; Fogel, Barry S.</t>
  </si>
  <si>
    <t>Acid Related Diseases : Biology and Treatment</t>
  </si>
  <si>
    <t>Modlin, Irvin M.; Sachs, George</t>
  </si>
  <si>
    <t>Infectious Diseases</t>
  </si>
  <si>
    <t>Gorbach, Sherwood L.; Bartlett, John G.; Blacklow, Neil R.</t>
  </si>
  <si>
    <t>Clinical Practice of Neurological &amp; Neurosurgical Nursing</t>
  </si>
  <si>
    <t>Hickey, Joanne</t>
  </si>
  <si>
    <t>Nursing Care Plans : Transitional Patient &amp; Family Centered Care</t>
  </si>
  <si>
    <t>Carpenito, Lynda J.</t>
  </si>
  <si>
    <t>Gastrointestinal Pathology and Its Clinical Implications</t>
  </si>
  <si>
    <t>Riddell, Robert; Jain, Dhanpat; Riddell, Robert H.; Weinstein, Wilfred M.</t>
  </si>
  <si>
    <t>Clinical Oncology</t>
  </si>
  <si>
    <t>Abraham, Jame; Gulley, James L.; Allegra, Carmen J.</t>
  </si>
  <si>
    <t>Parenting Stress</t>
  </si>
  <si>
    <t>Yale University Press</t>
  </si>
  <si>
    <t>Deater-Deckard, Kirby</t>
  </si>
  <si>
    <t>Social Science; Psychology</t>
  </si>
  <si>
    <t>A History of Yale’s School of Medicine : Passing Torches to Others</t>
  </si>
  <si>
    <t>Burrow, Gerard N.</t>
  </si>
  <si>
    <t>Sanity and Sanctity : Mental Health Work Among the Ultra-Orthodox in Jerusalem</t>
  </si>
  <si>
    <t>Greenberg, David; Witztum, Eliezer</t>
  </si>
  <si>
    <t>Post-Polio Syndrome : A Guide for Polio Survivors and Their Families</t>
  </si>
  <si>
    <t>Silver, Julie K.; Halstead, Lauro S.; Halstead, Lauro S.</t>
  </si>
  <si>
    <t>King, Robert A.; Neubauer, Peter B.; Abrams, Samuel</t>
  </si>
  <si>
    <t>Attention Deficit Disorder : The Unfocused Mind in Children and Adults</t>
  </si>
  <si>
    <t>Brown, Thomas</t>
  </si>
  <si>
    <t>Adolescent Risk Behaviors : Why Teens Experiment and Strategies to Keep Them Safe</t>
  </si>
  <si>
    <t>Wolfe, David A.; Jaffe, Peter G.; Crooks, Claire V.</t>
  </si>
  <si>
    <t>Restless Nights : Understanding Snoring and Sleep Apnea</t>
  </si>
  <si>
    <t>Lavie, Peretz; Berris, Anthony</t>
  </si>
  <si>
    <t>Stress and Hypertension : Examining the Relation Between Psychological Stress and High Blood Pressure</t>
  </si>
  <si>
    <t>Larkin, Kevin T.</t>
  </si>
  <si>
    <t>Contemporary Controversies in Psychoanalytic Theory, Techniques, and their Applications</t>
  </si>
  <si>
    <t>Kernberg, Otto</t>
  </si>
  <si>
    <t>Aggressivity, Narcissism, and Self-Destructiveness in the Psychotherapeutic Relationship : New Developments in the Psychopathology and Psychotherapy of Severe Personality Disorders</t>
  </si>
  <si>
    <t>Science in the Service of Children, 1893-1935</t>
  </si>
  <si>
    <t>Smuts, Alice; Smuts, Robert W</t>
  </si>
  <si>
    <t>Heart Care for Life : Developing the Program that Works Best for You</t>
  </si>
  <si>
    <t>Zaret, Barry L.; Subak-Sharpe, M.S., Genell J.</t>
  </si>
  <si>
    <t>Social Support and Physical Health : Understanding the Health Consequences of Relationships</t>
  </si>
  <si>
    <t>Uchino, Bert N.</t>
  </si>
  <si>
    <t>The Psychoanalytic Study of the Child</t>
  </si>
  <si>
    <t>Delinquency, Development, and Social Policy</t>
  </si>
  <si>
    <t>Brandt, Ph.D., David E.</t>
  </si>
  <si>
    <t>Surving Prostate Cancer : What You Need to Know to Make Informed Decisions</t>
  </si>
  <si>
    <t>Torrey, E. Fuller; Stoiber, Carlton</t>
  </si>
  <si>
    <t>The Conquest of Malaria : Italy, 1900-1962</t>
  </si>
  <si>
    <t>Snowden, Frank</t>
  </si>
  <si>
    <t>When Dieting Becomes Dangerous : A Guide to Understanding and Treating Anorexia and Bulimia</t>
  </si>
  <si>
    <t>Michel, Deborah M.; Willard, Susan G.</t>
  </si>
  <si>
    <t>The First Three Years and Beyond : Brain Development and Social Policy</t>
  </si>
  <si>
    <t>Zigler, Edward; Finn-Stevenson, Matia; Hall, Nancy W.</t>
  </si>
  <si>
    <t>Whose Freud? : The Place of Psychoanalysis in Contemporary Culture</t>
  </si>
  <si>
    <t>Brooks, Peter; Woloch, Alex</t>
  </si>
  <si>
    <t>Medicine and the German Jews : A History</t>
  </si>
  <si>
    <t>Efron, John M.</t>
  </si>
  <si>
    <t>Family Romance, Family Secrets : Case Notes from an American Psychoanalysis, 1912</t>
  </si>
  <si>
    <t>Lunbeck, Elizabeth; Simon, Bennett; Bennett, Dr. Simon J.</t>
  </si>
  <si>
    <t>Heart Attack! : Advice for Patients by Patients</t>
  </si>
  <si>
    <t>Berra, Kathleen; Friedland, Gerald W.; Gardner, Christopher</t>
  </si>
  <si>
    <t>Memory Fitness : A Guide for Successful Aging</t>
  </si>
  <si>
    <t>Einstein, Gilles O.; McDaniel, Mark A.</t>
  </si>
  <si>
    <t>Self-Determination Theory in the Clinic : Motivating Physical and Mental Health</t>
  </si>
  <si>
    <t>Sheldon, Kennon M.; Williams, Geoffrey; Joiner, Thomas</t>
  </si>
  <si>
    <t>Teaching Hospitals and the Urban Poor</t>
  </si>
  <si>
    <t>Ginzberg, Eli; Berliner, Howard S</t>
  </si>
  <si>
    <t>The Yale Guide to Women’s Reproductive Health : From Menarche to Menopause</t>
  </si>
  <si>
    <t>Minkin, Mary Jane; Wright, Carol V.</t>
  </si>
  <si>
    <t>Breathing Space : How Allergies Shape Our Lives and Landscapes</t>
  </si>
  <si>
    <t>Mitman, Gregg</t>
  </si>
  <si>
    <t>Quantitative Evaluation of HIV Prevention Programs</t>
  </si>
  <si>
    <t>Kaplan, Edward H.; Brookmeyer, Ron</t>
  </si>
  <si>
    <t>Reversing Dry Eye Syndrome : Practical Ways to Improve Your Comfort, Vision, and Appearance</t>
  </si>
  <si>
    <t>Maskin, Steven L; Thomas, Pamela; Scheffer C. G. Tseng, M.D., Ph.D.</t>
  </si>
  <si>
    <t>Breast Cancer Book : What You Need to Know to Make Informed Decisions</t>
  </si>
  <si>
    <t>Grobstein, Ruth H.</t>
  </si>
  <si>
    <t>Haunted by Parents</t>
  </si>
  <si>
    <t>Shengold, Leonard</t>
  </si>
  <si>
    <t>The Way and the Word : Science and Medicine in Early China and Greece</t>
  </si>
  <si>
    <t>Lloyd, Geoffrey; Sivin, Nathan</t>
  </si>
  <si>
    <t>Foul Bodies : Cleanliness and the Making of the Modern Body</t>
  </si>
  <si>
    <t>Brown, Kathleen M.</t>
  </si>
  <si>
    <t>Comparative Studies and the Politics of Modern Medical Care</t>
  </si>
  <si>
    <t>Marmor, Theodore R.; Freeman, Richard; Okma, Kieke G. H.; Marmor, Theodore R.</t>
  </si>
  <si>
    <t>Green Intelligence : Creating Environments That Protect Human Health</t>
  </si>
  <si>
    <t>Wargo, John</t>
  </si>
  <si>
    <t>Environmental Studies</t>
  </si>
  <si>
    <t>The Deadly Dinner Party : And Other Medical Detective Stories</t>
  </si>
  <si>
    <t>Edlow, Jonathan A.</t>
  </si>
  <si>
    <t>Anna Freud : A Biography</t>
  </si>
  <si>
    <t>Young-Bruehl, Elisabeth</t>
  </si>
  <si>
    <t>The Woman Who Walked into the Sea : Huntington's and the Making of a Genetic Disease</t>
  </si>
  <si>
    <t>Wexler, Alice</t>
  </si>
  <si>
    <t>Mrs. Mattingly's Miracle : The Prince, the Widow, and the Cure That Shocked Washington City</t>
  </si>
  <si>
    <t>Schultz, Nancy L</t>
  </si>
  <si>
    <t>Reclaiming Our Health : A Guide to African American Wellness</t>
  </si>
  <si>
    <t>Gourdine, Michelle A.; Love, Catharine L.</t>
  </si>
  <si>
    <t>Remedy and Reaction : The Peculiar American Struggle over Health Care Reform</t>
  </si>
  <si>
    <t>Starr, Paul</t>
  </si>
  <si>
    <t>Fighting Cancer with Knowledge and Hope : A Guide for Patients, Families, and Health Care Providers</t>
  </si>
  <si>
    <t>Frank, Richard C.; Parsons, Gale V.</t>
  </si>
  <si>
    <t>Babies by Design : The Ethics of Genetic Choice</t>
  </si>
  <si>
    <t>Green, Ronald M</t>
  </si>
  <si>
    <t>Contagion : How Commerce Has Spread Disease</t>
  </si>
  <si>
    <t>Harrison, Mark</t>
  </si>
  <si>
    <t>The Cost Disease : Why Computers Get Cheaper and Health Care Doesn't</t>
  </si>
  <si>
    <t>Baumol, William J; Malach, Monte; Pablos-Méndez, Ariel; Wu, Lilian Gomory</t>
  </si>
  <si>
    <t>The Great Manchurian Plague of 1910-1911 : The Geopolitics of an Epidemic Disease</t>
  </si>
  <si>
    <t>Summers, William C.</t>
  </si>
  <si>
    <t>Toxic Bodies : Hormone Disruptors and the Legacy of DES</t>
  </si>
  <si>
    <t>Langston, Nancy</t>
  </si>
  <si>
    <t>Healing Wounds, Healthy Skin : A Practical Guide for Patients with Chronic Wounds</t>
  </si>
  <si>
    <t>Reddy, Madhuri; Cottrill, Rebecca</t>
  </si>
  <si>
    <t>Risk, Chance, and Causation : Investigating the Origins and Treatment of Disease</t>
  </si>
  <si>
    <t>Bracken, Michael B</t>
  </si>
  <si>
    <t>Writing History in the Age of Biomedicine</t>
  </si>
  <si>
    <t>Raising Henry : A Memoir of Motherhood, Disability, and Discovery</t>
  </si>
  <si>
    <t>Adams, Rachel</t>
  </si>
  <si>
    <t>Ship of Death : A Voyage That Changed the Atlantic World</t>
  </si>
  <si>
    <t>Smith, Billy G</t>
  </si>
  <si>
    <t>Madness and Memory : The Discovery of Prions--A New Biological Principle of Disease</t>
  </si>
  <si>
    <t>Prusiner, Stanley B</t>
  </si>
  <si>
    <t>Out of the East : Spices and the Medieval Imagination</t>
  </si>
  <si>
    <t>Freedman, Paul</t>
  </si>
  <si>
    <t>Intersectionality, Sexuality and Psychological Therapies : Working with Lesbian, Gay and Bisexual Diversity</t>
  </si>
  <si>
    <t>Angelides, Marios C.; butler, catherine; Butler, Catherine; Nair, Roshan das</t>
  </si>
  <si>
    <t>Impact of Maternal and Child Health Private Expenditure on Poverty and Inequity in Bangladesh</t>
  </si>
  <si>
    <t>Fundamentals of Geriatric Pharmacotherapy</t>
  </si>
  <si>
    <t>Hutchison, Lisa C.; Sleeper, Rebecca B.; American Society of Health-System Pharmacists,</t>
  </si>
  <si>
    <t>Infectious Disease Pharmacotherapy Self Assessment</t>
  </si>
  <si>
    <t>Eiland, Lea S.; Ginsburg, Diane B.</t>
  </si>
  <si>
    <t>Fat-Talk Nation : The Human Costs of America's War on Fat</t>
  </si>
  <si>
    <t>Confidentiality and Its Discontents : Dilemmas of Privacy in Psychotherapy</t>
  </si>
  <si>
    <t>Mosher, Paul W.; Berman, Jeffrey</t>
  </si>
  <si>
    <t>Middleboro Casebook : Healthcare Strategy and Operations</t>
  </si>
  <si>
    <t>Seidel, Lee F.; Lewis, James B.</t>
  </si>
  <si>
    <t>Post, Linda Farber; Blustein, Jeffrey</t>
  </si>
  <si>
    <t>Situated Intervention : Sociological Experiments in Health Care</t>
  </si>
  <si>
    <t>Zuiderent-Jerak, Teun; Bijker, Wiebe E.; Carlson, W. Bernard; Pinch, Trevor</t>
  </si>
  <si>
    <t>Translational Neuroscience : Toward New Therapies</t>
  </si>
  <si>
    <t>Boeckers, Tobias M.; Bourgeron, Thomas; Broich, Karl; Brose, Nils; Cuthbert, Bruce N.; Diester, Ilka; Dölen, Gül; Feng, Guoping; Nikolich, Karoly; Hyman, Steven E.</t>
  </si>
  <si>
    <t>Last Plague in the Baltic Region, 1709-1713</t>
  </si>
  <si>
    <t>Museum Tusculanum Press</t>
  </si>
  <si>
    <t>Frandsen, Karl-Erik</t>
  </si>
  <si>
    <t>Potential Risks and Benefits of Gain-of-Function Research : Summary of a Workshop</t>
  </si>
  <si>
    <t>Board on Life Sciences; Division on Earth and Life Studies; Committee on Science, Technology, and Law; Policy and Global Affairs; Board on Health Sciences Policy; Institute of Medicine; Jo Husbands; Anne-Marie Mazza; Audrey Thevenon; India Hook-Barnard</t>
  </si>
  <si>
    <t>Science: General; Social Science; Health</t>
  </si>
  <si>
    <t>Building Health Workforce Capacity Through Community-Based Health Professional Education : Workshop Summary</t>
  </si>
  <si>
    <t>Global Forum on Innovation in Health Professional Education; Board on Global Health; Institute of Medicine</t>
  </si>
  <si>
    <t>Sharing Clinical Trial Data : Maximizing Benefits, Minimizing Risk</t>
  </si>
  <si>
    <t>Board on Health Sciences Policy; Institute of Medicine; Institute Of Medicine,</t>
  </si>
  <si>
    <t>Business Engagement in Building Healthy Communities : Workshop Summary</t>
  </si>
  <si>
    <t>Roundtable on Population Health Improvement; Board on Population Health and Public Health Practice; Institute of Medicine; Wizemann, Theresa</t>
  </si>
  <si>
    <t>Post-Vietnam Dioxin Exposure in Agent Orange-Contaminated C-123 Aircraft</t>
  </si>
  <si>
    <t>Board on the Health of Select Populations; Institute of Medicine</t>
  </si>
  <si>
    <t>Future Directions of Credentialing Research in Nursing : Workshop Summary</t>
  </si>
  <si>
    <t>Institute of Medicine; Victoria Weisfield; Board on Health Sciences Policy; Weisfield, Victoria</t>
  </si>
  <si>
    <t>Cross-Sector Responses to Obesity : Models for Change: Workshop Summary</t>
  </si>
  <si>
    <t>The National Children's Study 2014 : An Assessment</t>
  </si>
  <si>
    <t>Panel on the Design of the National Childrenââ'¬â"¢s Study and Implications for the Generalizability of Results; Nancy J. Kirkendall; Committee on National Statistics; Division of Behavioral and Social Sciences and Education; Board on Children, Youth, and Families; Institute of Medicine; National Research Council; Constance F. Citro</t>
  </si>
  <si>
    <t>Psychological Testing in the Service of Disability Determination</t>
  </si>
  <si>
    <t>Policy Issues in the Development and Adoption of Biomarkers for Molecularly Targeted Cancer Therapies : Workshop Summary</t>
  </si>
  <si>
    <t>Jonathan Phillips; Margie Patlak; National Cancer Policy Forum; Board on Health Care Services; Institute of Medicine; Institute of Medicine,</t>
  </si>
  <si>
    <t>Assessing the Use of Agent-Based Models for Tobacco Regulation</t>
  </si>
  <si>
    <t>Committee on the Assessment of Agent-Based Models to Inform Tobacco Product Regulation; Board on Population Health and Public Health Practice; Institute of Medicine; Amy Geller; V. Ayano Ogawa; Committee On The Assessment Of Agent-Based Models To Inform Tobacco Product Regulation,</t>
  </si>
  <si>
    <t>Transforming the Workforce for Children Birth Through Age 8 : A Unifying Foundation</t>
  </si>
  <si>
    <t>Committee on the Science of Children Birth to Age 8: Deepening and Broadening the Foundation for Success; Board on Children, Youth, and Families; Institute of Medicine; National Research Council; Bridget B. Kelly</t>
  </si>
  <si>
    <t>The Future of Home Health Care : Workshop Summary</t>
  </si>
  <si>
    <t>National Research Council; Tracy A. Lustig; Forum on Aging, Disability, and Independence; Board on Health Sciences Policy; Division on Behavioral and Social Sciences and Education; Institute of Medicine</t>
  </si>
  <si>
    <t>Enabling Rapid and Sustainable Public Health Research During Disasters : Summary of a Joint Workshop by the Institute of Medicine and the U.S. Department of Health and Human Services</t>
  </si>
  <si>
    <t>Board on Health Sciences Policy; Institute of Medicine; Theresa Wizemann; Bruce Altevogt; Forum on Medical and Public Health Preparedness for Catastrophic Events; Altevogt, Bruce</t>
  </si>
  <si>
    <t>Empowering Women and Strengthening Health Systems and Services Through Investing in Nursing and Midwifery Enterprise : Lessons from Lower-Income Countries: Workshop Summary</t>
  </si>
  <si>
    <t>Global Forum on Innovation in Health Professional Education; Deepali M. Patel; Forum on Public-Private Partnerships for Global Health and Safety; Board on Global Health; Institute of Medicine; Megan M. Perez</t>
  </si>
  <si>
    <t>Genomics-Enabled Learning Health Care Systems : Gathering and Using Genomic Information to Improve Patient Care and Research: Workshop Summary</t>
  </si>
  <si>
    <t>Roundtable on Translating Genomic-Based Research for Health; Steve Olson; Adam C. Berger; Board on Health Sciences Policy; Institute of Medicine; Institute of Medicine,</t>
  </si>
  <si>
    <t>Use of Dietary Supplements by Military Personnel</t>
  </si>
  <si>
    <t>Committee on Dietary Supplement Use by Military Personnel; Food and Nutrition Board; Institute of Medicine; Maria Oria; Oria, Maria</t>
  </si>
  <si>
    <t>Political Science; Medicine; Pharmacy</t>
  </si>
  <si>
    <t>The Effects of Commuting on Pilot Fatigue</t>
  </si>
  <si>
    <t>Board on Human-Systems Integration; Division of Behavioral and Social Sciences and Education; Transportation Research Board; National Research Council</t>
  </si>
  <si>
    <t>Reflective Organizations; On the Front Lines of QSEN and Reflective Practice Implementation : On the Front Lines of QSEN and Reflective Practice Implementation</t>
  </si>
  <si>
    <t>Sherwood, Gwen; Horton-Deutsch, Sara</t>
  </si>
  <si>
    <t>Nurse's Etiquette Advantage : How Professional Etiquette Can Advance Your Nursing Career</t>
  </si>
  <si>
    <t>Designing and Integrating a Disaster Preparedness Curriculum</t>
  </si>
  <si>
    <t>Stanely, Sharon; Bennecoff Wolanski, Thola A.</t>
  </si>
  <si>
    <t>Cultural Sensibility in Healthcare: A Personal &amp; Professional Guidebook</t>
  </si>
  <si>
    <t>Ellis Fletcher, Sally N.</t>
  </si>
  <si>
    <t>Fostering a Research-Intensive Organization: An Interdisciplinary Approach for Nurses From Massachusetts General Hospital</t>
  </si>
  <si>
    <t>Ives Erickson, Jeanette; Ditomassi, Marianne; Jones, Dorothy A.</t>
  </si>
  <si>
    <t>Brain Disorders Sourcebook</t>
  </si>
  <si>
    <t>Jones, Keith</t>
  </si>
  <si>
    <t>Self-Healing Through Reflection : A Workbook for Nurses</t>
  </si>
  <si>
    <t>Bush, Nancy Jo; Boyle, Deborah A.</t>
  </si>
  <si>
    <t>Hematopoietic Stem Cell Transplantation : A Manual for Nursing Care</t>
  </si>
  <si>
    <t>Ezzone, Susan A.</t>
  </si>
  <si>
    <t>Houlihan, Nancy G.; Tyson, Leslie B.</t>
  </si>
  <si>
    <t>Meeting the Need for Psychosocial Care in Young Adults With Cancer</t>
  </si>
  <si>
    <t>Katx, Anne</t>
  </si>
  <si>
    <t>Cardiac Complications of Cancer Therapy</t>
  </si>
  <si>
    <t>Fadol, Anecita P.</t>
  </si>
  <si>
    <t>Handbook of Integrative Oncology Nursing Evidence-Based Practice</t>
  </si>
  <si>
    <t>Decker, Georgia; Lee, Colleen O.</t>
  </si>
  <si>
    <t>Chemotherapy and Biotherapy Gudielines and Recommendations for Practice</t>
  </si>
  <si>
    <t>Polovich, Martha; Olsen, MiKaela; LeFebvre, Kristine B.</t>
  </si>
  <si>
    <t>Statement on the Scope and Standards of Oncology Nursing Practice : Generalist and Advanced</t>
  </si>
  <si>
    <t>Brant, Jeannine M.; Wickham, Rita</t>
  </si>
  <si>
    <t>A Guide to Oncology Symptom Management</t>
  </si>
  <si>
    <t>Brown, Carlton G.</t>
  </si>
  <si>
    <t>Mahon, Suzanne M.</t>
  </si>
  <si>
    <t>Caring for the Older Adult with Cancer in the Ambulatory Setting</t>
  </si>
  <si>
    <t>Mc Evoy, Lorraine K.; Cope, Diane G.</t>
  </si>
  <si>
    <t>Cancer and Complementary Medicine : Your Guide to Smart Choices in Symptom Management</t>
  </si>
  <si>
    <t>This Should Not Be Happening : Young Adults with Cancer</t>
  </si>
  <si>
    <t>Cancer Pain Management Scenarios</t>
  </si>
  <si>
    <t>Gaguski, Michele E.; Bruce, Susan D.</t>
  </si>
  <si>
    <t>Current Trends in Oncology Nursing</t>
  </si>
  <si>
    <t>Payne, Judith K.</t>
  </si>
  <si>
    <t>Clinical Guide to Antineoplastic Therapy : A Chemotherapy Handbook</t>
  </si>
  <si>
    <t>Gullatte, Mary Magee</t>
  </si>
  <si>
    <t>Putting Evidence Into Practice : A Pocket Guide to Cancer Symptom Management</t>
  </si>
  <si>
    <t>Irwin, Margaret; Johnson, Lee Ann</t>
  </si>
  <si>
    <t>Manual for Radiation Oncology Nursing Practice and Eduation</t>
  </si>
  <si>
    <t>Iwamoto, Ryan R.; Haas, Marilyn L.; Gosselin, Tracy K.</t>
  </si>
  <si>
    <t>After You Ring the Bell : 10 Challenges for the Cancer Survivor</t>
  </si>
  <si>
    <t>Site-Specific Cancer Series : Pancreatic and Hepatobiliary Cancer</t>
  </si>
  <si>
    <t>Handy, Catherine M.; O'Dea, Denise</t>
  </si>
  <si>
    <t>Surgical Oncology Nursing</t>
  </si>
  <si>
    <t>Wych Davidson, Gail; Lester, Joanne L.; Routt, Meghan</t>
  </si>
  <si>
    <t>Hematologic Malignancies in Adults</t>
  </si>
  <si>
    <t>Olsen, MiKaela; Zitella, Laura J.</t>
  </si>
  <si>
    <t>Understanding and Managing Oncologic Emergencies: A Resource for Nurses</t>
  </si>
  <si>
    <t>Marcelle Kaplan</t>
  </si>
  <si>
    <t>Cancer and Health Policy Advancements and Opportunities</t>
  </si>
  <si>
    <t>Phillips, Janice M.; Damron, Barbara Holmes</t>
  </si>
  <si>
    <t>Oncology Nurse Navigation: Delivering Patient-centered Care Across the Continuum</t>
  </si>
  <si>
    <t>Blaseg, Karyl D.; Daugherty, Penny; Gamblin, Kathleen A.</t>
  </si>
  <si>
    <t>Clinical Manual for the Oncology Advanced Practice Nurse</t>
  </si>
  <si>
    <t>Camp-Sorrell, Dawn; Hawkins, Rebecca A.</t>
  </si>
  <si>
    <t>Telephone Triage for Oncology Nurses</t>
  </si>
  <si>
    <t>Hickey, Margaret; Newton, Susan</t>
  </si>
  <si>
    <t>Animals and Medicine : The Contribution of Animal Experiments to the Control of Disease</t>
  </si>
  <si>
    <t>Open Book Publishers</t>
  </si>
  <si>
    <t>Botting, Jack; Botting, Regina; Morrison, Adrian R.</t>
  </si>
  <si>
    <t>The Power of Two : A Twin Triumph over Cystic Fibrosis</t>
  </si>
  <si>
    <t>University of Missouri Press</t>
  </si>
  <si>
    <t>Stenzel, Anabel; Byrnes, Isabel Stenzel</t>
  </si>
  <si>
    <t>Care of the Dying Patient</t>
  </si>
  <si>
    <t>Fleming, David A.; Hagan, John C.; Hagan, John C., III</t>
  </si>
  <si>
    <t>Broken Butterfly : My Daughter's Struggle with Brain Injury</t>
  </si>
  <si>
    <t>Finell, Karin</t>
  </si>
  <si>
    <t>The Power of Two : A Twin Triumph over Cystic Fibrosis, Updated and Expanded Edition</t>
  </si>
  <si>
    <t>Byrnes, Isabel Stenzel; Stenzel, Anabel; Stenzel Byrnes, Isabel</t>
  </si>
  <si>
    <t>A Defense of Dignity : Creating Life, Destroying Life, and Protecting the Rights of Conscience</t>
  </si>
  <si>
    <t>University of Notre Dame Press</t>
  </si>
  <si>
    <t>Kaczor, Christopher</t>
  </si>
  <si>
    <t>Camp Pain : Talking with Chronic Pain Patients</t>
  </si>
  <si>
    <t>University of Pennsylvania Press</t>
  </si>
  <si>
    <t>Jackson, Jean E.</t>
  </si>
  <si>
    <t>Clara Barton, Professional Angel</t>
  </si>
  <si>
    <t>Pryor, Elizabeth Brown</t>
  </si>
  <si>
    <t>Women in Pain : Gender and Morbidity in Mexico</t>
  </si>
  <si>
    <t>Finkler, Kaja</t>
  </si>
  <si>
    <t>Sick and Tired of Being Sick and Tired : Black Women's Health Activism in America, 1890-1950</t>
  </si>
  <si>
    <t>The Trotula : An English Translation of the Medieval Compendium of Women's Medicine</t>
  </si>
  <si>
    <t>Green, Monica H.</t>
  </si>
  <si>
    <t>Healing Traditions : Alternative Medicine and the Health Professions</t>
  </si>
  <si>
    <t>O'Connor, Bonnie Blair</t>
  </si>
  <si>
    <t>Doctor Franklin's Medicine</t>
  </si>
  <si>
    <t>Finger, Stanley</t>
  </si>
  <si>
    <t>Say Little, Do Much : Nursing, Nuns, and Hospitals in the Nineteenth Century</t>
  </si>
  <si>
    <t>Nelson, Sioban</t>
  </si>
  <si>
    <t>Women at War : The Story of Fifty Military Nurses Who Served in Vietnam</t>
  </si>
  <si>
    <t>Norman, Elizabeth</t>
  </si>
  <si>
    <t>Cancer in the Lives of Older Americans : Blessings and Battles</t>
  </si>
  <si>
    <t>Kagan, Sarah H.</t>
  </si>
  <si>
    <t>Next Year in Marienbad : The Lost Worlds of Jewish Spa Culture</t>
  </si>
  <si>
    <t>Zadoff, Mirjam; Templer, William</t>
  </si>
  <si>
    <t>Women's Health and the World's Cities</t>
  </si>
  <si>
    <t>Meleis, Afaf Ibrahim; Birch, Eugenie L.; Wachter, Susan M.</t>
  </si>
  <si>
    <t>Matching Organs with Donors : Legality and Kinship in Transplants</t>
  </si>
  <si>
    <t>Jacob, Marie-Andrée</t>
  </si>
  <si>
    <t>The Most Beautiful Man in Existence : The Scandalous Life of Alexander Lesassier</t>
  </si>
  <si>
    <t>Rosner, Lisa</t>
  </si>
  <si>
    <t>The Trotula : A Medieval Compendium of Women's Medicine</t>
  </si>
  <si>
    <t>Imperial Medicine : Patrick Manson and the Conquest of Tropical Disease</t>
  </si>
  <si>
    <t>Haynes, Douglas M.</t>
  </si>
  <si>
    <t>Sex Work Politics : From Protest to Service Provision</t>
  </si>
  <si>
    <t>Majic, Samantha</t>
  </si>
  <si>
    <t>Daughters of Parvati : Women and Madness in Contemporary India</t>
  </si>
  <si>
    <t>Pinto, Sarah</t>
  </si>
  <si>
    <t>Depression : Causes and Treatment</t>
  </si>
  <si>
    <t>Beck,,  Aaron T., Aaron T; Alford,,  Brad A., Brad A</t>
  </si>
  <si>
    <t>Caring for Patients from Different Cultures</t>
  </si>
  <si>
    <t>Galanti, Geri-Ann</t>
  </si>
  <si>
    <t>An Epidemic of Rumors : How Stories Shape Our Perception of Disease</t>
  </si>
  <si>
    <t>Utah State University Press</t>
  </si>
  <si>
    <t>Lee, Jon D.</t>
  </si>
  <si>
    <t>Planning the Family in Egypt : New Bodies, New Selves</t>
  </si>
  <si>
    <t>University of Texas Press</t>
  </si>
  <si>
    <t>Ali, Kamran Asdar</t>
  </si>
  <si>
    <t>Black Death in Egypt and England : A Comparative Study</t>
  </si>
  <si>
    <t>Borsch, Stuart J.</t>
  </si>
  <si>
    <t>Mesoamerican Healers</t>
  </si>
  <si>
    <t>Huber, Brad R.; Sandstrom, Alan R.</t>
  </si>
  <si>
    <t>Social Science; History</t>
  </si>
  <si>
    <t>Fertile Matters : The Politics of Mexican-Origin Women's Reproduction</t>
  </si>
  <si>
    <t>Gutiérrez, Elena R.</t>
  </si>
  <si>
    <t>Mother Earth and Uncle Sam : How Pollution and Hollow Government Hurt Our Kids</t>
  </si>
  <si>
    <t>Steinzor, Rena I.</t>
  </si>
  <si>
    <t>Walking Nature Home : A Life's Journey</t>
  </si>
  <si>
    <t>Tweit, Susan J.; York, Sherrie</t>
  </si>
  <si>
    <t>Neural Imagination : Aesthetic and Neuroscientific Approaches to the Arts</t>
  </si>
  <si>
    <t>Massey, Irving</t>
  </si>
  <si>
    <t>Drug Games : The International Olympic Committee and the Politics of Doping, 1960-2008</t>
  </si>
  <si>
    <t>Hunt, Thomas M.; Hoberman, John</t>
  </si>
  <si>
    <t>Living with Lupus : Women and Chronic Illness in Ecuador</t>
  </si>
  <si>
    <t>Miles, Ann</t>
  </si>
  <si>
    <t>Medicine and the Saints : Science, Islam, and the Colonial Encounter in Morocco, 1877-1956</t>
  </si>
  <si>
    <t>Amster, Ellen J.; El Aoued, Rajae</t>
  </si>
  <si>
    <t>The Guardian Poplar : A Memoir of Deep Roots, Journey, and Rediscovery</t>
  </si>
  <si>
    <t>University of Utah Press</t>
  </si>
  <si>
    <t>Peterson, Chase Nebeker; West, Cornel</t>
  </si>
  <si>
    <t>Plain but Wholesome : Foodways of the Mormon Pioneers</t>
  </si>
  <si>
    <t>Cheney, Brock</t>
  </si>
  <si>
    <t>Requiem for the Living : A Memoir</t>
  </si>
  <si>
    <t>Metcalf, Jeff</t>
  </si>
  <si>
    <t>The Adventurous Traveler's Guide to Health</t>
  </si>
  <si>
    <t>University of Washington Press</t>
  </si>
  <si>
    <t>Sanford, Christopher</t>
  </si>
  <si>
    <t>Transparent Body : A Cultural Analysis of Medical Imaging</t>
  </si>
  <si>
    <t>van Dijck, Jose</t>
  </si>
  <si>
    <t>HIV Interventions : Biomedicine and the Traffic Between Information and Flesh</t>
  </si>
  <si>
    <t>Rosengarten, Marsha</t>
  </si>
  <si>
    <t>Toxic Archipelago : A History of Industrial Disease in Japan</t>
  </si>
  <si>
    <t>Walker, Brett L.; Cronon, William</t>
  </si>
  <si>
    <t>Generating Bodies and Gendered Selves : The Rhetoric of Reproduction in Early Modern England</t>
  </si>
  <si>
    <t>Keller, Eve</t>
  </si>
  <si>
    <t>Contagion : Health, Fear, Sovereignty</t>
  </si>
  <si>
    <t>Global Studies Symposium On Contagion, Whitman College); Magnusson, Bruce; Zalloua, Zahi; Zalloua, Zahi</t>
  </si>
  <si>
    <t>Oregon's Doctor to the World : Esther Pohl Lovejoy and a Life in Activism</t>
  </si>
  <si>
    <t>Jensen, Kimberly</t>
  </si>
  <si>
    <t>The Clinic and Elsewhere : Addiction, Adolescents, and the Afterlife of Therapy</t>
  </si>
  <si>
    <t>Meyers, Todd</t>
  </si>
  <si>
    <t>Resuscitate! : How Your Community Can Improve Survival from Sudden Cardiac Arrest, Second Edition</t>
  </si>
  <si>
    <t>Eisenberg, Mickey S.</t>
  </si>
  <si>
    <t>Things No Longer There : A Memoir of Losing Sight and Finding Vision</t>
  </si>
  <si>
    <t>University of Wisconsin Press</t>
  </si>
  <si>
    <t>Krieger, Susan</t>
  </si>
  <si>
    <t>Controversies in Science and Technology, Volume 1 : From Maize to Menopause</t>
  </si>
  <si>
    <t>Kleinman, Daniel Lee; Kinchy, Abby J.; Handelsman, Jo</t>
  </si>
  <si>
    <t>Mothers and Medicine : A Social History of Infant Feeding, 1890-1950</t>
  </si>
  <si>
    <t>Apple, Rima D.</t>
  </si>
  <si>
    <t>Meaning in Suffering : Caring Practices in the Health Professions</t>
  </si>
  <si>
    <t>Johnston, Nancy; Scholler-Jaquish, Alwilda; Ironside, Pamela M.</t>
  </si>
  <si>
    <t>Listening to the Whispers : Re-thinking Ethics in Healthcare</t>
  </si>
  <si>
    <t>Dinkins, Christine Sorrell; Sorrell, Jeanne Merkle</t>
  </si>
  <si>
    <t>Recovering Bodies : Illness, Disability, and Life-writing</t>
  </si>
  <si>
    <t>Couser, G. Thomas; Mairs, Nancy</t>
  </si>
  <si>
    <t>The Healthiest City : Milwaukee and the Politics of Health Reform</t>
  </si>
  <si>
    <t>AIDS in French Culture : Social Ills, Literary Cures</t>
  </si>
  <si>
    <t>How I Became a Human Being : A Disabled Man's Quest for Independence</t>
  </si>
  <si>
    <t>O'Brien, Mark; Kendall, Gillian</t>
  </si>
  <si>
    <t>Out of the Dead House : Nineteenth-Century Women Physicians and the Writing of Medicine</t>
  </si>
  <si>
    <t>Teaching the Practitioners of Care : New Pedagogies for the Health Professions</t>
  </si>
  <si>
    <t>Diekelmann, Nancy L.</t>
  </si>
  <si>
    <t>Healing and Society in Medieval England : A Middle English Translation of the Pharmaceutical Writings of Gilbertus Anglicus</t>
  </si>
  <si>
    <t>Getz, Faye M.</t>
  </si>
  <si>
    <t>Stuttering Meets Sterotype, Stigma, and Discrimination : An Overview of Attitude Research</t>
  </si>
  <si>
    <t>West Virginia University Press</t>
  </si>
  <si>
    <t>St. Louis, Kenneth O.; Tellis, Glen</t>
  </si>
  <si>
    <t>Psychodynamic Psychotherapy in South Africa : Contexts, Theories and Applications</t>
  </si>
  <si>
    <t>Wits University Press</t>
  </si>
  <si>
    <t>Smith, Cora; Lobban, Glenys; OÃ¢ÂÂLoughlin, Michael</t>
  </si>
  <si>
    <t>Baragwanath Hospital , Soweto : A History of Medical Care 1941 - 1990</t>
  </si>
  <si>
    <t>Horwitz, Simonne</t>
  </si>
  <si>
    <t>Antibodies for Infectious Diseases</t>
  </si>
  <si>
    <t>Crowe, James E.; Boraschi, Diana; Rappuoli, Rino</t>
  </si>
  <si>
    <t>Enabling Health Informatics Applications</t>
  </si>
  <si>
    <t>Mantas, J.; Hasman, A.; Househ, M.S.</t>
  </si>
  <si>
    <t>pHealth 2015 : Proceedings of the 12th International Conference on Wearable Micro and Nano Technologies for Personalized Health 2–4 June 2015 Västerås, Sweden</t>
  </si>
  <si>
    <t>Blobel, B.; Lindén, M.; Ahmed, M.U.</t>
  </si>
  <si>
    <t>Science, Faith, and Human Fertility : The Third Conference on Ethical Fertility Health Management</t>
  </si>
  <si>
    <t>Fehring, Richard; Notare, Theresa</t>
  </si>
  <si>
    <t>Veterans and Agent Orange : Herbicide/Dioxin Exposure and Acute Myelogenous Leukemia in the Children of Vietnam Veterans</t>
  </si>
  <si>
    <t>Committee to Review the Health Effects in Vietnam Veterans of Exposure to Herbicides (Third Biennial Update)</t>
  </si>
  <si>
    <t>Safe Passage : Astronaut Care for Exploration Missions</t>
  </si>
  <si>
    <t>Institute of Medicine, Committee on Creating a Vision for Space Medicine during Travel Beyond Earth Orbit; Ball, John; Evans, Charles H.; Board on Health Sciences Policy,; Institute of Medicine,; National Academy of Sciences,</t>
  </si>
  <si>
    <t>Veterans and Agent Orange : Update 2000</t>
  </si>
  <si>
    <t>Division of Health Promotion and Disease Prevention Staff; Institute of Medicine, Committee to Review the Health Effects in Vietnam Veterans of Exposure to Herbicides</t>
  </si>
  <si>
    <t>Estimating Eligibility and Participation for the WIC Program : Final Report</t>
  </si>
  <si>
    <t>Panel to Evaluate the USDA's Methodology for Estimating Eligibility and Participation for the WIC Program, National Research Council; Ver Ploeg, Michele; Betson, David M.</t>
  </si>
  <si>
    <t>Veterans and Agent Orange : Update 2002</t>
  </si>
  <si>
    <t>Committee to Review the Health Effects in Vietnam Veterans of Exposure to Herbicides (Fourth Biennial Update)</t>
  </si>
  <si>
    <t>Psychosocial Concepts in Humanitarian Work with Children : A Review of the Concepts and Related Literature</t>
  </si>
  <si>
    <t>Loughry, Maryanne; Eyber, Carola; Editors, Roundtable on the Demography of Forced Migration, National Research Council, Program on Forced Migration and Health at the Mailman School of Public Health, Columbia University; Committee on Population,; Division of Behavioral and Social Sciences and Education,; Columbia University,; Loughry, Maryanne; Eyber, Carola</t>
  </si>
  <si>
    <t>Dietary Reference Intakes : Applications in Dietary Planning</t>
  </si>
  <si>
    <t>Subcommittee on Interpretation and Uses of Dietary Reference Intakes and the Standing Committee on the Scientific Evaluation of Dietary Reference Intakes; Standing Committee on the Scientific Evaluation of Dietary Reference Intakes,; Food and Nutrition Board,; Institute of Medicine,</t>
  </si>
  <si>
    <t>Initial Steps in Rebuilding the Health Sector in East Timor</t>
  </si>
  <si>
    <t>Roundtable on the Demography of Forced Migration; National Research Council,and Program on Forced Migration and Health at the Mailman School of Public Health; Columbia University; National Research Council,; Program on Forced Migration and Health at the Mailman School of Public Health,; Columbia University,; National Academy of Sciences,</t>
  </si>
  <si>
    <t>Distribution and Administration of Potassium Iodide in the Event of a Nuclear Incident</t>
  </si>
  <si>
    <t>Committee to Assess the Distribution and Administration of Potassium Iodide in the Event of a Nuclear Incident</t>
  </si>
  <si>
    <t>Keeping Patients Safe : Transforming the Work Environment of Nurses</t>
  </si>
  <si>
    <t>Page, Ann; Institute of Medicine (U.S.), Board on Health Care Services Committee on the Work Environment for Nurses and Patient Safety Staff</t>
  </si>
  <si>
    <t>Testosterone and Aging : Clinical Research Directions</t>
  </si>
  <si>
    <t>Liverman, Catharyn T.; Blazer, Dan G.; National Research Council (U.S.), Committee on Assessing the Need for Clinical Trials of Testosterone Replacement Therapy Staff; National Academy of Sciences,; Liverman, Catharyn T.; Blazer, Dan G.</t>
  </si>
  <si>
    <t>Social Science; Health; Science; Science: Anatomy/Physiology</t>
  </si>
  <si>
    <t>Bridging the Bed-Bench Gap : Contributions of the Markey Trust</t>
  </si>
  <si>
    <t>Committee on the Evaluation of the Lucille P. Markey Charitable Trust Programs in Biomedical Sciences</t>
  </si>
  <si>
    <t>Advancing Prion Science : Guidance for the National Prion Research Program</t>
  </si>
  <si>
    <t>Erdtmann, Rick; Sivitz, Laura; Institute of Medicine (U.S.), Committee on Transmissible Spongiform Encephalopathies: Assessment of Relevant Science Staff; National Academy of Sciences,; Erdtmann, Rick; Sivitz, Laura B.</t>
  </si>
  <si>
    <t>Academic Health Centers : Leading Change in the 21st Century</t>
  </si>
  <si>
    <t>Kohn, Linda T.; Institute of Medicine (U.S.), Committee on the Roles of Academic Health Centers in the 21st Century Staff; Board on Health Care Services,; National Academy of Sciences,; Kohn, Linda T.</t>
  </si>
  <si>
    <t>Infant Formula : Evaluating the Safety of New Ingredients</t>
  </si>
  <si>
    <t>Institute of Medicine (U.S.), Committee on the Evaluation of the Addition of Ingredients New to Infant Formula Staff; Food and Nutrition Board,; Institute of Medicine,; National Academy of Sciences,</t>
  </si>
  <si>
    <t>New Treatments for Addiction : Behavioral, Ethical, Legal, and Social Questions</t>
  </si>
  <si>
    <t>Harwood, Henrick J.; Myers, Tracy G.; National Academies (U.S.), Committee on Immunotherapies and Sustained-Release Formulations for Treating Drug Addiction Staff; Board on Neuroscience and Behavioral Health,; Institute of Medicine,; Division of Behavioral and Social Sciences and Education,; National Research Council,; National Academy of Sciences,; Harwood, Henrick J.; Myers, Tracy G.</t>
  </si>
  <si>
    <t>Measuring What Matters : Allocation, Planning, and Quality Assessment for the Ryan White CARE Act</t>
  </si>
  <si>
    <t>Institute of Medicine (U.S.), Committee on the Ryan White CARE Act: Data for Resource Allocation, Planning and Evaluation Staff; Planning and Evaluation,; Board on Health Promotion and Disease Prevention,; Institute of Medicine,; National Academy of Sciences,</t>
  </si>
  <si>
    <t>Safe Drinking Water CommitteeBoard on Toxicology and Environmental Health HazardsNational Research Council</t>
  </si>
  <si>
    <t>Safety of Genetically Engineered Foods : Approaches to Assessing Unintended Health Effects</t>
  </si>
  <si>
    <t>Committee on Identifying and Assessing Unintended Effects of Genetically Engineered Foods on Human Health</t>
  </si>
  <si>
    <t>Exposure of the American Population to Radioactive Fallout from Nuclear Weapons Tests</t>
  </si>
  <si>
    <t>National Research Council (U.S.), Committee to Review the CDC-NCI Feasibility Study of the Health Consequences from Nuclear Weapons Tests Staff</t>
  </si>
  <si>
    <t>Protecting Data Privacy in Health Services Research</t>
  </si>
  <si>
    <t>Institute of Medicine, Committee on the Role of Institutional Review Boards in Health Services Research Data Privacy Protection Staff</t>
  </si>
  <si>
    <t>Innovation and Invention in Medical Devices : Workshop Summary</t>
  </si>
  <si>
    <t>Institute of Medicine, Roundtable on Research and Development of Drugs, Biologics, and Medical Devices Staff; Hanna, Kathi E.</t>
  </si>
  <si>
    <t>Hearing Loss : Determining Eligibility for Social Security Benefits</t>
  </si>
  <si>
    <t>Committee on Disability Determination for Individuals with Hearing Impairments, National Research Council; Dobie, Robert A.; Van Hemel, Susan; National Research Council,; National Academy of Sciences,; Dobie, Robert A.; Hemel, Susan van</t>
  </si>
  <si>
    <t>Vaccine Safety Research, Data Access, and Public Trust</t>
  </si>
  <si>
    <t>Committee on the Review of the National Immunization Program's Research Procedures and Data Sharing Program</t>
  </si>
  <si>
    <t>Impact of Revised Airborne Exposure Limits on Non-Stockpile Chemical Materiel Program Activities</t>
  </si>
  <si>
    <t>Committee on Review and Assessment of the Army Non-Stockpile Chemical Materiel Demilitarization Program; National Research Council</t>
  </si>
  <si>
    <t>Dietary Reference Intakes for Energy, Carbohydrate, Fiber, Fat, Fatty Acids, Cholesterol, Protein, and Amino Acids (Macronutrients)</t>
  </si>
  <si>
    <t>Panel on Macronutrients; Subcommittees on Upper Reference Levels of Nutrients and Interpretation and Uses of Dietary Reference Intakes; Standing Committee on the Scientific Evaluation of Dietary Reference Intakes</t>
  </si>
  <si>
    <t>Ethical Considerations for Research on Housing-Related Health Hazards Involving Children</t>
  </si>
  <si>
    <t>National Research Council (U.S.), Committee on Ethical Issues in Housing-Related Health Hazard Research Involving Children, Youth, and Families Staff; Lo, Bernard; O'Connell, Mary Ellen</t>
  </si>
  <si>
    <t>Funding Biomedical Research Programs : Contributions of the Markey Trust</t>
  </si>
  <si>
    <t>Committee for the Evaluation of the Lucille P. Markey Charitable Trust Programs in Biomedical Sciences; Board on Higher Education and Workforce</t>
  </si>
  <si>
    <t>Exploring the Role of Antiviral Drugs in the Eradication of Polio : Workshop Report</t>
  </si>
  <si>
    <t>Committee on Development of a Polio Antiviral and Its Potential Role in Global Poliomyelitis Eradication; National Research Council</t>
  </si>
  <si>
    <t>Evaluation of the Markey Scholars Program</t>
  </si>
  <si>
    <t>Committee for the Evaluation of the Lucille P. Markey Charitable Trust Programs in Biomedical Sciences; National Research Council</t>
  </si>
  <si>
    <t>Gulf War and Health, Volume 4 : Health Effects of Serving in the Gulf War</t>
  </si>
  <si>
    <t>Committee on Gulf War and Health: A Review of the Medical Literature Relative to the Gulf War Veterans' Health</t>
  </si>
  <si>
    <t>Implementing Cancer Survivorship Care Planning</t>
  </si>
  <si>
    <t>Institute of Medicine (U.S.), National Cancer Policy Forum Staff; Lance Armstrong Foundation Staff; National Coalition for Cancer Survivorship and Institute of Medicine National Cancer Policy Forum Staff</t>
  </si>
  <si>
    <t>Reopening Public Facilities after a Biological Attack : A Decision-Making Framework</t>
  </si>
  <si>
    <t>National Research Council (U.S.), Committee on Standards and Policies for Decontaminating Public Facilities Staff</t>
  </si>
  <si>
    <t>Ethical Considerations for Research Involving Prisoners</t>
  </si>
  <si>
    <t>Committee on Ethical Considerations for Revisions to DHHS Regulations for Protection of Prisoners Involved in Research Staff</t>
  </si>
  <si>
    <t>Review of the Worker and Public Health Activities Program Administered by the Department of Energy and the Department of Health and Human Services</t>
  </si>
  <si>
    <t>National Research Council (U.S.), Committee to Review the Worker and Public Health Activities Program Staff</t>
  </si>
  <si>
    <t>Assessment of Potential Health Effects from Exposure to PAVE PAWS Low-Level Phased-Array Radiofrequency Energy</t>
  </si>
  <si>
    <t>National Research Council (U.S.), Committee to Assess Potential Health Effects from Exposures to PAVE PAWS Low-Level Phased-Array Radiofrequency Energy Staff</t>
  </si>
  <si>
    <t>Rewarding Provider Performance : Aligning Incentives in Medicare</t>
  </si>
  <si>
    <t>Institute of Medicine (U.S.), Committee on Redesigning Health Insurance Performance Measures, Payments and Performance Improvements Staff</t>
  </si>
  <si>
    <t>Subcommittee on Emergency and Continuous Exposure Guidance Levels for Selected Submarine Contaminants; Committee on Toxicology; National Research Council</t>
  </si>
  <si>
    <t>Assessment of the NIOSH Head-and-Face Anthropometric Survey of U.S. Respirator Users</t>
  </si>
  <si>
    <t>Committee for the Assessment of the NIOSH Head and Face Anthropometric Survey of U.S. Respirator Users; Bailar, John C.; Meyer, Emily Ann</t>
  </si>
  <si>
    <t>Engineering: General; Engineering; Engineering: Manufacturing</t>
  </si>
  <si>
    <t>Advancing Quality Improvement Research : Challenges and Opportunities  : Workshop Summary</t>
  </si>
  <si>
    <t>Chao, Samantha; National Research Council (U.S.). Forum on the Science of Health Care Quality Improvement and Implementation; Institute of Medicine,; National Academy of Sciences,; Chao, Samantha</t>
  </si>
  <si>
    <t>PEPFAR Implementation : Progress and Promise</t>
  </si>
  <si>
    <t>Sepulveda, Jaime; Committee for the Evaluation of the President's Emergency Plan for AIDS Relief (PEPFAR) Implementation; Carpenter, Charles</t>
  </si>
  <si>
    <t>Applications of Toxicogenomic Technologies to Predictive Toxicology and Risk Assessment</t>
  </si>
  <si>
    <t>Committee on Applications of Toxicogenomic Technologies to Predictive Toxicology and Risk Assessment, National Research Council</t>
  </si>
  <si>
    <t>Challenges in Adolescent Heath Care : Workshop Report</t>
  </si>
  <si>
    <t>Committee on Adolescent Health Care Services and Models of Care for Treatment, Prevention and Healthy Development, National Research Council and Institute of Medicine</t>
  </si>
  <si>
    <t>Review of the DoD-GEIS Influenza Programs : Strengthening Global Surveillance and Response</t>
  </si>
  <si>
    <t>Committee for the Assessment of DoD-GEIS Influenza Surveillance and Response Programs, National Research Council; Board on Global Health,; Institute of Medicine,</t>
  </si>
  <si>
    <t>Biosocial Surveys</t>
  </si>
  <si>
    <t>Committee on Advances in Collecting and Utilizing Biological Indicators and Genetic Information in Social Science Surveys; Weinstein, Maxine; Vaupel, James W.</t>
  </si>
  <si>
    <t>Review of Toxicologic and Radiologic Risks to Military Personnel from Exposure to Depleted Uranium During and After Combat</t>
  </si>
  <si>
    <t>Committee on Toxicologic and Radiologic Effects from Exposure to Depleted Uranium During and After Combat; Committee on Toxicology</t>
  </si>
  <si>
    <t>Benefit-Cost Analysis for Early Childhood Interventions : Workshop Summary</t>
  </si>
  <si>
    <t>Beatty, Alexandra; Rapporteur; Committee on Strengthening Benefit-Cost Methodology for the Evaluation of Early Childhood Interventions</t>
  </si>
  <si>
    <t>Responsible Research with Biological Select Agents and Toxins</t>
  </si>
  <si>
    <t>Committee on Laboratory Security and Personnel Reliability Assurance Systems for Laboratories Conducting Research on Biological Select Agents and Toxins; National Research Council</t>
  </si>
  <si>
    <t>Sustaining Global Surveillance and Response to Emerging Zoonotic Diseases</t>
  </si>
  <si>
    <t>Committee on Achieving Sustainable Global Capacity for Surveillance and Response to Emerging Diseases of Zoonotic Origin; Keusch, Gerald T.</t>
  </si>
  <si>
    <t>Summary of the October 2009 Forum on the Future of Nursing : Acute Care</t>
  </si>
  <si>
    <t>Committee on the Robert Wood Johnson Foundation Initiative on the Future of Nursing at the Institute of Medicine</t>
  </si>
  <si>
    <t>Returning Home from Iraq and Afghanistan : Preliminary Assessment of Readjustment Needs of Veterans, Service Members, and Their Families</t>
  </si>
  <si>
    <t>Committee on the Initial Assessment of Readjustment Needs of Military Personnel, Veterans, and Their Families; Board on the Health of Selected Populations; Institute of Medicine</t>
  </si>
  <si>
    <t>Strategic Approach to the Evaluation of Programs Implemented Under the Tom Lantos and Henry J. Hyde U.S. Global Leadership Against HIV/AIDS, Tuberculosis, and Malaria Reauthorization Act of 2008</t>
  </si>
  <si>
    <t>Committee on Planning the Assessment/Evaluation of Programs Implemented Under the U.S. Global Leadership Against HIV/AIDS</t>
  </si>
  <si>
    <t>Provision of Mental Health Counseling Services Under TRICARE</t>
  </si>
  <si>
    <t>Committee on the Qualifications of Professionals Providing Mental Health Counseling Services under TRICARE; Board on the Health of Select Populations</t>
  </si>
  <si>
    <t>Social Science; Health; Military Science</t>
  </si>
  <si>
    <t>Summary of the February 2010 Forum on the Future of Nursing : Education</t>
  </si>
  <si>
    <t>Committee on the Robert Wood Johnson Foundation Initiative on the Future of Nursing, at the Institute of Medicine; Institute of Medicine</t>
  </si>
  <si>
    <t>Evaluation of the Food Safety Requirements of the Federal Purchase Ground Beef Program</t>
  </si>
  <si>
    <t>Committee on an Evaluation of the Food Safety Requirements of the Federal Purchase Ground Beef Program; National Research Council; National Research Council</t>
  </si>
  <si>
    <t>Preliminary Observations on Information Technology Needs and Priorities for the Centers for Medicare and Medicaid Services : An Interim Report</t>
  </si>
  <si>
    <t>Committee on Future Information Architectures, Processes, and Strategies for the Centers for Medicare and Medicaid Services; National Research Council</t>
  </si>
  <si>
    <t>Preparing for the Future of HIV/AIDS in Africa : A Shared Responsibility</t>
  </si>
  <si>
    <t>Committee on Envisioning a Strategy for the Long-Term Burden of HIV/AIDS: African Needs and U.S. Interests; Institute of Medicine</t>
  </si>
  <si>
    <t>Preventing Transmission of Pandemic Influenza and Other Viral Respiratory Diseases : Personal Protective Equipment for Healthcare Workers</t>
  </si>
  <si>
    <t>Committee on Personal Protective Equipment for Healthcare Personnel to Prevent Transmission of Pandemic Influenza and Other Viral Respiratory Infections: Current Research Issues; Larson, Elaine L.; Liverman, Catharyn T.</t>
  </si>
  <si>
    <t>Health of Lesbian, Gay, Bisexual, and Transgender People : Building a Foundation for Better Understanding</t>
  </si>
  <si>
    <t>Committee on Lesbian, Gay, Bisexual, and Transgender Health Issues and Research Gaps and Opportunities; Board on the Health of Select Populations; Institute of Medicine</t>
  </si>
  <si>
    <t>Identification of Research Needs Relating to Potential Biological or Adverse Health Effects of Wireless Communication</t>
  </si>
  <si>
    <t>Committee on Identification of Research Needs Relating to Potential Biological or Adverse Health Effects of Wireless Communications Devices</t>
  </si>
  <si>
    <t>Nationwide Framework for Surveillance of Cardiovascular and Chronic Lung Diseases</t>
  </si>
  <si>
    <t>Committee on a National Surveillance System for Cardiovascular and Select Chronic Diseases; Institute of Medicine; Institute of Medicine,</t>
  </si>
  <si>
    <t>Climate Change, the Indoor Environment, and Health</t>
  </si>
  <si>
    <t>Committee on the Effect of Climate Change on Indoor Air Quality and Public Health; Institute of Medicine; Board on Population Health and Public Health Practice,; Institute of Medicine,</t>
  </si>
  <si>
    <t>Veterans and Agent Orange : Update 2008</t>
  </si>
  <si>
    <t>Committee to Review the Health Effects in Vietnam Veterans of Exposure to Herbicides (Seventh Biennial Update); Institute of Medicine</t>
  </si>
  <si>
    <t>Veterans and Agent Orange : Update 2010</t>
  </si>
  <si>
    <t>Committee to Review the Health Effects in Vietnam Veterans of Exposure to Herbicides (Eighth Biennial Update); Institute of Medicine</t>
  </si>
  <si>
    <t>Living Well with Chronic Illness : A Call for Public Health Action</t>
  </si>
  <si>
    <t>Committee on Living Well with Chronic Disease: Public Action to Reduce Disability and Improve Functioning and Quality of Life; Institute of Medicine</t>
  </si>
  <si>
    <t>Primary Care and Public Health : Exploring Integration to Improve Population Health</t>
  </si>
  <si>
    <t>Committee on Integrating Primary Care and Public Health; Board on Population Health and Public Health Practice; Institute of Medicine; Board on Population Health and Public Health Practice,; Institute of Medicine,</t>
  </si>
  <si>
    <t>Tracking Radiation Exposure from Medical Diagnostic Procedures : Workshop Reports</t>
  </si>
  <si>
    <t>Committee on Tracking Radiation Doses from Medical Diagnostic Procedures; Nuclear and Radiation Studies Board; Division on Earth and Life Studies; National Research Council; Nuclear and Radiation Studies Board,; Division on Earth and Life Studies,; National Research Council,</t>
  </si>
  <si>
    <t>Analysis of Cancer Risks in Populations Near Nuclear Facilities : Phase I</t>
  </si>
  <si>
    <t>Committee on the Analysis of Cancer Risks in Populations near Nuclear Facilities-Phase I; Nuclear and Radiation Studies Board; Division on Earth and Life Studies; National Research Council; Nuclear and Radiation Studies Board,; Division on Earth and Life Studies,; National Research Council,</t>
  </si>
  <si>
    <t>Ethical and Scientific Issues in Studying the Safety of Approved Drugs</t>
  </si>
  <si>
    <t>Committee on Ethical and Scientific Issues in Studying the Safety of Approved Drugs; Board on Population Health and Public Health Practice; Institute of Medicine; Board on Population Health and Public Health Practice,; Institute of Medicine,</t>
  </si>
  <si>
    <t>Pharmacy; Medicine; Philosophy</t>
  </si>
  <si>
    <t>For the Public's Health : Investing in a Healthier Future</t>
  </si>
  <si>
    <t>Committee on Public Health Strategies to Improve Health; Board on Population Health and Public Health Practices; Institute of Medicine; Board on Population Health and Public Health Practice,; Institute of Medicine,</t>
  </si>
  <si>
    <t>Safe and Effective Medicines for Children : Pediatric Studies Conducted under the Best Pharmaceuticals for Children Act and the Pediatric Research Equity Act</t>
  </si>
  <si>
    <t>Field, Marilyn J.; Boat, Thomas F.; Committee on Pediatric Studies Conducted Under the Best Pharmaceuticals for Children Act (BPCA) and the Pediatric Research Equity Act (PREA)</t>
  </si>
  <si>
    <t>Preventing Psychological Disorders in Service Members and Their Families : An Assessment of Programs</t>
  </si>
  <si>
    <t>Committee on the Assessment of Resiliency and Prevention Programs for Mental and Behavioral Health in Service Members and Their Families; Board on the Health of Select Populations; Institute of Medicine; Marc Meisnere; Kenneth E. Warner</t>
  </si>
  <si>
    <t>The Childhood Immunization Schedule and Safety : Stakeholder Concerns, Scientific Evidence, and Future Studies</t>
  </si>
  <si>
    <t>Board on Population Health and Public Health Practice; Institute of Medicine; Committee on the Assessment of Studies of Health Outcomes Related to the Recommended Childhood Immunization Schedule</t>
  </si>
  <si>
    <t>Future Uses of the Department of Defense Joint Pathology Center Biorepository</t>
  </si>
  <si>
    <t>Board on the Health of Select Populations; Institute of Medicine; Committee on the Review of the Appropriate Use of AFIP's Tissue Repository Following Its Transfer to the Joint Pathology Center</t>
  </si>
  <si>
    <t>The CTSA Program at NIH : Opportunities for Advancing Clinical and Translational Research</t>
  </si>
  <si>
    <t>Committee to Review the Clinical and Translational Science Awards Program at the National Center for Advancing Translational Sciences; Board on Health Sciences Policy; Institute of Medicine; Sharon F. Terry; Andrea M. Schultz; Catharyn T. Liverman</t>
  </si>
  <si>
    <t>Substance Use Disorders in the U.S. Armed Forces</t>
  </si>
  <si>
    <t>Committee on Prevention, Diagnosis, Treatment and Management of Substance Use Disorders in the U.S. Armed Forces; Board on the Health of Select Populations; Institute of Medicine; Maryjo Oster; Emily Morden</t>
  </si>
  <si>
    <t>Capturing Social and Behavioral Domains in Electronic Health Records : Phase 1</t>
  </si>
  <si>
    <t>Board on Population Health and Public Health Practice; Institute of Medicine; Committee on the Recommended Social and Behavioral Domains and Measures for Electronic Health Records</t>
  </si>
  <si>
    <t>A Clinician's Guide to Teaching Mindfulness : The Comprehensive Session-by-Session Program for Mental Health Professionals and Health Care Providers</t>
  </si>
  <si>
    <t>Wolf, Christiane; Serpa, J. Greg; Kornfield, Jack; Goodman, Trudy</t>
  </si>
  <si>
    <t>Testing for Athlete Citizenship : Regulating Doping and Sex in Sport</t>
  </si>
  <si>
    <t>Henne, Kathryn E.</t>
  </si>
  <si>
    <t>Metaphor : The Weavers of Chinese Medizin</t>
  </si>
  <si>
    <t>Lan, Fengli; Wallner, Friedrich</t>
  </si>
  <si>
    <t>Writing Childbirth : Women's Rhetorical Agency in Labor and Online</t>
  </si>
  <si>
    <t>Owens, Kim Hensley</t>
  </si>
  <si>
    <t>Fast Facts for the Triage Nurse : An Orientation and Care Guide in a Nutshell</t>
  </si>
  <si>
    <t>Sivo Montejano, Anna, MSNEd, RN, CEN; Grossman, Valerie Aarne, MALS, BSN, RN; Sayre Visser, Lynn, MSN, BS, RN, CEN, CPEN, CLNC</t>
  </si>
  <si>
    <t>Clinician's Guide to Partial Hospitalization and Intensive Outpatient Practice</t>
  </si>
  <si>
    <t>Houvenagle, David, Dr., PhD, LCSW; David Houvenagle Phd, Lcsw</t>
  </si>
  <si>
    <t>Nursing Case Studies in Caring : Across the Practice Spectrum</t>
  </si>
  <si>
    <t>Barry, Kristen Lawton, PhD; Gordon, Shirley C.; King, Beth M.; Charlotte Barry Phd, Rn; Shirley Gordon Phd, Rn</t>
  </si>
  <si>
    <t>At the Chef's Table : Culinary Creativity in Elite Restaurants</t>
  </si>
  <si>
    <t>Leschziner, Vanina; Vanina, Leschziner</t>
  </si>
  <si>
    <t>Mammographies : The Cultural Discourse of Breast Cancer Narratives</t>
  </si>
  <si>
    <t>Close to Me, but Far Away : Living with Alzheimer's</t>
  </si>
  <si>
    <t>Wheeler, Burton M.</t>
  </si>
  <si>
    <t>Quinine and Quarantine : Missouri Medicine Through the Years</t>
  </si>
  <si>
    <t>Humphrey, Loren</t>
  </si>
  <si>
    <t>Healing Waters</t>
  </si>
  <si>
    <t>Bullard, Loring</t>
  </si>
  <si>
    <t>Lessons in Mortality : Doctors and Patients Struggling Together</t>
  </si>
  <si>
    <t>Weisse, Allen B.</t>
  </si>
  <si>
    <t>Evolution of a Missouri Asylum : Fulton State Hospital, 1851-2006</t>
  </si>
  <si>
    <t>Lael, Richard L.; Brazos, Barbara; McMillen, Margot Ford</t>
  </si>
  <si>
    <t>Aging in the Twenty-First Century : An Everyday Guide to Health, Mind, and Behavior</t>
  </si>
  <si>
    <t>Kausler, Donald H.; Kausler, Barry C.; Krupshaw, Jill A.</t>
  </si>
  <si>
    <t>Man Behind the Mask : The Journey of an Orthopaedic Surgeon</t>
  </si>
  <si>
    <t>Mallory, Thomas H.</t>
  </si>
  <si>
    <t>The Anticipatory Corpse : Medicine, Power, and the Care of the Dying</t>
  </si>
  <si>
    <t>Bishop, Jeffrey P.</t>
  </si>
  <si>
    <t>Vinho, Gastronomia e Saúde</t>
  </si>
  <si>
    <t>U.Porto editorial</t>
  </si>
  <si>
    <t>Hipólito-Reis, C.</t>
  </si>
  <si>
    <t>AIR</t>
  </si>
  <si>
    <t>Urotext</t>
  </si>
  <si>
    <t>Hemat, R.A.S</t>
  </si>
  <si>
    <t>Andropathy</t>
  </si>
  <si>
    <t>Right to Health : Medicine, Marginality, and Health Care Reform in Northeastern Brazil</t>
  </si>
  <si>
    <t>Jerome, Jessica Scott</t>
  </si>
  <si>
    <t>The I of the Storm : Understanding the Suicidal Mind</t>
  </si>
  <si>
    <t>Lester, David</t>
  </si>
  <si>
    <t>Bangladesh National Nutrition Services : Assessment of Implementation Status</t>
  </si>
  <si>
    <t>Saha, Kuntal K.; Billah, Masum; Menon, Purnima</t>
  </si>
  <si>
    <t>A la Tete du Client and Fly Over the Crooks Crooked nest</t>
  </si>
  <si>
    <t>Fouda, Mercedes</t>
  </si>
  <si>
    <t>Health; Social Science; Fiction</t>
  </si>
  <si>
    <t>Augmentative and Alternative Communication for Adults with Aphasia: Science and Clinical Practice</t>
  </si>
  <si>
    <t>Koul, Rajinder; Lloyd, Lyle L.; Arvidson, Helen H.</t>
  </si>
  <si>
    <t>Falafel Nation : Cuisine and the Making of National Identity in Israel</t>
  </si>
  <si>
    <t>Raviv, Yael</t>
  </si>
  <si>
    <t>Foundations of Group Analysis for the Twenty-First Century : Foundations</t>
  </si>
  <si>
    <t>Maratos, Jason</t>
  </si>
  <si>
    <t>Riverview Hospital for Children and Youth : A Culture of Promise</t>
  </si>
  <si>
    <t>Wesleyan University Press</t>
  </si>
  <si>
    <t>Wiseman, Richard J.</t>
  </si>
  <si>
    <t>The W.R. Bion Tradition</t>
  </si>
  <si>
    <t>Civitarese, Giuseppe; Levine, Howard B.</t>
  </si>
  <si>
    <t>Embodied Relating : The Ground of Psychotherapy</t>
  </si>
  <si>
    <t>The Therapy Relationship : A Special Kind of Friendship</t>
  </si>
  <si>
    <t>Hallam, Richard</t>
  </si>
  <si>
    <t>CBT and Christianity : Strategies and Resources for Reconciling Faith in Therapy</t>
  </si>
  <si>
    <t>Free, Michael L.</t>
  </si>
  <si>
    <t>Emergency Triage : Telephone Triage and Advice</t>
  </si>
  <si>
    <t>Advanced Life Support Group</t>
  </si>
  <si>
    <t>Targeted Therapy in Translational Cancer Research</t>
  </si>
  <si>
    <t>Bast, Robert C.; Markman, Maurie; Hawk, Ernest; Tsimberidou, Apostolia-Maria; Kurzrock, Razelle; Anderson, Kenneth C.</t>
  </si>
  <si>
    <t>The Genetics of Neurodevelopmental Disorders</t>
  </si>
  <si>
    <t>Mitchell, Kevin J.</t>
  </si>
  <si>
    <t>Psychiatry : Breaking the ICE Introductions, Common Tasks, Emergencies for Trainees</t>
  </si>
  <si>
    <t>Stringer, Sarah L.; Hurn, Juliet; Burnside, Anna M.</t>
  </si>
  <si>
    <t>Computational Pharmaceutics : Application of Molecular Modeling in Drug Delivery</t>
  </si>
  <si>
    <t>Douroumis, Dennis; Fahr, Alfred; Siepmann, Juergen; Snowden, Martin J.; Torchilin, Vladimir; Ouyang, Defang; Smith, Sean C.</t>
  </si>
  <si>
    <t>Esophageal Cancer and Barrett's Esophagus</t>
  </si>
  <si>
    <t>Sharma, Prateek; Sampliner, Richard; Ilson, David; Cutsem, Eric van</t>
  </si>
  <si>
    <t>Workplace Health Promotion Programs : Planning, Implementation, and Evaluation</t>
  </si>
  <si>
    <t>Fertman, Carl I.</t>
  </si>
  <si>
    <t>Bladder Cancer : Diagnosis and Clinical Management</t>
  </si>
  <si>
    <t>Lerner, Seth; Schoenberg, Mark; Sternberg, Cora</t>
  </si>
  <si>
    <t>Pharmaceutical Blending and Mixing</t>
  </si>
  <si>
    <t>Cullen, P. J.; RomaÃ±ach, Rodolfo J.; Abatzaglou, Nicolas; Rielly, Chris D.; Rielly, Chris D; Abatzoglou, Nicolas</t>
  </si>
  <si>
    <t>Research Methods in Clinical Psychology : An Introduction for Students and Practitioners</t>
  </si>
  <si>
    <t>Barker, Chris; Pistrang, Nancy; Elliott, Robert</t>
  </si>
  <si>
    <t>Gwee, Amanda; Rimer, Romi; Marks, Michael</t>
  </si>
  <si>
    <t>AAGBI Core Topics in Anaesthesia 2015</t>
  </si>
  <si>
    <t>Harrop-Griffiths, William; Griffiths, Richard; Plaat, Felicity; Harrop-Griffiths, William; Gemmell, Leslie</t>
  </si>
  <si>
    <t>Advances and Challenges in Pulmonary Drug Delivery : Advances and Challenges</t>
  </si>
  <si>
    <t>Nokhodchi, Ali; Martin, Gary P.</t>
  </si>
  <si>
    <t>Weight-Of-Evidence for Forensic DNA Profiles</t>
  </si>
  <si>
    <t>Balding, David J.; Steele, Christopher D.; Balding, D J</t>
  </si>
  <si>
    <t>Introduction to the Practice of Psychoanalytic Psychotherapy</t>
  </si>
  <si>
    <t>Bats and Viruses : A New Frontier of Emerging Infectious Diseases</t>
  </si>
  <si>
    <t>Wang, Lin-Fa; Cowled, Christopher</t>
  </si>
  <si>
    <t>Modern Vibrational Spectroscopy and Micro-Spectroscopy : Theory, Instrumentation and Biomedical Applications</t>
  </si>
  <si>
    <t>Diem, Max</t>
  </si>
  <si>
    <t>Translational ADMET for Drug Therapy : Principles, Methods, and Pharmaceutical Applications</t>
  </si>
  <si>
    <t>Yanni, Souzan B.</t>
  </si>
  <si>
    <t>Pocket Guide to Teaching for Clinical Instructors</t>
  </si>
  <si>
    <t>Bullock, Ian; Davis, Mike; Lockey, Andrew; Mackway-Jones, Kevin</t>
  </si>
  <si>
    <t>Clinical Guide to Transplantation in Lymphoma</t>
  </si>
  <si>
    <t>Savani, Bipin N.; Mohty, Mohamad</t>
  </si>
  <si>
    <t>Biofilms in the Food Environment</t>
  </si>
  <si>
    <t>Blaschek, Hans P.; Wang, Hua H.; Agle, Meredith E.; Wang, Hua H.; Agle, Meredith E.</t>
  </si>
  <si>
    <t>The Frith Prescribing Guidelines for People with Intellectual Disability</t>
  </si>
  <si>
    <t>Bhaumik, Sabyasachi; Gangadharan, Satheesh Kumar; Branford, David; Barrett, Mary</t>
  </si>
  <si>
    <t>Examination of the Newborn : An Evidence-Based Guide</t>
  </si>
  <si>
    <t>Lomax, Anne</t>
  </si>
  <si>
    <t>How to Develop Your Career in Dentistry</t>
  </si>
  <si>
    <t>Brooks, Janine</t>
  </si>
  <si>
    <t>Diagnosis and Treatment of Children and Adolescents : A Guide for Clinical and School Settings</t>
  </si>
  <si>
    <t>Flamez, Brandé; Sheperis, Carl J.</t>
  </si>
  <si>
    <t>Orthodontics in the Vertical Dimension : A Case-Based Review</t>
  </si>
  <si>
    <t>Southard, Thomas E.; Marshall, Steven D.; Bonner, Laura L.</t>
  </si>
  <si>
    <t>Children's Intonation : A Framework for Practice and Research</t>
  </si>
  <si>
    <t>Wells, Bill; Stackhouse, Joy</t>
  </si>
  <si>
    <t>Treating Adolescents</t>
  </si>
  <si>
    <t>Steiner, Hans; Hall, Rebecca E.</t>
  </si>
  <si>
    <t>Schema Therapy with Couples : A Practitioner's Guide to Healing Relationships</t>
  </si>
  <si>
    <t>Simeone-DiFrancesco, Chiara; Roediger, Eckhard; Stevens, Bruce A.; Simeone-Difrancesco, Chiara</t>
  </si>
  <si>
    <t>UICC Manual of Clinical Oncology</t>
  </si>
  <si>
    <t>D'Cruz, Anil; Fey, Martin; Pollock, Raphael E.; Vermorken, Jan; Huang, Shao Hui; O'Sullivan, Brian; Brierley, James</t>
  </si>
  <si>
    <t>Handbook of Polymers for Pharmaceutical Technologies, Biodegradable Polymers</t>
  </si>
  <si>
    <t>Thakur, Vijay Kumar; Thakur, Manju Kumari</t>
  </si>
  <si>
    <t>Demaerschalk, Bart; Wingerchuk, Dean; Candelise, Livia</t>
  </si>
  <si>
    <t>The Suicide and Homicide Risk Assessment and Prevention Treatment Planner, with DSM-5 Updates</t>
  </si>
  <si>
    <t>The Intellectual and Developmental Disability Treatment Planner, with DSM 5 Updates</t>
  </si>
  <si>
    <t>Jongsma, Arthur E., Jr.; Berghuis, David J.; Slaggert, Kellye</t>
  </si>
  <si>
    <t>The Juvenile Justice and Residential Care Treatment Planner, with DSM 5 Updates</t>
  </si>
  <si>
    <t>Jongsma, Arthur E., Jr.; McInnis, William P.; Myers, Michell A.; Sullivan, Kathleen O'Connell; Dennis, Wanda D.</t>
  </si>
  <si>
    <t>Relational Integrative Psychotherapy : Engaging Process and Theory in Practice</t>
  </si>
  <si>
    <t>The Wiley Handbook of Art Therapy</t>
  </si>
  <si>
    <t>Gussak, David E.; Rosal, Marcia L.</t>
  </si>
  <si>
    <t>Integrative CBT for Anxiety Disorders : An Evidence-Based Approach to Enhancing Cognitive Behavioural Therapy with Mindfulness and Hypnotherapy</t>
  </si>
  <si>
    <t>Alladin, Assen</t>
  </si>
  <si>
    <t>Randomization in Clinical Trials : Theory and Practice</t>
  </si>
  <si>
    <t>Rosenberger, William F.; Lachin, John M.</t>
  </si>
  <si>
    <t>Handbook of Play Therapy</t>
  </si>
  <si>
    <t>O'Connor, Kevin J.; Schaefer, Charles E.; Braverman, Lisa D.</t>
  </si>
  <si>
    <t>Bioethics : An Anthology</t>
  </si>
  <si>
    <t>Kuhse, Helga; Schüklenk, Udo; Singer, Peter</t>
  </si>
  <si>
    <t>Language Development and Language Impairment : A Problem-Based Introduction</t>
  </si>
  <si>
    <t>Fletcher, Paul; O'Toole, Ciara</t>
  </si>
  <si>
    <t>Medical Information Systems Ethics</t>
  </si>
  <si>
    <t>BÃ©ranger, JÃ©rÃ´me</t>
  </si>
  <si>
    <t>Teaching and Supervising Cognitive Behavioral Therapy</t>
  </si>
  <si>
    <t>Sudak, Donna M.; Codd, R. Trent, III; Fox, Marci G.; Sokol, Leslie; Ludgate, John W.; Reiser, Robert P.; Milne, Derek L.</t>
  </si>
  <si>
    <t>Medical Gases : Production, Applications, and Safety</t>
  </si>
  <si>
    <t>MÃ¼ller, Hartwig</t>
  </si>
  <si>
    <t>The Functions, Disease-Related Dysfunctions, and Therapeutic Targeting of Neuronal Mitochondria</t>
  </si>
  <si>
    <t>Hardwick, J. Marie; Gribkoff, Valentin K.; Jonas, Elizabeth A.</t>
  </si>
  <si>
    <t>Handbook of Polymers for Pharmaceutical Technologies, Bioactive and Compatible Synthetic/Hybrid Polymers</t>
  </si>
  <si>
    <t>The Yellow Emperor's Classic of Internal Medicine</t>
  </si>
  <si>
    <t>Barnes, Linda L.; Veith, Ilza</t>
  </si>
  <si>
    <t>Antisocial, Borderline, Narcissistic and Histrionic Workbook : Treatment Strategies for Cluster B Personality Disorders</t>
  </si>
  <si>
    <t>All about Fibromyalgia : A Guide for Patients and Their Families</t>
  </si>
  <si>
    <t>Wallace, Daniel J.; Wallace, Janice Brock</t>
  </si>
  <si>
    <t>The Skillful Soul of the Psychotherapist : The Link between Spirituality and Clinical Excellence</t>
  </si>
  <si>
    <t>Stavros , George S.; Sandage, Steven J.</t>
  </si>
  <si>
    <t>Transactional Analysis in Contemporary Psychotherapy</t>
  </si>
  <si>
    <t>Preterm Babies, Fetal Patients, and Childbearing Choices</t>
  </si>
  <si>
    <t>Lantos, John D.; Lauderdale, Diane S.; Caplan, Arthur L.</t>
  </si>
  <si>
    <t>Disturbed Consciousness : New Essays on Psychopathology and Theories of Consciousness</t>
  </si>
  <si>
    <t>Billon, Alexandre; Brook, Andrew; Droege, Paula; Gerrans, Philip; Gulick, Robert Van; Hirstein, William; Hohwy, Jakob; Kriegel, Uriah; Gennaro, Rocco J.; Dobson, Andrew</t>
  </si>
  <si>
    <t>Novel Delivery Systems for Transdermal and Intradermal Drug Delivery</t>
  </si>
  <si>
    <t>Donnelly, Ryan F.; Singh, Thakur Raghu Raj</t>
  </si>
  <si>
    <t>The Treatment of Epilepsy</t>
  </si>
  <si>
    <t>Shorvon, Simon D.; Perucca, Emilio; Engel, Jerome, Jr.</t>
  </si>
  <si>
    <t>ECG from Basics to Essentials : Step by Step</t>
  </si>
  <si>
    <t>Stroobandt, Roland X.; Barold, S. Serge; Sinnaeve, Alfons F.</t>
  </si>
  <si>
    <t>Psychiatry at a Glance</t>
  </si>
  <si>
    <t>Katona, Cornelius; Cooper, Claudia; Robertson, Mary</t>
  </si>
  <si>
    <t>Global Population Health and Well- Being in the 21st Century : Toward New Paradigms, Policy, and Practice</t>
  </si>
  <si>
    <t>Lueddeke, George, PhD</t>
  </si>
  <si>
    <t>Perinatal and Pediatric Bereavement in Nursing and Other Health Professions</t>
  </si>
  <si>
    <t>Black, Beth Perry, PhD, RN; Limbo, Rana, PhD, RN, CPLC, FAAN; Wright, Patricia Moyle, PhD, CRNP, ACNS-BC; Limbo, Rana, PhD, RN, CPLC, FAAN</t>
  </si>
  <si>
    <t>Eye Movement Desensitization and Reprocessing (EMDR) Therapy Scripted Protocols and Summary Sheets : Treating Trauma- and Stressor-Related Conditions</t>
  </si>
  <si>
    <t>Eye Movement Desensitization and Reprocessing (EMDR)Therapy Scripted Protocols and Summary Sheets : Treating Anxiety, Obsessive-Compulsive, and Mood-Related Conditions</t>
  </si>
  <si>
    <t>Clinical Neurophysiology in Pediatrics : A Practical Approach to Neurodiagnostic Testing and Management</t>
  </si>
  <si>
    <t>Galloway, Gloria M.</t>
  </si>
  <si>
    <t>Physics in Radiation Oncology Self-Assessment Guide</t>
  </si>
  <si>
    <t>Xia, Ping, PhD; Godley, Andrew, PhD</t>
  </si>
  <si>
    <t>Biostatistics for Epidemiology and Public Health Using R</t>
  </si>
  <si>
    <t>Chan, Bertram K.C., PhD</t>
  </si>
  <si>
    <t>The School Psychology Practicum and Internship Handbook</t>
  </si>
  <si>
    <t>Rossen, Eric, PhD; Joyce-Beaulieu, Diana, PhD, NCSP</t>
  </si>
  <si>
    <t>Guidelines for Nurse Practitioners in Gynecologic Settings, 11th Edition</t>
  </si>
  <si>
    <t>Hawkins, Joellen W., RN, PhD, WHNP-BC, FAAN, FAANP; Roberto-Nichols, Diane M., BS, APRN-C; Stanley-Haney, J. Lynn, MA, APRN-C</t>
  </si>
  <si>
    <t>EMDR Therapy for Schizophrenia and Other Psychoses</t>
  </si>
  <si>
    <t>Miller, Paul William, MD, DMH, MRCPsych</t>
  </si>
  <si>
    <t>Developing a Program of Research in Nursing</t>
  </si>
  <si>
    <t>Beck, Cheryl Tatano, DNSc, CNM, FAAN</t>
  </si>
  <si>
    <t>Expert Clinician to Novice Nurse Educator : Learning from First-Hand Narratives</t>
  </si>
  <si>
    <t>Merkle Sorrell, Jeanne, PhD, FAAN, RN; Cangelosi, Pamela Rubel, PhD, MSN, RN</t>
  </si>
  <si>
    <t>Fast Facts for the Cardiac Surgery Nurse, Second Edition : Caring for Cardiac Surgery Patients in a Nutshell</t>
  </si>
  <si>
    <t>Hodge, Tanya, MS, RN, CNS, CCRN</t>
  </si>
  <si>
    <t>Supervision and Agency Management for Counselors</t>
  </si>
  <si>
    <t>O'Brien, Elizabeth R., PhD, LPC; Hauser, Michael A., PhD, LPC</t>
  </si>
  <si>
    <t>Project Management for the Advanced Practice Nurse</t>
  </si>
  <si>
    <t>Sipes, Carolyn, PhD, CNS, APN, PMP, RN-BC</t>
  </si>
  <si>
    <t>Lashley's Essentials of Clinical Genetics in Nursing Practice, Second Edition</t>
  </si>
  <si>
    <t>Lashley, Felissa R., PhD, RN, FABMGG; Kasper, Christine E. , PhD, RN, FAAN, FACSM</t>
  </si>
  <si>
    <t>Population-Based Nursing, Second Edition : Concepts and Competencies for Advanced Practice</t>
  </si>
  <si>
    <t>Curley, Ann L., PhD, RN; Vitale, Patty A., MD, MPH, FAAP</t>
  </si>
  <si>
    <t>EMDR with First Responders : Models, Scripted Protocols, and Summary Sheets for Mental Health Interventions</t>
  </si>
  <si>
    <t>EMDR and Emergency Response : Models, Scripted Protocols, and Summary Sheets for Mental Health Interventions</t>
  </si>
  <si>
    <t>Long-Term Care in an Aging Society : Theory and Practice</t>
  </si>
  <si>
    <t>Rowles, Graham D.; Teaster, Pamela B.; Rowles, Graham D., PhD</t>
  </si>
  <si>
    <t>Risk Management in Long-Term Care : A Quick Reference Guide</t>
  </si>
  <si>
    <t>Weinberg, Andrew David, MD, FACP</t>
  </si>
  <si>
    <t>Practical Epilepsy</t>
  </si>
  <si>
    <t>Husain, Aatif M., MD</t>
  </si>
  <si>
    <t>Buschbacher's Manual of Nerve Conduction Studies, Third Edition</t>
  </si>
  <si>
    <t>Kumbhare, Dinesh, MD, MSc; Robinson, Lawrence, MD; Buschbacher, Ralph, MD; Buschbacher, Ralph, MD; Kumbhare, Dinesh, MD, MSc; Robinson, Lawrence, MD</t>
  </si>
  <si>
    <t>Fast Facts for the Clinical Nurse Manager, Second Edition : Managing a Changing Workplace in a Nutshell</t>
  </si>
  <si>
    <t>Fry, Barbara, RN, BN, MEd (Adult)</t>
  </si>
  <si>
    <t>Building and Sustaining a Hospital-Based Nursing Research Program</t>
  </si>
  <si>
    <t>Nancy, Albert, Dr., PhD, CCNS, CCRN, NE-BC, FAHA, FCCM</t>
  </si>
  <si>
    <t>A History of Midwifery in the United States : The Midwife Said Fear Not</t>
  </si>
  <si>
    <t>Thompson, Joyce E., Dr., DrPH, RN, CNM, FAAN, FACNM; Varney Burst, Helen, RN, CNM, MSN, DHL (Hon.), FACNM</t>
  </si>
  <si>
    <t>Quality of Life : The Assessment, Analysis and Reporting of Patient-Reported Outcomes</t>
  </si>
  <si>
    <t>Fayers, Peter; Machin, David</t>
  </si>
  <si>
    <t>Medical-Surgical Nursing at a Glance</t>
  </si>
  <si>
    <t>Palliative Care at a Glance</t>
  </si>
  <si>
    <t>Ingleton, Christine; Larkin, Philip</t>
  </si>
  <si>
    <t>Perspectives on Verbal and Psychological Abuse</t>
  </si>
  <si>
    <t>Maiuro, Roland, Dr., PhD</t>
  </si>
  <si>
    <t>Practical Guide to Catheter Ablation of Atrial Fibrillation</t>
  </si>
  <si>
    <t>Steinberg, Jonathan S.; Jais, Pierre; Calkins, Hugh</t>
  </si>
  <si>
    <t>An Introduction to Intermediate and Advanced Statistical Analyses for Sport and Exercise Scientists</t>
  </si>
  <si>
    <t>Ntoumanis, Nikos; Myers, Nicholas D.</t>
  </si>
  <si>
    <t>Simulations in Medicine : Pre-Clinical and Clinical Applications</t>
  </si>
  <si>
    <t>Roterman-Konieczna, Irena</t>
  </si>
  <si>
    <t>Big Data in Medical Science and Healthcare Management : Diagnosis, Therapy, Side Effects</t>
  </si>
  <si>
    <t>Langkafel, Peter</t>
  </si>
  <si>
    <t>Health Behavior : Theory, Research, and Practice</t>
  </si>
  <si>
    <t>Glanz, Karen; Rimer, Barbara K.; Viswanath, K.</t>
  </si>
  <si>
    <t>Child and Adolescent Therapy : Science and Art</t>
  </si>
  <si>
    <t>Shapiro, Jeremy P.; Friedberg, Robert D.; Bardenstein, Karen K.</t>
  </si>
  <si>
    <t>Pediatric Incontinence : Evaluation and Clinical Management</t>
  </si>
  <si>
    <t>Franco, Israel; Austin, Paul; Bauer, Stuart; von Gontard, Alexander; Homsy, Yves</t>
  </si>
  <si>
    <t>Lecture Notes: Oncology</t>
  </si>
  <si>
    <t>Dementia Care at a Glance</t>
  </si>
  <si>
    <t>Jenkins, Catharine; Ginesi, Laura; Keenan, Bernie</t>
  </si>
  <si>
    <t>Couples and Family Therapy in Clinical Practice</t>
  </si>
  <si>
    <t>Glick, Ira D.; Rait, Douglas S.; Heru, Alison M.; Ascher, Michael</t>
  </si>
  <si>
    <t>Forensic Chemistry : Fundamentals and Applications</t>
  </si>
  <si>
    <t>Siegel, Jay</t>
  </si>
  <si>
    <t>Medical Pharmacology at a Glance</t>
  </si>
  <si>
    <t>Neal, Michael J.</t>
  </si>
  <si>
    <t>Advanced Nutrition and Dietetics in Diabetes</t>
  </si>
  <si>
    <t>Goff, Louise; Dyson, Pamela</t>
  </si>
  <si>
    <t>Global Climate Change and Human Health : From Science to Practice</t>
  </si>
  <si>
    <t>Luber, George; Lemery, Jay</t>
  </si>
  <si>
    <t>Recognizing and Correcting Developing Malocclusions : A Problem-Oriented Approaches to Orthodontics</t>
  </si>
  <si>
    <t>Araújo, Eustáquio A.; Buschang, Peter H.</t>
  </si>
  <si>
    <t>Asperger's Children : Psychodynamics, Aetiology, Diagnosis, and Treatment</t>
  </si>
  <si>
    <t>Holloway, Robin</t>
  </si>
  <si>
    <t>Nursing Informatics for the Advanced Practice Nurse : Patient Safety, Quality, Outcomes, and Interprofessionalism</t>
  </si>
  <si>
    <t>McBride, Susan, PhD, RN-BC, CPHIMS; Tietze, Mari, PhD, RN-BC, FHIMSS</t>
  </si>
  <si>
    <t>Genetic Disorders and the Fetus : Diagnosis, Prevention and Treatment</t>
  </si>
  <si>
    <t>Milunsky, Jeff; Milunsky, Aubrey</t>
  </si>
  <si>
    <t>Pediatric Psychopharmacology for Primary Care</t>
  </si>
  <si>
    <t>Riddle, Mark A.; Foy, Jane Meschan; Baum, Rebecca A.; Fisch, Stanley I.; Huffman, Lynne C.; Pruitt, David; Reeves, Gloria M.; Wissow, Lawrence S.</t>
  </si>
  <si>
    <t>Living Sensationally : Understanding Your Senses</t>
  </si>
  <si>
    <t>Dunn, Winnie; Dunn, Winnie</t>
  </si>
  <si>
    <t>Under the Strain of Color : Harlem's Lafargue Clinic and the Promise of an Antiracist Psychiatry</t>
  </si>
  <si>
    <t>Mendes, Gabriel N.</t>
  </si>
  <si>
    <t>Psychiatric Rehabilitation : A Psychoanalytic Approach to Recovery</t>
  </si>
  <si>
    <t>Kapur, Raman</t>
  </si>
  <si>
    <t>Being with and Saying Goodbye : Cultivating Therapeutic Attitude in Professional Practice</t>
  </si>
  <si>
    <t>West, Andrew</t>
  </si>
  <si>
    <t>The Digital Patient : Advancing Healthcare, Research, and Education</t>
  </si>
  <si>
    <t>Combs, C. D.; Sokolowski, John A.; Banks, Catherine M.</t>
  </si>
  <si>
    <t>ACA Addiction in the Family : What Every Counselor Needs to Know</t>
  </si>
  <si>
    <t>Wiley; Kelly, Virginia A.</t>
  </si>
  <si>
    <t>Speech and Language Technology for Language Disorders</t>
  </si>
  <si>
    <t>Beals, Katharine; Dahl, Deborah; Linebarger, Marcia; Fink, Ruth</t>
  </si>
  <si>
    <t>Echocardiography in Pediatric and Congenital Heart Disease : From Fetus to Adult</t>
  </si>
  <si>
    <t>Lai, Wyman W.; Mertens, Luc L.; Cohen, Meryl S.; Geva, Tal</t>
  </si>
  <si>
    <t>The Cutaneous Lymphoid Proliferations : A Comprehensive Textbook of Lymphocytic Infiltrates of the Skin</t>
  </si>
  <si>
    <t>Magro, Cynthia M.; Crowson, A. Neil; Mihm, Martin C., Jr.</t>
  </si>
  <si>
    <t>Human Drug Targets : A Compendium for Pharmaceutical Discovery</t>
  </si>
  <si>
    <t>Zanders, Edward</t>
  </si>
  <si>
    <t>Statistics for Health Care Management and Administration : Working with Excel</t>
  </si>
  <si>
    <t>Kros, John F.; Rosenthal, David A.</t>
  </si>
  <si>
    <t>Thomas' Hematopoietic Cell Transplantation</t>
  </si>
  <si>
    <t>Forman, Stephen J.; Negrin, Robert S.; Antin, Joseph H.; Appelbaum, Frederick R.</t>
  </si>
  <si>
    <t>Counselling Skills for Dietitians</t>
  </si>
  <si>
    <t>Gable, Judy; Hermann, Tamara</t>
  </si>
  <si>
    <t>Doppler Radar Physiological Sensing</t>
  </si>
  <si>
    <t>Boric-Lubecke, Olga; Droitcour, Amy; Lubecke, Victor; Park, Byung-Kwon; Singh, Aditya</t>
  </si>
  <si>
    <t>Developmental Psychopathology, Theory and Method</t>
  </si>
  <si>
    <t>Cicchetti, Dante</t>
  </si>
  <si>
    <t>The Patient Revolution : How Big Data and Analytics Are Transforming the Healthcare Experience</t>
  </si>
  <si>
    <t>Tailor, Krisa</t>
  </si>
  <si>
    <t>Horizontal Alveolar Ridge Augmentation in Implant Dentistry : A Surgical Manual</t>
  </si>
  <si>
    <t>Tolstunov, Len</t>
  </si>
  <si>
    <t>Hysteria Today</t>
  </si>
  <si>
    <t>Grose, Anouchka</t>
  </si>
  <si>
    <t>Into TA : A Comprehensive Textbook on Transactional Analysis</t>
  </si>
  <si>
    <t>Cornell, William F.; de Graaf, Anne; Newton, Trudi; Thunnissen, Moniek</t>
  </si>
  <si>
    <t>Care of the Obese in Advanced Practice Nursing : Communication, Assessment, and Treatment</t>
  </si>
  <si>
    <t>Maher, Lisa L.M., DNP, ARNP, FNP-BC</t>
  </si>
  <si>
    <t>The Psychosis Response Guide : How to Help Young People in Psychiatric Crises</t>
  </si>
  <si>
    <t>Iati, Carina A., PsyD; Waford, Rachel N., PhD</t>
  </si>
  <si>
    <t>Behavioral Intervention Research : Designing, Evaluating, and Implementing</t>
  </si>
  <si>
    <t>Gitlin, Laura, Dr., PhD; Czaja, Sara, Dr., PhD</t>
  </si>
  <si>
    <t>Couple, Marriage, and Family Therapy Supervision</t>
  </si>
  <si>
    <t>Jordan, Karin B., PhD</t>
  </si>
  <si>
    <t>American Indian Health and Nursing</t>
  </si>
  <si>
    <t>Moss, Margaret P., PhD, JD, RN, FAAN</t>
  </si>
  <si>
    <t>101 + Careers in Public Health, Second Edition</t>
  </si>
  <si>
    <t>Seltzer, Beth, MD, MPH; Seltzer, Beth, MD, MPH</t>
  </si>
  <si>
    <t>Treating Out of Control Sexual Behavior : Rethinking Sex Addiction</t>
  </si>
  <si>
    <t>Braun-Harvey, Douglas, MA, MFT, CGP, CST</t>
  </si>
  <si>
    <t>Atlas of AIDS Co-Infection</t>
  </si>
  <si>
    <t>Liu, Jinxin; Xiaoping, Tang</t>
  </si>
  <si>
    <t>Forensic Odontology : Principles and Practice</t>
  </si>
  <si>
    <t>Taylor, Jane; Kieser, Jules</t>
  </si>
  <si>
    <t>Careers in Mental Health : Opportunities in Psychology, Counseling, and Social Work</t>
  </si>
  <si>
    <t>Metz, Kim</t>
  </si>
  <si>
    <t>The Challenge of Fetal Alcohol Syndrome : Overcoming Secondary Disabilities</t>
  </si>
  <si>
    <t>Streissguth, Ann; Kanter, Jonathan; Lowry, Mike; Dorris, Michael</t>
  </si>
  <si>
    <t>Driven by Fear : Epidemics and Isolation in San Francisco's House of Pestilence</t>
  </si>
  <si>
    <t>Summary of Readings in Neurosurgery: Spine</t>
  </si>
  <si>
    <t>Penerbit USM</t>
  </si>
  <si>
    <t>Jafri Malin, Abdullah</t>
  </si>
  <si>
    <t>National Medicines Policy: A Malaysian Perspective</t>
  </si>
  <si>
    <t>Salmah, Bahri; Mohamed Izham, Mohamed Ibrahim</t>
  </si>
  <si>
    <t>Neuromodulation in Psychiatry</t>
  </si>
  <si>
    <t>Hamani, Clement; Holtzheimer, Paul; Lozano, Andres M.; Mayberg, Helen</t>
  </si>
  <si>
    <t>Handbook for Clinical Trials of Imaging and Image-Guided Interventions</t>
  </si>
  <si>
    <t>Obuchowski, Nancy A.; Gazelle, G. Scott</t>
  </si>
  <si>
    <t>Clinical Guide to Cardiology</t>
  </si>
  <si>
    <t>Camm, Christian F.; Camm, John A.</t>
  </si>
  <si>
    <t>Clinical Dicta and Contra Dicta : The Therapy Process from Inside Out and Outside In</t>
  </si>
  <si>
    <t>Espy, John C.</t>
  </si>
  <si>
    <t>Treating People with Psychosis in Institutions : A Psychoanalytic Perspective</t>
  </si>
  <si>
    <t>S. Mackie, Belinda</t>
  </si>
  <si>
    <t>Alzheimer’s and Dementia : A Practical and Legal Guide for Nevada Caregivers</t>
  </si>
  <si>
    <t>University of Nevada Press</t>
  </si>
  <si>
    <t>Boyer, Kim; Shapiro, Mary</t>
  </si>
  <si>
    <t>Culture and PTSD : Trauma in Global and Historical Perspective</t>
  </si>
  <si>
    <t>Hinton, Devon E.; Good, Byron J.</t>
  </si>
  <si>
    <t>Recipes for Thought : Knowledge and Taste in the Early Modern English Kitchen</t>
  </si>
  <si>
    <t>Wall, Wendy</t>
  </si>
  <si>
    <t>Doctoring the South : Southern Physicians and Everyday Medicine in the Mid-Nineteenth Century</t>
  </si>
  <si>
    <t>Stowe, Steven M.</t>
  </si>
  <si>
    <t>Selecting Effective Treatments : A Comprehensive, Systematic Guide to Treating Mental Disorders</t>
  </si>
  <si>
    <t>Reichenberg, Lourie W.; Seligman, Linda</t>
  </si>
  <si>
    <t>Integrated Care: Creating Effective Mental and Primary Health Care Teams</t>
  </si>
  <si>
    <t>Ratzliff, Anna; Unützer, Jürgen; Katon, Wayne; Stephens, Kari A.</t>
  </si>
  <si>
    <t>RFID in the Food Industry : Track and Trace for Quality and Safety</t>
  </si>
  <si>
    <t>Piramuthu, Selwyn; Zhou, Weibiao</t>
  </si>
  <si>
    <t>Transformations</t>
  </si>
  <si>
    <t>Six Children : The Spectrum of Child Psychopathology and Its Treatment</t>
  </si>
  <si>
    <t>G. Smolen, Ann</t>
  </si>
  <si>
    <t>Disability Psychotherapy : An Innovative Approach to Trauma-Informed Care</t>
  </si>
  <si>
    <t>Frankish, Patricia</t>
  </si>
  <si>
    <t>Clinical Trials in Older Adults</t>
  </si>
  <si>
    <t>Cherubini, Antonio; Bernabei, Roberto; Ferrucci, Luigi; Marchionni, Niccolò; Studenski, Stephanie; Vellas, Bruno</t>
  </si>
  <si>
    <t>Traditional Chinese Medicine : Theory and Principles</t>
  </si>
  <si>
    <t>Tsinghua University Press Staff; Hu, Dongpei</t>
  </si>
  <si>
    <t>Chemesthesis : Chemical Touch in Food and Eating</t>
  </si>
  <si>
    <t>McDonald, Shane T.; Bolliet, David A.; Hayes, John E.</t>
  </si>
  <si>
    <t>Nursing History's Great Leaders : Activists of Change</t>
  </si>
  <si>
    <t>Forrester, David Anthony, Dr., PhD, RN, ANEF, FAAN</t>
  </si>
  <si>
    <t>Epidemics, Empire, and Environments : Cholera in Madras and Quebec City, 1818-1910</t>
  </si>
  <si>
    <t>Zeheter, Michael</t>
  </si>
  <si>
    <t>The Essential Guide to Becoming a Staff Nurse</t>
  </si>
  <si>
    <t>Biomedical Chemistry : Current Trends and Developments</t>
  </si>
  <si>
    <t>Vale, Nuno</t>
  </si>
  <si>
    <t>Tham, Tony C. K.; Collins, John S. A.; Soetikno, Roy M.</t>
  </si>
  <si>
    <t>Moving and Handling Patients at a Glance</t>
  </si>
  <si>
    <t>MacGregor, Hamish</t>
  </si>
  <si>
    <t>How to Develop Your Healthcare Career : A Guide to Employability and Professional Development</t>
  </si>
  <si>
    <t>Taylor, Lisa E.</t>
  </si>
  <si>
    <t>Core Curriculum for Ambulatory Care Nursing</t>
  </si>
  <si>
    <t>American Academy of Ambulatory Care Nursing</t>
  </si>
  <si>
    <t>Laughlin, Candia Baker</t>
  </si>
  <si>
    <t>Care Coordination and Transition Management (CCTM) Core Curriculum text</t>
  </si>
  <si>
    <t>Haas, Sheila A.; Swan, Beth Ann; Haynes, Traci</t>
  </si>
  <si>
    <t>Water and Health in Europe</t>
  </si>
  <si>
    <t>Bartram, J.; Who Regional Office For Europe Staff; Bartram, Jamie; Gowers, A.; Gowers, Alison</t>
  </si>
  <si>
    <t>Environmental Health Services in Europe 6 : The Development of Professional Associations</t>
  </si>
  <si>
    <t>Fitzpatrick, M.</t>
  </si>
  <si>
    <t>Evaluation in Health Promotion</t>
  </si>
  <si>
    <t>Exploring Health Policy Development in Europe</t>
  </si>
  <si>
    <t>World Health Organization; Barnes, Ruth; Dekker, Evert; Harrington, Patsy; Kokko, Simo; Makara, Peter; Ritsatakis, Anna</t>
  </si>
  <si>
    <t>Guidelines for Evaluation of Environmental Health Services</t>
  </si>
  <si>
    <t>Drew, C.H.; Van Duvenboden, Jaco; Bonnefoy, Xavier</t>
  </si>
  <si>
    <t>Air Quality Guidelines for Europe</t>
  </si>
  <si>
    <t>European Health Report 2005 : Public Health Action for Healthier Children and Populations</t>
  </si>
  <si>
    <t>Guidelines for the Elimination of Residual Foci of Malaria Transmission</t>
  </si>
  <si>
    <t>Fed Up! Winning the War Against Childhood Obesity</t>
  </si>
  <si>
    <t>Joseph Henry Press</t>
  </si>
  <si>
    <t>Okie, Susan; Joseph Henry Press Book Staff</t>
  </si>
  <si>
    <t>Pioneers in Neonatal/Perinatal Medicine: Perinatal Profiles from NeoReviews</t>
  </si>
  <si>
    <t>Section on Neonatal-Perinatal Medicine; Philip, Alistair G. S.</t>
  </si>
  <si>
    <t>Emergency Nursing at a Glance</t>
  </si>
  <si>
    <t>Holbery, Natalie; Newcombe, Paul</t>
  </si>
  <si>
    <t>Epidemic City : The Politics of Public Health in New York</t>
  </si>
  <si>
    <t>Russell Sage Foundation</t>
  </si>
  <si>
    <t>Colgrove, James</t>
  </si>
  <si>
    <t>Institutional Review Boards and Health Services Research Data Privacy : A Workshop Summary</t>
  </si>
  <si>
    <t>Committee on the Role of Institutional Review Boards in Health Services Research Data Privacy Protection</t>
  </si>
  <si>
    <t>Urgent Attention Needed to Restore Lapsed Adenovirus Vaccine Availability : A Letter Report</t>
  </si>
  <si>
    <t>Committee on a Strategy for Minimizing the Impact of Naturally Occurring Infectious Diseases of Military Importance:Vaccine Issues in the U.S. Military</t>
  </si>
  <si>
    <t>Military Science; History</t>
  </si>
  <si>
    <t>Managing Managed Care : Quality Improvement in Behavioral Health : Summary</t>
  </si>
  <si>
    <t>Edmunds, Margaret; Committee on Quality Assurance and Accreditation Guidelines for Managed Behavioral Health Care, Institute of Medicine</t>
  </si>
  <si>
    <t>Secret Agents : The Menace of Emerging Infections</t>
  </si>
  <si>
    <t>Drexler, Madeline; Joseph Henry Press,</t>
  </si>
  <si>
    <t>Firepower in the Lab : Automation in the Fight Against Infectious Diseases and Bioterrorism</t>
  </si>
  <si>
    <t>Patel, C. Kumar; Layne, Scott P.; Kumar, C.; Patel, N.; Beugelsdijk, Tony J.</t>
  </si>
  <si>
    <t>In Search of the Lost Cord : Solving the Mystery of Spinal Cord Regeneration</t>
  </si>
  <si>
    <t>Vikhanski, Luba</t>
  </si>
  <si>
    <t>Miracle and a Privilege : Recounting a Half Century of Surgical Advance</t>
  </si>
  <si>
    <t>Moore, Francis D.</t>
  </si>
  <si>
    <t>Zombie Curse : A Doctor's 25-year Journey Into the Heart of the AIDS Epidemic in Haiti</t>
  </si>
  <si>
    <t>Fournier, M.D., Arthur M.</t>
  </si>
  <si>
    <t>Ethical Practice in Everyday Health Care</t>
  </si>
  <si>
    <t>University of the West Indies Press</t>
  </si>
  <si>
    <t>Walrond, E.R.</t>
  </si>
  <si>
    <t>WetFeet Insider Guide to Careers in Health Care</t>
  </si>
  <si>
    <t>WetFeet, Incorporated</t>
  </si>
  <si>
    <t>WetFeet</t>
  </si>
  <si>
    <t>Urotext-Luts : Urology</t>
  </si>
  <si>
    <t>Urotext-Uuts : Urology</t>
  </si>
  <si>
    <t>Principles of Modern Urology</t>
  </si>
  <si>
    <t>Urotext : Basics</t>
  </si>
  <si>
    <t>Principles of Orthomolecularism</t>
  </si>
  <si>
    <t>Hemat, R.A.S; Hemat, R.A.S</t>
  </si>
  <si>
    <t>2007 USP Dictionary of USAN and International Drug Names</t>
  </si>
  <si>
    <t>U.S. Pharmacopeia</t>
  </si>
  <si>
    <t>Resumen Mundial de la Epidemia de VIH/SIDA : Diciembre De 2003</t>
  </si>
  <si>
    <t>SIDA Staff, Programa Conjunto de las Naciones Unidas sobre el V. I. H.</t>
  </si>
  <si>
    <t>Point sur l'Epidemie de SIDA : December 2003</t>
  </si>
  <si>
    <t>SIDA Staff, Programme commun des Nations Unies sur le V. I. H.</t>
  </si>
  <si>
    <t>AIDS in Africa : Three Scenarios to 2025</t>
  </si>
  <si>
    <t>Access to Treatment in the Private Sector Workplace : The Provision of Antiretroviral Therapy by Three Companies in South Africa</t>
  </si>
  <si>
    <t>Knight, Lindsay; UNAIDS Staff; International Labour Organisation Staff; World Health Organization Staff; Global Business Coalition on HIV/AIDS Staff</t>
  </si>
  <si>
    <t>Cost-Effectiveness Analysis in Health : A Practical Approach</t>
  </si>
  <si>
    <t>Muennig, Peter; Bounthavong, Mark</t>
  </si>
  <si>
    <t>Business/Management; Health; Economics; Social Science</t>
  </si>
  <si>
    <t>Managing the Long-Term Care Facility : Practical Approaches to Providing Quality Care</t>
  </si>
  <si>
    <t>Perley, Rebecca</t>
  </si>
  <si>
    <t>Translating and Interpreting Healthcare Discourses/Traducir e interpretar en el �mbito sanitario</t>
  </si>
  <si>
    <t>Salinas, Mar�a-Jos� Varela; Meyer, Bernd</t>
  </si>
  <si>
    <t>Multiple Autisms : Spectrums of Advocacy and Genomic Science</t>
  </si>
  <si>
    <t>Singh, Jennifer S.</t>
  </si>
  <si>
    <t>Healthy, Resilient, and Sustainable Communities After Disasters : Strategies, Opportunities, and Planning for Recovery</t>
  </si>
  <si>
    <t>Board on Health Sciences Policy; Institute of Medicine; Committee on Post-Disaster Recovery of a Community's Public Health, Medical, and Social Services</t>
  </si>
  <si>
    <t>Vital Signs : Core Metrics for Health and Health Care Progress</t>
  </si>
  <si>
    <t>Committee on Core Metrics for Better Health at Lower Cost; Institute of Medicine; Committee On Core Metrics For Better Health At Lower Cost,; Elizabeth Malphrus; J. Michael McGinnis; McGinniss, J. Michael</t>
  </si>
  <si>
    <t>Developing a 21st Century Neuroscience Workforce : Workshop Summary</t>
  </si>
  <si>
    <t>Forum on Neuroscience and Nervous System Disorders; Board on Health Sciences Policy; Institute of Medicine; Institute of Medicine,; Christopher Palmer; Clare Stroud; Bruce M. Altevogt</t>
  </si>
  <si>
    <t>Advances in Wound Healing Materials: Science and Skin Engineering</t>
  </si>
  <si>
    <t>Paul, Willi; Sharma, Chandra P.</t>
  </si>
  <si>
    <t>Guide to Basic Medical Terminology</t>
  </si>
  <si>
    <t>Cerný, Karel</t>
  </si>
  <si>
    <t>Survey of Topographical Anatomy</t>
  </si>
  <si>
    <t>Kos, Jaroslav; Heit, Jirí</t>
  </si>
  <si>
    <t>Surface Imaginations : Cosmetic Surgery, Photography, and Skin</t>
  </si>
  <si>
    <t>Hurst, Rachel Alpha Johnston; Hurst, Rachel</t>
  </si>
  <si>
    <t>The Performer's Voice</t>
  </si>
  <si>
    <t>Benninger, Michael S.; Murry, Thomas; Johns III, Michael J.</t>
  </si>
  <si>
    <t>Augmentative and Alternative Communication : Models and Applications for Educators, Speech-Language Pathologists, Psychologists, Caregivers, and Users</t>
  </si>
  <si>
    <t>Carozza, Linda S.</t>
  </si>
  <si>
    <t>Emergency Nursing: The Profession, The Pathway, The Practice</t>
  </si>
  <si>
    <t>Solheim, Jeff</t>
  </si>
  <si>
    <t>The Career Handoff: A Healthcare Leader’s Guide to Knowledge &amp; Wisdom Transfer Across Generations</t>
  </si>
  <si>
    <t>Malloch, Kathy; Porter O’Grady, Tim</t>
  </si>
  <si>
    <t>Newborn Screening Systems : The Complete Perspective</t>
  </si>
  <si>
    <t>Rosenstreich, David L.; Fried, Marvin P.; Vos, Gabriele S. de; Jackman, Alexis H.</t>
  </si>
  <si>
    <t>Clinical Research Methods in Speech-Language Pathology and Audiology</t>
  </si>
  <si>
    <t>Fish, Margaret A.</t>
  </si>
  <si>
    <t>It Hurts Down There : The Bodily Imaginaries of Female Genital Pain</t>
  </si>
  <si>
    <t>Labuski, Christine</t>
  </si>
  <si>
    <t>Going Universal : How Twenty-Four Countries are Implementing Universal Health Coverage from the Bottom Up</t>
  </si>
  <si>
    <t>Cotlear, Daniel; Nagpal, Somil; Smith, Owen</t>
  </si>
  <si>
    <t>Procedural Sedation for Infants, Children, and Adolescents</t>
  </si>
  <si>
    <t>American Academy of Pediatrics Section on Anesthesiology and Pain Medicine, American Academy; Tobias, Joseph D.; Cravero, Joseph P.</t>
  </si>
  <si>
    <t>Coding for Pediatrics 2016 : A Manual for Pediatric Documentation and Payment</t>
  </si>
  <si>
    <t>Succinct Pediatrics: Evaluation and Management for Common and Critical Care</t>
  </si>
  <si>
    <t>Feld, Leonard; Mahan, John D.</t>
  </si>
  <si>
    <t>Atlas of Pediatrics in the Tropics and Resource-Limited Settings</t>
  </si>
  <si>
    <t>Spector, Jonathan M.; Gibson, Timothy E.</t>
  </si>
  <si>
    <t>Water, Sanitation, Hygiene, and Nutrition in Bangladesh : Can Building Toilets Affect Children's Growth?</t>
  </si>
  <si>
    <t>Mahmud, Iffat; Mbuya, Nkosinathi</t>
  </si>
  <si>
    <t>Health Care in World Cities : New York, Paris, and London</t>
  </si>
  <si>
    <t>Gusmano, Michael K.; Rodwin, Victor G.; Weisz, Daniel</t>
  </si>
  <si>
    <t>Moments of Truth in Genetic Medicine</t>
  </si>
  <si>
    <t>Trouble in Mind : An Unorthodox Introduction to Psychiatry</t>
  </si>
  <si>
    <t>MacKinnon, Dean F.</t>
  </si>
  <si>
    <t>Narrative Psychiatry : How Stories Can Shape Clinical Practice</t>
  </si>
  <si>
    <t>Guiding Autobiography Groups for Older Adults : Exploring the Fabric of Life</t>
  </si>
  <si>
    <t>Birren, James E.; Deutchman, Donna E.</t>
  </si>
  <si>
    <t>Psychedelic Psychiatry : LSD from Clinic to Campus</t>
  </si>
  <si>
    <t>Dyck, Erika</t>
  </si>
  <si>
    <t>War and Health Insurance Policy in Japan and the United States : World War II to Postwar Reconstruction</t>
  </si>
  <si>
    <t>Yamagishi, Takakazu</t>
  </si>
  <si>
    <t>Happy Pills in America : From Miltown to Prozac</t>
  </si>
  <si>
    <t>Herzberg, David</t>
  </si>
  <si>
    <t>Talking with Patients and Families about Medical Error : A Guide for Education and Practice</t>
  </si>
  <si>
    <t>Truog, Robert D.; Browning, David M.; Johnson, Judith A.; Gallagher, Thomas H.; Leape, Lucian L.; Leape, Lucian L.</t>
  </si>
  <si>
    <t>Infectious Ideas : Contagion in Premodern Islamic and Christian Thought in the Western Mediterranean</t>
  </si>
  <si>
    <t>Stearns, Justin K.</t>
  </si>
  <si>
    <t>The Fertility Doctor : John Rock and the Reproductive Revolution</t>
  </si>
  <si>
    <t>Marsh, Margaret; Ronner, Wanda</t>
  </si>
  <si>
    <t>Bipolar Disorder in Later Life</t>
  </si>
  <si>
    <t>Sajatovic, Martha; Blow, Frederic C.</t>
  </si>
  <si>
    <t>The Rise and Fall of the Biopsychosocial Model : Reconciling Art and Science in Psychiatry</t>
  </si>
  <si>
    <t>Deliver Me from Pain : Anesthesia and Birth in America</t>
  </si>
  <si>
    <t>Wolf, Jacqueline H.; Wolf, J. H.</t>
  </si>
  <si>
    <t>Gay, Lesbian, Bisexual, and Transgender Aging : Challenges in Research, Practice, and Policy</t>
  </si>
  <si>
    <t>Witten, Tarynn M.; Eyler, A. Evan</t>
  </si>
  <si>
    <t>Philosophical Issues in Psychiatry : Explanation, Phenomenology, and Nosology</t>
  </si>
  <si>
    <t>Kendler, Kenneth S.; Parnas, Josef</t>
  </si>
  <si>
    <t>Curriculum Development for Medical Education : A Six-Step Approach</t>
  </si>
  <si>
    <t>Thomas, Patricia A.; Kern, David E.; Hughes, Mark T.; Chen, Belinda Y.</t>
  </si>
  <si>
    <t>Improving Access to HIV Care : Lessons from Five U.S. Sites</t>
  </si>
  <si>
    <t>Jain, Kriti M.; Holtgrave, David R.; Maulsby, Cathy; Kim, J. Janet; Zulliger, Rose; Massey, Meredith; Charles, Vignetta</t>
  </si>
  <si>
    <t>The Experiment Must Continue : Medical Research and Ethics in East Africa, 1940-2014</t>
  </si>
  <si>
    <t>Graboyes, Melissa</t>
  </si>
  <si>
    <t>Clinical Nurse Specialist Toolkit, Second Edition : A Guide for the New Clinical Nurse Specialist</t>
  </si>
  <si>
    <t>Duffy, Melanie, MSN, RN, CCRN, CCNS; Dresser, Susan, MSN, APRN-BC CCRN; Fulton, Janet S., PhD, RN, ACNS-BC, ANEF, FAAN</t>
  </si>
  <si>
    <t>The Economics of Health Professional Education and Careers : Insights from a Literature Review</t>
  </si>
  <si>
    <t>McPake, Barbara; Squires, Allison; Agya, Mahat; Araujo, Edson</t>
  </si>
  <si>
    <t>Healthcare Disrupted : Next Generation Business Models and Strategies</t>
  </si>
  <si>
    <t>O'Riordan, Anne; Elton, Jeff</t>
  </si>
  <si>
    <t>Posttraumatic Stress Disorder : From Neurobiology to Treatment</t>
  </si>
  <si>
    <t>Bremner, J. Gavin; Bremner, J. Douglas</t>
  </si>
  <si>
    <t>Environmental Health : From Global to Local</t>
  </si>
  <si>
    <t>Frumkin, Howard</t>
  </si>
  <si>
    <t>Dietetic and Nutrition Case Studies</t>
  </si>
  <si>
    <t>Lawrence, Judy; Douglas, Pauline; Gandy, Joan</t>
  </si>
  <si>
    <t>Psychiatric Polarities : Methodology and Practice</t>
  </si>
  <si>
    <t>Slavney, Phillip R.; McH, Paul R.</t>
  </si>
  <si>
    <t>For All of Humanity : Mesoamerican and Colonial Medicine in Enlightenment Guatemala</t>
  </si>
  <si>
    <t>Few, Martha</t>
  </si>
  <si>
    <t>NICU Primer for Pharmacists</t>
  </si>
  <si>
    <t>Holmes, Amy P; American Society of Health-System Pharmacists Staff</t>
  </si>
  <si>
    <t>Demystifying Drug Dosing in Obese Patients</t>
  </si>
  <si>
    <t>Shank, Brandon R; David, Zimmerman E</t>
  </si>
  <si>
    <t>Preceptor's Handbook for Pharmacists</t>
  </si>
  <si>
    <t>Cuellar, Lourdes M.; Ginsburg, Diane B.; American Society of Health-System Pharmacists Staff</t>
  </si>
  <si>
    <t>ASHP Best Practices 2015-2016</t>
  </si>
  <si>
    <t>Hawkins, Bruce; American Society of Health-System Pharmacists</t>
  </si>
  <si>
    <t>Advances in HIV Treatment: HIV Enzyme Inhibitors and Antiretroviral Therapy</t>
  </si>
  <si>
    <t>Morse, Gene D.; Nanzigu, Sarah</t>
  </si>
  <si>
    <t>Common Pathogenic Mechanisms between Down Syndrome and Alzheimer's Disease: Steps toward Therapy</t>
  </si>
  <si>
    <t>Salehi, Ahmad; Rafii, Michael; Phillips, Cristy</t>
  </si>
  <si>
    <t>Eddouks, Mohamed</t>
  </si>
  <si>
    <t>Comprehensive Practical Hepatology</t>
  </si>
  <si>
    <t>Shimizu, Yukihiro</t>
  </si>
  <si>
    <t>Physical Activity, Fitness, Nutrition and Obesity During Growth</t>
  </si>
  <si>
    <t>Pařízková, Jana</t>
  </si>
  <si>
    <t>Shattering Culture : American Medicine Responds to Cultural Diversity</t>
  </si>
  <si>
    <t>Good, Mary-Jo DelVecchio; Willen, Sarah S.; Hannah, Seth Donal; Vickery, Ken; Park, Lawrence Taeseng</t>
  </si>
  <si>
    <t>Essentials of Audiology</t>
  </si>
  <si>
    <t>Gelfand, Stanley A.</t>
  </si>
  <si>
    <t>Genome-Based Diagnostics : Clarifying Pathways to Clinical Use: Workshop Summary</t>
  </si>
  <si>
    <t>Olson, Steve; Board on Health Sciences Policy,; Roundtable on Translating Genomic-Based Research for Health; Berger Adam C Olson Steve,</t>
  </si>
  <si>
    <t>Mysterious Medicine : The Doctor-Scientist Tales of Hawthorne and Poe</t>
  </si>
  <si>
    <t>Kerr Dunn, L</t>
  </si>
  <si>
    <t>Malignant Lymphomas : Biology and Molecular Pathogenesis</t>
  </si>
  <si>
    <t>Pasqualucci, Laura; Bergsagel, Leif P.; Castillo, Jorge J.; Cesarman, Ethel; Chan, Wing C.; Chesi, Marta; Cortés, José Rodríguez; Crowe, Jennifer L.; Dai, Beiying; Lenz, Georg</t>
  </si>
  <si>
    <t>Non-Alzheimer's Dementia</t>
  </si>
  <si>
    <t>Geschwind, Michael; Racine, Caroline</t>
  </si>
  <si>
    <t>Healthcare Systems Engineering</t>
  </si>
  <si>
    <t>Griffin, Paul M.; Black Nembhard, Harriet; Deflitch, Christopher; Bastian, Nathaniel D.; Kang, Hyojung; Munoz, David A.</t>
  </si>
  <si>
    <t>An Introduction to Pain and Nervous System Disorders</t>
  </si>
  <si>
    <t>Battaglia, Anna</t>
  </si>
  <si>
    <t>The Hands-On Guide to Midwifery Placements</t>
  </si>
  <si>
    <t>Cescutti-Butler, Luisa; Fisher, Margaret</t>
  </si>
  <si>
    <t>Creating Community-Responsive Physicians : Concepts and Models for Service Learning in Medical Education</t>
  </si>
  <si>
    <t>Seifer, Sarena D.; Hermanns, Kris; Lewis, Judy</t>
  </si>
  <si>
    <t>Dental Implant Complications : Etiology, Prevention, and Treatment</t>
  </si>
  <si>
    <t>Froum, Stuart J.</t>
  </si>
  <si>
    <t>Physicochemical Principles of Pharmacy : In Manufacture, Formulation and Clinical Use</t>
  </si>
  <si>
    <t>Pharmaceutical Press</t>
  </si>
  <si>
    <t>Florence, Alexander T.; Attwood, David</t>
  </si>
  <si>
    <t>Nature's Path : A History of Naturopathic Healing in America</t>
  </si>
  <si>
    <t>Cayleff, Susan E.</t>
  </si>
  <si>
    <t>An Uncommon Life</t>
  </si>
  <si>
    <t>Corvina</t>
  </si>
  <si>
    <t>DeKornfeld, Thomas J.</t>
  </si>
  <si>
    <t>Crowdsourced Health : How What You Do on the Internet Will Improve Medicine</t>
  </si>
  <si>
    <t>Yom-Tov, Elad</t>
  </si>
  <si>
    <t>Miror of Beryl : A Historical Introduction to Tibetan Medicine</t>
  </si>
  <si>
    <t>Gyatso, Desi Sangyé; Kilty, Gavin</t>
  </si>
  <si>
    <t>A Guide to Forensic DNA Profiling</t>
  </si>
  <si>
    <t>Bader, Scott; Jamieson, Allan</t>
  </si>
  <si>
    <t>Drug Delivery : Principles and Applications</t>
  </si>
  <si>
    <t>Wang, Binghe; Hu, Longqin; Siahaan, Teruna J.</t>
  </si>
  <si>
    <t>Object Relations and Relationality in Couple Therapy : Exploring the Middle Ground</t>
  </si>
  <si>
    <t>Poulton, James L.</t>
  </si>
  <si>
    <t>Psychiatric-Mental Health Nursing, Second Edition : An Interpersonal Approach</t>
  </si>
  <si>
    <t>Jones, Jeffrey S. , DNP, RN, PMHCNS-BC, CST, LNC; Fitzpatrick, Joyce J., PhD, MBA, RN, FAAN; Rogers, Vickie L., DNP, RN</t>
  </si>
  <si>
    <t>Healing the Fractured Child : Diagnosis and Treatment of Youth With Dissociation</t>
  </si>
  <si>
    <t>Waters, Frances S., DCSW, LMSW, LMFT</t>
  </si>
  <si>
    <t>Rossi's Principles of Transfusion Medicine</t>
  </si>
  <si>
    <t>Simon, Toby L.; McCullough, Jeffrey; Snyder, Edward L.; Solheim, Bjarte G.; Strauss, Ronald G.</t>
  </si>
  <si>
    <t>Evidence-Based Geriatric Nursing Protocols for Best Practice, Fifth Edition</t>
  </si>
  <si>
    <t>Boltz, Marie, PhD, RN, GNP-BC, FGSA, FAAN; Capezuti, Elizabeth, PhD, RN, FAAN; Fulmer, Terry T., PhD, RN, FAAN; Zwicker, DeAnne, DrNP, APRN, BC</t>
  </si>
  <si>
    <t>Essential Primary Care</t>
  </si>
  <si>
    <t>Blythe, Andrew; Buchan, Jessica</t>
  </si>
  <si>
    <t>Occupational Therapy and Neurological Conditions</t>
  </si>
  <si>
    <t>Preston, Jenny; Edmans, Judi</t>
  </si>
  <si>
    <t>Effective Communication in Clinical Handover : From Research to Practice</t>
  </si>
  <si>
    <t>Bear, Jacqui; Cominos, Nayia; Della, Phillip; Jones, Dorothy; Jureidini, Jon; Lee, Marian; Manias, Elizabeth; Eggins, Suzanne; Slade, Diana; Geddes, Fiona</t>
  </si>
  <si>
    <t>Mental Health Services for Deaf People : Treatment Advances, Opportunities, and Challenges</t>
  </si>
  <si>
    <t>Estrada Aranda, Benito; Sleeboom-van Raaij, Ines</t>
  </si>
  <si>
    <t>The Arachnean and Other Texts</t>
  </si>
  <si>
    <t>Deligny, Fernand; Ogilvie, Bertrand; Burk, Drew S.; Porter, Catherine</t>
  </si>
  <si>
    <t>Agricultural Medicine : Occupational and Environmental Health for the Health Professions</t>
  </si>
  <si>
    <t>Donham, Kelley J.; Thelin, Anders</t>
  </si>
  <si>
    <t>Qualitative Methods in Public Health : A Field Guide for Applied Research</t>
  </si>
  <si>
    <t>Tolley, Elizabeth E.; Ulin, Priscilla R.; Mack, Natasha; Robinson, Elizabeth T.; Succop, Stacey M.</t>
  </si>
  <si>
    <t>Rapid Midwifery</t>
  </si>
  <si>
    <t>Snow, Sarah; Taylor, Kate; Carpenter, Jane</t>
  </si>
  <si>
    <t>Drug Utilization Research : Methods and Applications</t>
  </si>
  <si>
    <t>Elseviers, Monique; Wettermark, Bjö; Almarsdóttir, Anna Birna; Andersen, Morten; Benko, Ria; Bennie, Marion; Eriksson, Irene; Godman, Brian; Krska, Janet; Poluzzi, Elisabetta</t>
  </si>
  <si>
    <t>Environment, Society and the Black Death : An Interdisciplinary Approach to the Late-Medieval Crisis in Sweden</t>
  </si>
  <si>
    <t>Oxbow Books, Limited</t>
  </si>
  <si>
    <t>Lagerås, Per</t>
  </si>
  <si>
    <t>Stein, Paul D.</t>
  </si>
  <si>
    <t>Chronic Diseases in Geriatric Patients</t>
  </si>
  <si>
    <t>Tuck Yean Yong</t>
  </si>
  <si>
    <t>The Unseen Things : Women, Secrecy, and HIV in Northern Nigeria</t>
  </si>
  <si>
    <t>Rhine, Kathryn A.</t>
  </si>
  <si>
    <t>New Model of Burn Out Syndrome: Towards Early Diagnosis and Prevention</t>
  </si>
  <si>
    <t>Stoyanov, Drozdstoj</t>
  </si>
  <si>
    <t>Post-genomic Approaches in Drug and Vaccine Development</t>
  </si>
  <si>
    <t>Sakharkar, Kishore R.; Sakharkar, Meena K.; Chandra, Ramesh</t>
  </si>
  <si>
    <t>Stem Cell Biology and Regenerative Medicine</t>
  </si>
  <si>
    <t>Durand, Charles; Charbord, Pierre</t>
  </si>
  <si>
    <t>Neuro-Rehabilitation with Brain Interface</t>
  </si>
  <si>
    <t>Ligthart, Leo P.; Prasad, Ramjee; Pupolin, Silvano</t>
  </si>
  <si>
    <t>Oppositional, defiant &amp; Disruptive Children and Adolescents : Non-Medication Approaches for the Most Challenging ODD Behaviors</t>
  </si>
  <si>
    <t>Walls, Scott</t>
  </si>
  <si>
    <t>The Key to Autism : An Evidence-based Workbook for Assessing and Treating Children and Adolescents</t>
  </si>
  <si>
    <t>Daily, Cara</t>
  </si>
  <si>
    <t>Restoring Quality Health Care : A Six-Point Plan for Comprehensive Reform at Lower Cost</t>
  </si>
  <si>
    <t>Atlas, Scott</t>
  </si>
  <si>
    <t>Course Design for Public Health : A Competency Based Approach</t>
  </si>
  <si>
    <t>Publish Green</t>
  </si>
  <si>
    <t>Vanderschmidt PhD EdM, Hannelore; Segall MD DrPH, Ascher; Screnci EdM EdD, Domenic A</t>
  </si>
  <si>
    <t>Manual of Traumatic Brain Injury : Assessment and Management</t>
  </si>
  <si>
    <t>Zollman, Felise S., MD, FAAN, FAAMA</t>
  </si>
  <si>
    <t>Deadly River : Cholera and Cover-Up in Post-Earthquake Haiti</t>
  </si>
  <si>
    <t>Frerichs, Ralph R.</t>
  </si>
  <si>
    <t>Foundations for Community Health Workers</t>
  </si>
  <si>
    <t>Berthold, Timothy</t>
  </si>
  <si>
    <t>Introduction to Global Health Promotion</t>
  </si>
  <si>
    <t>Zimmerman, Rick S.; DiClemente, Ralph J.; Andrus, Jon K.; Hosein, Everold N.; Society for Public Health Education (SOPHE)</t>
  </si>
  <si>
    <t>Medical Encounters : Knowledge and Identity in Early American Literatures</t>
  </si>
  <si>
    <t>University of Massachusetts Press</t>
  </si>
  <si>
    <t>Wisecup, Kelly</t>
  </si>
  <si>
    <t>Clinical Communication in Medicine</t>
  </si>
  <si>
    <t>Brown, Jo; Kidd, Jane; Noble, Lorraine; Papageorgiou, Alexia</t>
  </si>
  <si>
    <t>Design That Cares : Planning Health Facilities for Patients and Visitors</t>
  </si>
  <si>
    <t>Carpman, Janet R.; Grant, Myron A.</t>
  </si>
  <si>
    <t>Health; Architecture; Social Science</t>
  </si>
  <si>
    <t>SARS from East to West</t>
  </si>
  <si>
    <t>Atkinson, Logan; Buus, Stephanie; Deppa, Joan; Deverell, Edward; Markel, Dan; Seaberg, Andrew; Shen, Simon; Stern, Eric K.; Olsson, Eva-Karin; Xue, Lan</t>
  </si>
  <si>
    <t>The Science of Cooking : Understanding the Biology and Chemistry Behind Food and Cooking</t>
  </si>
  <si>
    <t>Provost, Joseph; Kelly, Brenda; Bodwin, Jeffrey; Wallert, Mark</t>
  </si>
  <si>
    <t>Medical Ethics in the Ancient World</t>
  </si>
  <si>
    <t>Carrick, Paul J.</t>
  </si>
  <si>
    <t>Northern Hospitality : Cooking by the Book in New England</t>
  </si>
  <si>
    <t>Stavely, Keith; Fitzgerald, Kathleen</t>
  </si>
  <si>
    <t>The Link between Masculinity, Alcohol and HIV/Aids in Malawi</t>
  </si>
  <si>
    <t>Luviri Press</t>
  </si>
  <si>
    <t>Norwegian, Aid</t>
  </si>
  <si>
    <t>Care and Culture : Care Relations from the Perspectives of Mental Health Caregivers in Ethnic Minority Families</t>
  </si>
  <si>
    <t>Rugkåsa, Jorun</t>
  </si>
  <si>
    <t>Global Food, Global Justice : Essays on Eating under Globalization</t>
  </si>
  <si>
    <t>Rawlinson, Mary C.; Ward,  Caleb</t>
  </si>
  <si>
    <t>Philosophy; Health</t>
  </si>
  <si>
    <t>Traditional Chinese Exercises</t>
  </si>
  <si>
    <t>Qu, Jianmei; Wang,  Xinqing</t>
  </si>
  <si>
    <t>Towards a New Philosophy of Mental Health : Perspectives from Neuroscience and the Humanities</t>
  </si>
  <si>
    <t>Stoyanov, Drozdstoy St.</t>
  </si>
  <si>
    <t>Trauma Treatment : Factors Contributing to Efficiency</t>
  </si>
  <si>
    <t>Widera-Wysoczańska, Agnieszka</t>
  </si>
  <si>
    <t>Healthy Places, Healthy People, 3rd Edition</t>
  </si>
  <si>
    <t>Dreher, Melanie C.; Skemp, Lisa E.; Lehmann, Susan P.</t>
  </si>
  <si>
    <t>Child Behavioral and Parenting Challenges for Advanced Practice Nurses : A Reference for Front-line Health Care Providers</t>
  </si>
  <si>
    <t>Muscari, Mary E., PhD, MSCr, CPNP, PMHCNS-BC, AFN-BC</t>
  </si>
  <si>
    <t>The Economics of Health</t>
  </si>
  <si>
    <t>W.E. Upjohn Institute</t>
  </si>
  <si>
    <t>Meyer, Donald J.</t>
  </si>
  <si>
    <t>Cochlear Implants</t>
  </si>
  <si>
    <t>Waltzman, Susan B.; Roland, J. Thomas</t>
  </si>
  <si>
    <t>Diffusion Weighted and Diffusion Tensor Imaging: A Clinical Guide</t>
  </si>
  <si>
    <t>Leite, Claudia; Castillo, Mauricio</t>
  </si>
  <si>
    <t>Digital Breast Tomosynthesis : Technique and Cases</t>
  </si>
  <si>
    <t>Barkhausen, Joerg; Rody, Achim; Schafer, Fritz K. W.</t>
  </si>
  <si>
    <t>Emerging and Re-Emerging Human Infections : Genome to Infectome</t>
  </si>
  <si>
    <t>Singh, Sunit Kumar</t>
  </si>
  <si>
    <t>Introduction to Statistical Analysis of Laboratory Data</t>
  </si>
  <si>
    <t>Bartolucci, Alfred; Singh, Karan P.; Bae, Sejong</t>
  </si>
  <si>
    <t>Team Chemistry : The History of Drugs and Alcohol in Major League Baseball</t>
  </si>
  <si>
    <t>Corzine, Nathan Michael</t>
  </si>
  <si>
    <t>Core Principles of Meditation for Therapy : Improving the Outcome of Psychotherapeutic Treatment</t>
  </si>
  <si>
    <t>Simpkins, Annellen M.; Simpkins, C. Alexander</t>
  </si>
  <si>
    <t>Somerville, Margaret; Kalyanarama, Kumaran; Anderson, Rob</t>
  </si>
  <si>
    <t>Complementary, Alternative, and Integrative Health : A Multicultural Perspective</t>
  </si>
  <si>
    <t>Pinzón-Pérez, Helda; Pérez, Miguel A.</t>
  </si>
  <si>
    <t>Neuro-Developmental Treatment : A Guide to NDT Clinical Practice</t>
  </si>
  <si>
    <t>Bierman, Judith C.; Franjoine, Mary Rose; Hazzard, Catherine M.</t>
  </si>
  <si>
    <t>Food : A Culinary History</t>
  </si>
  <si>
    <t>Flandrin, Jean-Louis; Montanari, Massimo; Sonnenfeld, Albert</t>
  </si>
  <si>
    <t>Educating Students with Autism Spectrum Disorder : A Model for High-Quality Coaching</t>
  </si>
  <si>
    <t>Harrower, Joshua K.; Denti, Louis G.; Weber-Olsen, Marcia</t>
  </si>
  <si>
    <t>Power-deFur, Lissa A.</t>
  </si>
  <si>
    <t>Working with Interpreters and Translators : A Guide for Speech-Language Pathologists and Audiologists</t>
  </si>
  <si>
    <t>Langdon, Henriette W.; Saenz, Terry Irvine</t>
  </si>
  <si>
    <t>Management of Swallowing and Feeding Disorders in Schools</t>
  </si>
  <si>
    <t>Homer, Emily M.</t>
  </si>
  <si>
    <t>Writing Scientific Research in Communication Sciences and Disorders</t>
  </si>
  <si>
    <t>Brookshire, Robert H.; Brundage, Shelley B.</t>
  </si>
  <si>
    <t>Modern Hearing Aids : Verification, Outcome Measures, and Follow-Up</t>
  </si>
  <si>
    <t>Bentler, Ruth; Ricketts, Todd A.; Mueller, H. Gustav</t>
  </si>
  <si>
    <t>MATLAB® Primer for Speech Language Pathology and Audiology</t>
  </si>
  <si>
    <t>Boutsen, Frank R.; Dvorak, Justin D.</t>
  </si>
  <si>
    <t>Telepractice in Audiology</t>
  </si>
  <si>
    <t>Rushbrooke, Emma; Houston, K. Todd</t>
  </si>
  <si>
    <t>Tinnitus : Clinical and Research Perspectives</t>
  </si>
  <si>
    <t>Baguley, David M.; Fagelson, Marc</t>
  </si>
  <si>
    <t>Behavioral Principles in Communicative Disorders : Applications to Assessment and Treatment</t>
  </si>
  <si>
    <t>Maul, Christine A.; Findley, Brooke R.; Adams, Amanda Nicholson</t>
  </si>
  <si>
    <t>Tharpe, Anne Marie; Seewald, Richard</t>
  </si>
  <si>
    <t>Scientific Foundations of Audioloy : Perspectives from Physics, Biology, Modeling, and Medicine</t>
  </si>
  <si>
    <t>Cacace, Anthony T.; de Kleine, Emile; Holt, Avril G.; Van Dijk, Pim</t>
  </si>
  <si>
    <t>Reaching for Health : The Australian women’s health movement and public policy</t>
  </si>
  <si>
    <t>ANU Press</t>
  </si>
  <si>
    <t>Jamieson, Gwendolyn Gray</t>
  </si>
  <si>
    <t>Toward a Healthcare Strategy for Canadians</t>
  </si>
  <si>
    <t>Roussel, Stephane; Paquin, Stephane; Carson, A. Scott; Dixon, Jeffrey; Nossal, Kim Richard</t>
  </si>
  <si>
    <t>Person-Centred Practice in Nursing and Health Care : Theory and Practice</t>
  </si>
  <si>
    <t>Physical Assessment of the Newborn : A Comprehensive Approach to the Art of Physical Examination, Fifth Edition</t>
  </si>
  <si>
    <t>Tappero, Ellen P., DNP, RN, NNP-BC; Honeyfield, Mary Ellen, DNP, RN, NNP-BC</t>
  </si>
  <si>
    <t>Health Visiting : Preparation for Practice</t>
  </si>
  <si>
    <t>Bryar, Rosamund; Luker, Karen A.; McHugh, Gretl A.</t>
  </si>
  <si>
    <t>Movement, Knowledge, Emotion : Gay activism and HIV/AIDS in Australia</t>
  </si>
  <si>
    <t>Power, Jennifer</t>
  </si>
  <si>
    <t>Holloway, Immy; Galvin, Kathleen</t>
  </si>
  <si>
    <t>Clinical Pharmacy Pocket Companion</t>
  </si>
  <si>
    <t>Gray, Alistair Howard; Wright, Jane; Bruce, Lynn; Oakley, Jennifer</t>
  </si>
  <si>
    <t>Maternal-Neonatal Nursing Made Incredibly Easy!</t>
  </si>
  <si>
    <t>Wilkins, Lippincott Williams &amp;</t>
  </si>
  <si>
    <t>Lippincott Nursing Drug Guide</t>
  </si>
  <si>
    <t>Karch, Amy</t>
  </si>
  <si>
    <t>Crossover Designs : Testing, Estimation, and Sample Size</t>
  </si>
  <si>
    <t>Victorian Medicine and Popular Culture</t>
  </si>
  <si>
    <t>Penner, Louise; Sparks, Tabitha</t>
  </si>
  <si>
    <t>How Not to Write A Medical Paper</t>
  </si>
  <si>
    <t>Heinemann, Markus K.</t>
  </si>
  <si>
    <t>Brief Integrated Motivational Intervention : A Treatment Manual for Co-Occuring Mental Health and Substance Use Problems</t>
  </si>
  <si>
    <t>Graham, Hermine L.; Copello, Alex; Birchwood, M. J.; Griffith, Emma</t>
  </si>
  <si>
    <t>Pediatric Neuroradiology : The Essentials</t>
  </si>
  <si>
    <t>Choudrhi, Asim F.</t>
  </si>
  <si>
    <t>How to Facilitate Lifestyle Change : Applying Group Education in Healthcare</t>
  </si>
  <si>
    <t>Avery, Amanda; Whitehead, Kirsten; Halliday, Vanessa</t>
  </si>
  <si>
    <t>Sacrifice Zones : The Front Lines of Toxic Chemical Exposure in the United States</t>
  </si>
  <si>
    <t>Lerner, Steve; Brown, Phil</t>
  </si>
  <si>
    <t>WHO Classification of Tumours of the Breast</t>
  </si>
  <si>
    <t>International Agency for Research on Cancer (I A R C) (UN)</t>
  </si>
  <si>
    <t>Schnitt, Stuart J.; Lakhani, Sunil R.; Ellis, Ian O.; Schnitt, Stuart J.</t>
  </si>
  <si>
    <t>WHO Classification of Tumours of Soft Tissue and Bone</t>
  </si>
  <si>
    <t>Bridge, J.A.; Hogendoorn, P.; Fletcher, Christopher D. M.; Bridge, Julia A.; Hogendoorn, Pancras C. W.; Fletcher, Christopher D. M.</t>
  </si>
  <si>
    <t>WHO Classification of Tumours of Female Reproductive Organs</t>
  </si>
  <si>
    <t>Carcangiu, M. L.; Kurman, Robert J.; Carcangiu, Maria Luisa; Herrington, C. Simon</t>
  </si>
  <si>
    <t>The Challenge to Change : Reforming Health Care on the Front Line in the United States and the United Kingdom</t>
  </si>
  <si>
    <t>Givan, Rebecca Kolins</t>
  </si>
  <si>
    <t>Principles of Ear Acupuncture : Microsystem of the Auricle</t>
  </si>
  <si>
    <t>Rubach, med. Axel, Dr.</t>
  </si>
  <si>
    <t>The Andean Wonder Drug : Cinchona Bark and Imperial Science in the Spanish Atlantic, 1630-1800</t>
  </si>
  <si>
    <t>Crawford, Matthew James</t>
  </si>
  <si>
    <t>Biomedical Devices : Design, Prototyping, and Manufacturing</t>
  </si>
  <si>
    <t>Özel, Tŭgrul; Bártolo, Paolo Jorge; Ceretti, Elisabetta; Da Silva, Jorge Vicente Lopes; Gay, Joaquim De Ciurana; Rodriguez, Ciro Angel</t>
  </si>
  <si>
    <t>Medicine; Engineering: Manufacturing; Engineering</t>
  </si>
  <si>
    <t>Borderline Personality Disorder Toolbox : A Practical Evidence-Based Guide to Regulating Intense Emotions</t>
  </si>
  <si>
    <t>Riggenbach, Jeff</t>
  </si>
  <si>
    <t>Laboratory Diagnostic Pathways : Clinical Manual of Screening Methods and Stepwise Diagnosis</t>
  </si>
  <si>
    <t>Brödje, Dörte; Degel, Fritz; Desel, Herbert; Eckardstein, Arnold von; Ehrich, Jochen H. H.; Felgenhauer, Norbert; Guder, Walter G.; Hofmann, Walter; Aufenanger, Johannes; Hoffmann, Georg</t>
  </si>
  <si>
    <t>Infection Prevention and Control at a Glance</t>
  </si>
  <si>
    <t>Weston, Debbie; Burgess, Alison; Roberts, Sue</t>
  </si>
  <si>
    <t>Schizophrenia : Schizophrenia</t>
  </si>
  <si>
    <t>Tsuang, Ming T.; Faraone, Stephen V.; Glatt, Stephen J.</t>
  </si>
  <si>
    <t>The First Miracle Drugs : How the Sulfa Drugs Transformed Medicine</t>
  </si>
  <si>
    <t>Lesch, John E.</t>
  </si>
  <si>
    <t>McCullough, Jeffrey</t>
  </si>
  <si>
    <t>Keeping Reflection Fresh : A Practical Guide for Clinical Educators</t>
  </si>
  <si>
    <t>Peterkin, Allan; Brett-MacLean, Pamela</t>
  </si>
  <si>
    <t>Reflexotherapy of the Feet</t>
  </si>
  <si>
    <t>Marquardt, Hanne</t>
  </si>
  <si>
    <t>Medical Ethics, Law and Communication at a Glance</t>
  </si>
  <si>
    <t>Davey, Patrick; Rathmell, Anna; Dunn, Michael, III; Foster, Charles; Salisbury, Helen</t>
  </si>
  <si>
    <t>Health Promotion Programs : From Theory to Practice</t>
  </si>
  <si>
    <t>Fertman, Carl I.; Allensworth, Diane D.; Society for Public Health Education (SOPHE)</t>
  </si>
  <si>
    <t>Chemical Drug Design</t>
  </si>
  <si>
    <t>Angelo, Tamara; Bhattacharyya, Rajasri; Kataria, Ramesh; Kumar, Sunil; Mathur, Garima; Mehta, S. K.; Mendonça, Francisco J. B.; Nain, Sumitra; Paliwal, Sarvesh; Patel, Seema</t>
  </si>
  <si>
    <t>Art about AIDS : Nan Goldin's Exhibition Witnesses: Against Our Vanishing</t>
  </si>
  <si>
    <t>Junge, Sophie</t>
  </si>
  <si>
    <t>Medical Speech-Language Pathology : A Practitioner's Guide</t>
  </si>
  <si>
    <t>Johnson, Alex F.; Jacobson, Barbara H.</t>
  </si>
  <si>
    <t>Clinical Leadership in Nursing and Healthcare : Values into Action</t>
  </si>
  <si>
    <t>Stanley, David</t>
  </si>
  <si>
    <t>Evaluating Public and Community Health Programs</t>
  </si>
  <si>
    <t>Harris, Muriel J.</t>
  </si>
  <si>
    <t>Vertigo and Disequilibrium : A Practical Guide to Diagnosis and Management</t>
  </si>
  <si>
    <t>Weber, Peter; Weber, Peter</t>
  </si>
  <si>
    <t>Vision and the Brain : Understanding Cerebral Visual Impairment in Children</t>
  </si>
  <si>
    <t>AFB Press</t>
  </si>
  <si>
    <t>Lueck, Amanda Hall; Dutton, Gordon N.</t>
  </si>
  <si>
    <t>Healthy Cooking &amp; Nutrition for College Students : How Not to Gain the Freshman 15</t>
  </si>
  <si>
    <t>Atlantic Publishing Group</t>
  </si>
  <si>
    <t>Sack, Rebekah</t>
  </si>
  <si>
    <t>Medical School at a Glance</t>
  </si>
  <si>
    <t>Thomas, Rachel K.</t>
  </si>
  <si>
    <t>Noninterpretive Skills in Radiology : Q&amp;A Top Score Prep Guide for the Boards</t>
  </si>
  <si>
    <t>Weismann, Alan; Bartel, Twyla</t>
  </si>
  <si>
    <t>At Wit’s End : Plain Talk on Alzheimer’s for Families and Clinicians, Second Edition</t>
  </si>
  <si>
    <t>Kraus, George</t>
  </si>
  <si>
    <t>Mastering Medical Photography of the Head and Neck</t>
  </si>
  <si>
    <t>McCusker, Scott B.; Douros, Blaise</t>
  </si>
  <si>
    <t>Physical and Biological Hazards of the Workplace</t>
  </si>
  <si>
    <t>Stave, Gregg M.; Wald, Peter H.</t>
  </si>
  <si>
    <t>Burghardt's Primary Care Colposcopy : Textbook and Atlas</t>
  </si>
  <si>
    <t>Reich, Olaf; Girardi, Frank; Tamussino, Karl</t>
  </si>
  <si>
    <t>Geriatric Pharmacology : The Principles of Practice &amp; Clinical Recommendation, Second Edition</t>
  </si>
  <si>
    <t>Atkinson, Steven</t>
  </si>
  <si>
    <t>Basic Pharmacokinetics and Pharmacodynamics : An Integrated Textbook and Computer Simulations</t>
  </si>
  <si>
    <t>Rosenbaum, Sara E.</t>
  </si>
  <si>
    <t>Gender Affirmation : Medical and Surgical Perspectives</t>
  </si>
  <si>
    <t>Salgado, Christopher; Djordjevic, Miroslav; Djordjevic, Miroslav</t>
  </si>
  <si>
    <t>The Seaside, Health and the Environment in England and Wales Since 1800</t>
  </si>
  <si>
    <t>Hassan, John; Aldcroft, Professor Derek H.</t>
  </si>
  <si>
    <t>Innovative Investigations of Language in Autism Spectrum Disorder</t>
  </si>
  <si>
    <t>Naigles, Letitia</t>
  </si>
  <si>
    <t>Essays in Medical Ethics : Plea for a Medicine of Prudence</t>
  </si>
  <si>
    <t>Maio, Giovanni</t>
  </si>
  <si>
    <t>Fundamentals of Neurology : An Illustrated Guide</t>
  </si>
  <si>
    <t>Mattle, Heinrich; Mumenthaler, Marco</t>
  </si>
  <si>
    <t>Malaria Microscopy Quality Assurance Manual - Version 2</t>
  </si>
  <si>
    <t>Letters from Rising Pharmacy Stars: Advice on Creating and Advancing Your Career in a Changing Profession</t>
  </si>
  <si>
    <t>Cantrell, Susan A.; White, Sara J.</t>
  </si>
  <si>
    <t>Pathophysiology of Heart Disease : A Collaborative Project of Medical Students and Faculty</t>
  </si>
  <si>
    <t>Lilly, Leonard S.</t>
  </si>
  <si>
    <t>Wound Care Made Incredibly Easy</t>
  </si>
  <si>
    <t>Lippincott Nursing Procedures</t>
  </si>
  <si>
    <t>Critical Care Handbook of the Massachusetts General Hospital</t>
  </si>
  <si>
    <t>Wiener-Kronish, Jeanine P.</t>
  </si>
  <si>
    <t>Wound Care Essentials : Practice Principles</t>
  </si>
  <si>
    <t>Baranoski, Sharon; Ayello, Elizabeth</t>
  </si>
  <si>
    <t>The Washington Manual of Surgery</t>
  </si>
  <si>
    <t>Klingensmith, Mary E.</t>
  </si>
  <si>
    <t>Nursing Procedures Made Incredibly Easy!</t>
  </si>
  <si>
    <t>Wound, Ostomy and Continence Nurses Society® Core Curriculum: Wound Management</t>
  </si>
  <si>
    <t>Wound, Ostomy and Continence Nurses Society®; Doughty, Dorothy; McNichol, Laurie</t>
  </si>
  <si>
    <t>Critical Care Nursing Made Incredibly Easy!</t>
  </si>
  <si>
    <t>Cancer of the Skin : Cancer: Principles &amp; Practice of Oncology</t>
  </si>
  <si>
    <t>DeVita, Vincent T.; Lawrence, Theodore S.; Rosenberg, Steven A.</t>
  </si>
  <si>
    <t>Steinberg, Benjamin A.; Cannon, Christopher P.</t>
  </si>
  <si>
    <t>A Practical Approach to Pediatric Anesthesia</t>
  </si>
  <si>
    <t>Holzman, Robert S.; Mancuso, Thomas J.; Polaner, David M.</t>
  </si>
  <si>
    <t>Dosage Calculations Made Incredibly Easy!</t>
  </si>
  <si>
    <t>Clinical Signs in Neurology</t>
  </si>
  <si>
    <t>Campbell, William W.</t>
  </si>
  <si>
    <t>Telephone Triage Protocols for Nursing</t>
  </si>
  <si>
    <t>Briggs, Julie</t>
  </si>
  <si>
    <t>Lippincott Certification Review: Pediatric Acute Care Nurse Practitioner</t>
  </si>
  <si>
    <t>Kline, Andrea M.; Haut, Catherine</t>
  </si>
  <si>
    <t>Core Curriculum for Forensic Nursing</t>
  </si>
  <si>
    <t>Price, Bonnie; Maguire, Kathleen; Price, Bonnie</t>
  </si>
  <si>
    <t>The Brain Adapting with Pain : Contribution of Neuroimaging Technology to Pain Mechanisms</t>
  </si>
  <si>
    <t>Apkarian, Vania</t>
  </si>
  <si>
    <t>Issues of Cancer Survivorship : An Interdisciplinary Team Approach to Care</t>
  </si>
  <si>
    <t>Kantor, Debra</t>
  </si>
  <si>
    <t>Walsh &amp; Hoyt's Clinical Neuro-Ophthalmology: The Essentials</t>
  </si>
  <si>
    <t>Miller, Neil R.; Subramanian, Prem; Patel, Vivek</t>
  </si>
  <si>
    <t>Pediatric Imaging : The Essentials</t>
  </si>
  <si>
    <t>Iyer, Ramesh; Chapman, Teresa</t>
  </si>
  <si>
    <t>A Practical Guide to Laser Procedures</t>
  </si>
  <si>
    <t>Small, Rebecca</t>
  </si>
  <si>
    <t>Neuroimaging: The Essentials</t>
  </si>
  <si>
    <t>Sanelli, Pina; Schaefer, Pamela; Loevner, Laurie</t>
  </si>
  <si>
    <t>Core Curriculum of Addictions Nursing : An Official Publication of the IntNSA</t>
  </si>
  <si>
    <t>Rundio, Albert; Lorman, Bill</t>
  </si>
  <si>
    <t>Ferrell, Kathy</t>
  </si>
  <si>
    <t>The Effective Pharmacy Preceptor</t>
  </si>
  <si>
    <t>Soric, Mate M.; Schneider, Stacey R.; Wisneski, Stephen Scott</t>
  </si>
  <si>
    <t>Muscle Function Testing - A Visual Guide</t>
  </si>
  <si>
    <t>Wieben, Karin; Falkenberg, Bernd</t>
  </si>
  <si>
    <t>Girls and Violence : Tracing the Roots of Criminal Behavior</t>
  </si>
  <si>
    <t>Lynne Rienner Publishers</t>
  </si>
  <si>
    <t>Ryder, Judith</t>
  </si>
  <si>
    <t>Bright Futures: Guidelines Pocket Guide</t>
  </si>
  <si>
    <t>Hagan, Joseph F.; Shaw, Judith S.; Duncan, Paula M.</t>
  </si>
  <si>
    <t>Trauma, PTSD, Grief &amp; Loss : The 10 Core Competencies for Evidence-Based Treatment</t>
  </si>
  <si>
    <t>Dubi, Michael; Powell, Patrick; Gentry, Eric</t>
  </si>
  <si>
    <t>Collaborative Caring : Stories and Reflections on Teamwork in Health Care</t>
  </si>
  <si>
    <t>Gordon, Suzanne; Feldman, David L.; Leonard, Michael</t>
  </si>
  <si>
    <t>Curing Medicare : A Doctor's View on How Our Health Care System Is Failing Older Americans and How We Can Fix It</t>
  </si>
  <si>
    <t>Lazris, Andrew; Brownlee, Shannon</t>
  </si>
  <si>
    <t>The Expanded Dialectical Behavior Therapy Skills Training Manual, 2nd Edition : DBT for Self-Help and Individual &amp; Group Treatment Settings</t>
  </si>
  <si>
    <t>Pederson, Lane; Pederson, Cortney</t>
  </si>
  <si>
    <t>Laboratory Quality Control and Patient Safety</t>
  </si>
  <si>
    <t>Gras, Jeremie M.</t>
  </si>
  <si>
    <t>Attending Others : A Doctor's Education in Bodies and Words</t>
  </si>
  <si>
    <t>Wipf and Stock Publishers</t>
  </si>
  <si>
    <t>Volck, Brian</t>
  </si>
  <si>
    <t>The Troubled Dream of Life : In Search of a Peaceful Death</t>
  </si>
  <si>
    <t>Psychiatry and Pedopsychiatry</t>
  </si>
  <si>
    <t>Hosák, Ladislav; Hrdlička, Michal et al.</t>
  </si>
  <si>
    <t>The Washington Manual of Pediatrics</t>
  </si>
  <si>
    <t>White, Andrew J.</t>
  </si>
  <si>
    <t>Dermatologic Nursing Essentials : A Core Curriculum</t>
  </si>
  <si>
    <t>Nicol, Noreen</t>
  </si>
  <si>
    <t>Review of Radiologic Physics</t>
  </si>
  <si>
    <t>Huda, Walter</t>
  </si>
  <si>
    <t>Neinstein’s Adolescent and Young Adult Health Care : A Practical Guide</t>
  </si>
  <si>
    <t>Katzman, Debra K.; Callahan, Todd; Joffe, Alain; Katzman, Debra K.; Neinstein, Lawrence S.</t>
  </si>
  <si>
    <t>Greenman's Principles of Manual Medicine</t>
  </si>
  <si>
    <t>DeStefano, Lisa A.</t>
  </si>
  <si>
    <t>Application of the Risk Matrix Method to Radiotherapy</t>
  </si>
  <si>
    <t>IAEA</t>
  </si>
  <si>
    <t>Flourishing : Health, Disease, and Bioethics in Theological Perspective</t>
  </si>
  <si>
    <t>Wm. B. Eerdmans Publishing Co.</t>
  </si>
  <si>
    <t>Messer, Neil</t>
  </si>
  <si>
    <t>Bioethics : A Primer for Christians, Third Edition</t>
  </si>
  <si>
    <t>Meilaender, Gilbert</t>
  </si>
  <si>
    <t>On Moral Medicine : Theological Perspectives on Medical Ethics</t>
  </si>
  <si>
    <t>Lysaught, M. Therese; Kotva, Joseph; Lammers, Stephen E.; Verhey, Allen</t>
  </si>
  <si>
    <t>Jongsma, Arthur E., Jr.; Finley, James R.; Lenz, Brenda S.</t>
  </si>
  <si>
    <t>Clinical Insights: Geriatric Valvular Disease</t>
  </si>
  <si>
    <t>Future Medicine Ltd</t>
  </si>
  <si>
    <t>Pierard, Luc A</t>
  </si>
  <si>
    <t>Collecting Recipes : Byzantine and Jewish Pharmacology in Dialogue</t>
  </si>
  <si>
    <t>Lehmhaus, Lennart; Martelli, Matteo</t>
  </si>
  <si>
    <t>Private Practice Essentials : Business Tools for Mental Health Professionals</t>
  </si>
  <si>
    <t>Baumgarten, Howard; Stout, Chris E</t>
  </si>
  <si>
    <t>Otolaryngology/Head and Neck Surgery Combat Casualty Care: Operation Iraq I Freedom and Operation Enduring Freedom</t>
  </si>
  <si>
    <t>United States Government Printing Office</t>
  </si>
  <si>
    <t>Thomas, Richard W.; United States, Department of the Army Office of the Surgeon General Staff; Borden Institute (U.S.) Staff; Brennan, Joseph A.; Borden Institute</t>
  </si>
  <si>
    <t>Handbook of Interventional Radiologic Procedures</t>
  </si>
  <si>
    <t>Kandarpa, Krishna; Machan, Lindsay; Durham, Janette</t>
  </si>
  <si>
    <t>Translating Clinical Trial Outcomes Measures : An overview</t>
  </si>
  <si>
    <t>SEEd Medical Publishers</t>
  </si>
  <si>
    <t>Tyupa, Sergiy; Wild, Diane</t>
  </si>
  <si>
    <t>Advances in Cervical Cancer Management</t>
  </si>
  <si>
    <t>Grigsby, Perry W</t>
  </si>
  <si>
    <t>Traumatic Brain Injury Rehabilitation Medicine</t>
  </si>
  <si>
    <t>Cifu, David X; Eapen, Blessen C</t>
  </si>
  <si>
    <t>Current Issues in Age-Related Macular Degeneration</t>
  </si>
  <si>
    <t>Guymer, Robyn H; Luu, Chi D</t>
  </si>
  <si>
    <t>Contemporary Approaches to Upper Respiratory Tract Infections</t>
  </si>
  <si>
    <t>Chonmaitree, Tasnee; Patel, Janak A</t>
  </si>
  <si>
    <t>Deep Brain Stimulation: Technology and Applications (Volume 1)</t>
  </si>
  <si>
    <t>Vitek, Jerrold L</t>
  </si>
  <si>
    <t>Deep Brain Stimulation: Technology and Applications (Volume 2)</t>
  </si>
  <si>
    <t>Current Approaches in Image-Guided Therapy</t>
  </si>
  <si>
    <t>Joleszr, Ferenc A; Penzkofe, Tobias</t>
  </si>
  <si>
    <t>Novel Insights into the Pathophysiology and Treatment of Obstructive Sleep Apnea</t>
  </si>
  <si>
    <t>Lévy, Patrick</t>
  </si>
  <si>
    <t>Best Practices in Neurological Care</t>
  </si>
  <si>
    <t>Ovbiagele, Bruce</t>
  </si>
  <si>
    <t>Dystonia: a Clinician’s Guide to Diagnosis, Pathophysiology and Treatment</t>
  </si>
  <si>
    <t>Morgante, Francesca; Fasano, Alfonso</t>
  </si>
  <si>
    <t>Advances in Dyslipidemia</t>
  </si>
  <si>
    <t>Aronow, Wilbert</t>
  </si>
  <si>
    <t>Clinical Insights: Probiotics, Prebiotics and Gut Health</t>
  </si>
  <si>
    <t>Floch, Martin H; Kim, Adam</t>
  </si>
  <si>
    <t>Clinical Insights: Chronic Pain</t>
  </si>
  <si>
    <t>Dougall, Angela; Gatchel, Robert J</t>
  </si>
  <si>
    <t>Clinical Insights: Obesity and Pregnancy</t>
  </si>
  <si>
    <t>Yogev, Yariv; Sheiner, Eyal</t>
  </si>
  <si>
    <t>Clinical Insights: Mental Health in Adolescents: Bipolar Disorder</t>
  </si>
  <si>
    <t>Duffy, Anne</t>
  </si>
  <si>
    <t>Clinical Insights: Dengue: Transmission, Diagnosis &amp; Surveillance</t>
  </si>
  <si>
    <t>Whitehorn, Jamie; Farrar, Jeremy</t>
  </si>
  <si>
    <t>Ocular Melanoma: Advances in Diagnostic and Therapeutic Strategies</t>
  </si>
  <si>
    <t>Murray, Timothy G; Boldt, H Culver</t>
  </si>
  <si>
    <t>Novel Insights into the Pathophysiology and Treatment of Fibromyalgia</t>
  </si>
  <si>
    <t>Danneskiold-Samsøe, Bente; Bartels, Else Marie</t>
  </si>
  <si>
    <t>Current Approaches to Endometrial Cancer</t>
  </si>
  <si>
    <t>Sakuragi, Noriaki; Silverberg, Steven G</t>
  </si>
  <si>
    <t>Mycotoxins &amp; their Implications in Food Safety</t>
  </si>
  <si>
    <t>Future Science Ltd</t>
  </si>
  <si>
    <t>Duarte, Sofia; Lino, Celeste; Pena, Angelina</t>
  </si>
  <si>
    <t>Advances in Collating and Using Trial Data</t>
  </si>
  <si>
    <t>Chevret, Sylvie; Resche-Rigon, Matthieu</t>
  </si>
  <si>
    <t>Forensic Drug Analysis</t>
  </si>
  <si>
    <t>Drummer, Olaf; Gerostamoulos, Dimitri</t>
  </si>
  <si>
    <t>Drug Delivery in Oncology</t>
  </si>
  <si>
    <t>Ricart, Alex D</t>
  </si>
  <si>
    <t>Tissue Analysis for Drug Development</t>
  </si>
  <si>
    <t>Ho, Stacy</t>
  </si>
  <si>
    <t>Biosensors and Their Application in Healthcare</t>
  </si>
  <si>
    <t>Ozkan-Ariksoysal, Dilsat</t>
  </si>
  <si>
    <t>Bioanalysis of Biotherapeutics</t>
  </si>
  <si>
    <t>Gorovits, Boris</t>
  </si>
  <si>
    <t>Bioanalysis for Service Users</t>
  </si>
  <si>
    <t>Aubry, Anne-Francoise; Shen, Jim X</t>
  </si>
  <si>
    <t>Eliminating Bottlenecks for Efficient Bioanalysis: Practices and Applications in Drug Discovery and Development</t>
  </si>
  <si>
    <t>Shou, Wilson; Weng, Naidong</t>
  </si>
  <si>
    <t>Clinical Advances in Diabetes Mellitus</t>
  </si>
  <si>
    <t>Forst, Thomas; Kaptiza, Christoph</t>
  </si>
  <si>
    <t>Advances and Challenges in Antidoping Analysis</t>
  </si>
  <si>
    <t>Georgakopoulos, Costas; Alsayrafi, Muhammad</t>
  </si>
  <si>
    <t>New Sampling Strategies in Toxicology and Therapeutic Drug Monitoring</t>
  </si>
  <si>
    <t>Stove, Christophe</t>
  </si>
  <si>
    <t>Pediatric Epilepsy Surgery</t>
  </si>
  <si>
    <t>Arzimanoglou, Alexis; Helen Cross,  J.; Gaillard, William D.; Kahane, Philippe</t>
  </si>
  <si>
    <t>EEG Awake and Sleep EEG : Activation procedures and Artifacts</t>
  </si>
  <si>
    <t>Gélisse, Phillippe; Crespel, Arielle</t>
  </si>
  <si>
    <t>Barron's Nursing School Entrance Exams, 5th edition : Preparation for: HESI A2/NET/NLN PAX-RN/PSB-RN/RNEE/TEAS</t>
  </si>
  <si>
    <t>Barron's Educational Series</t>
  </si>
  <si>
    <t>Swick, Sandra S.; Callahan, Rita R.; Callahan, Rita R.</t>
  </si>
  <si>
    <t>Barron's CCRN Exam</t>
  </si>
  <si>
    <t>Juarez MS., APN, CCNS, CCRN-K, Patricia</t>
  </si>
  <si>
    <t>Games of Life : Czech Reproductive Biomedicine. Sociological Perspectives</t>
  </si>
  <si>
    <t>Masarykova univerzita</t>
  </si>
  <si>
    <t>Iva Šmídová; Eva Šlesingerová; Lenka Slepičková</t>
  </si>
  <si>
    <t>I Know What Iʼm Doing : Experiences of Women who Use Methamphetamine</t>
  </si>
  <si>
    <t>Magda Frišaufová</t>
  </si>
  <si>
    <t>Essential Radiology : Clinical Presentation Pathophysiology Imaging</t>
  </si>
  <si>
    <t>Gunderman, Richard B.</t>
  </si>
  <si>
    <t>Measurements and Classifications in Musculoskeletal Radiology</t>
  </si>
  <si>
    <t>Waldt, Simone; Eiber, Matthias; Woertler, Klaus</t>
  </si>
  <si>
    <t>Pediatric Imaging Essentials : Radiography, Ultrasound, CT and MRI in Neonates and Children</t>
  </si>
  <si>
    <t>Riccabona, Michael</t>
  </si>
  <si>
    <t>Top 3 Differentials in Neuroradiology</t>
  </si>
  <si>
    <t>O'Brien, William T.</t>
  </si>
  <si>
    <t>Emergency Imaging</t>
  </si>
  <si>
    <t>Baxter, Alexander; Cloyd, Trudy</t>
  </si>
  <si>
    <t>Ultrasound Imaging</t>
  </si>
  <si>
    <t>Azar, Nami R.; Donaldson, Carolyn; Dogra, Vikram; Donaldson, Carolyn</t>
  </si>
  <si>
    <t>4.3.3 Details of e-resources with full text access</t>
  </si>
  <si>
    <t xml:space="preserve">For Medical  Faculty </t>
  </si>
  <si>
    <t>Proquest- Medical eBooks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</si>
</sst>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33" borderId="0" xfId="0" applyFill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82"/>
  <sheetViews>
    <sheetView tabSelected="1" workbookViewId="0">
      <selection activeCell="H7" sqref="H7"/>
    </sheetView>
  </sheetViews>
  <sheetFormatPr defaultColWidth="15.7109375" defaultRowHeight="30" customHeight="1" x14ac:dyDescent="0.25"/>
  <cols>
    <col min="1" max="1" width="43.42578125" style="1" customWidth="1"/>
    <col min="2" max="16384" width="15.7109375" style="1"/>
  </cols>
  <sheetData>
    <row r="1" spans="1:6" ht="30" customHeight="1" x14ac:dyDescent="0.25">
      <c r="A1" s="7" t="s">
        <v>25533</v>
      </c>
      <c r="B1" s="7"/>
      <c r="C1" s="7"/>
      <c r="D1" s="7"/>
      <c r="E1" s="7"/>
      <c r="F1" s="7"/>
    </row>
    <row r="2" spans="1:6" ht="30" customHeight="1" x14ac:dyDescent="0.25">
      <c r="A2" s="7" t="s">
        <v>25534</v>
      </c>
      <c r="B2" s="7"/>
      <c r="C2" s="7"/>
      <c r="D2" s="7"/>
      <c r="E2" s="7"/>
      <c r="F2" s="7"/>
    </row>
    <row r="3" spans="1:6" ht="30" customHeight="1" x14ac:dyDescent="0.25">
      <c r="A3" s="7" t="s">
        <v>25535</v>
      </c>
      <c r="B3" s="7"/>
      <c r="C3" s="7"/>
      <c r="D3" s="7"/>
      <c r="E3" s="7"/>
      <c r="F3" s="7"/>
    </row>
    <row r="4" spans="1:6" s="3" customFormat="1" ht="30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30" customHeight="1" x14ac:dyDescent="0.25">
      <c r="A5" s="5" t="s">
        <v>6</v>
      </c>
      <c r="B5" s="5" t="str">
        <f>"9781588430052"</f>
        <v>9781588430052</v>
      </c>
      <c r="C5" s="5" t="s">
        <v>7</v>
      </c>
      <c r="D5" s="6">
        <v>36434</v>
      </c>
      <c r="E5" s="5" t="s">
        <v>8</v>
      </c>
      <c r="F5" s="5" t="s">
        <v>9</v>
      </c>
    </row>
    <row r="6" spans="1:6" ht="30" customHeight="1" x14ac:dyDescent="0.25">
      <c r="A6" s="5" t="s">
        <v>10</v>
      </c>
      <c r="B6" s="5" t="str">
        <f>"9780471045601"</f>
        <v>9780471045601</v>
      </c>
      <c r="C6" s="5" t="s">
        <v>11</v>
      </c>
      <c r="D6" s="6">
        <v>37106</v>
      </c>
      <c r="E6" s="5" t="s">
        <v>12</v>
      </c>
      <c r="F6" s="5" t="s">
        <v>13</v>
      </c>
    </row>
    <row r="7" spans="1:6" ht="30" customHeight="1" x14ac:dyDescent="0.25">
      <c r="A7" s="5" t="s">
        <v>14</v>
      </c>
      <c r="B7" s="5" t="str">
        <f>"9780471009375"</f>
        <v>9780471009375</v>
      </c>
      <c r="C7" s="5" t="s">
        <v>11</v>
      </c>
      <c r="D7" s="6">
        <v>37018</v>
      </c>
      <c r="E7" s="5" t="s">
        <v>15</v>
      </c>
      <c r="F7" s="5" t="s">
        <v>13</v>
      </c>
    </row>
    <row r="8" spans="1:6" ht="30" customHeight="1" x14ac:dyDescent="0.25">
      <c r="A8" s="5" t="s">
        <v>16</v>
      </c>
      <c r="B8" s="5" t="str">
        <f>"9780471009504"</f>
        <v>9780471009504</v>
      </c>
      <c r="C8" s="5" t="s">
        <v>11</v>
      </c>
      <c r="D8" s="6">
        <v>36993</v>
      </c>
      <c r="E8" s="5" t="s">
        <v>17</v>
      </c>
      <c r="F8" s="5" t="s">
        <v>13</v>
      </c>
    </row>
    <row r="9" spans="1:6" ht="30" customHeight="1" x14ac:dyDescent="0.25">
      <c r="A9" s="5" t="s">
        <v>18</v>
      </c>
      <c r="B9" s="5" t="str">
        <f>"9780253109200"</f>
        <v>9780253109200</v>
      </c>
      <c r="C9" s="5" t="s">
        <v>19</v>
      </c>
      <c r="D9" s="6">
        <v>36972</v>
      </c>
      <c r="E9" s="5" t="s">
        <v>20</v>
      </c>
      <c r="F9" s="5" t="s">
        <v>21</v>
      </c>
    </row>
    <row r="10" spans="1:6" ht="30" customHeight="1" x14ac:dyDescent="0.25">
      <c r="A10" s="5" t="s">
        <v>22</v>
      </c>
      <c r="B10" s="5" t="str">
        <f>"9780253109606"</f>
        <v>9780253109606</v>
      </c>
      <c r="C10" s="5" t="s">
        <v>19</v>
      </c>
      <c r="D10" s="6">
        <v>37581</v>
      </c>
      <c r="E10" s="5" t="s">
        <v>23</v>
      </c>
      <c r="F10" s="5" t="s">
        <v>13</v>
      </c>
    </row>
    <row r="11" spans="1:6" ht="30" customHeight="1" x14ac:dyDescent="0.25">
      <c r="A11" s="5" t="s">
        <v>24</v>
      </c>
      <c r="B11" s="5" t="str">
        <f>"9780511149078"</f>
        <v>9780511149078</v>
      </c>
      <c r="C11" s="5" t="s">
        <v>25</v>
      </c>
      <c r="D11" s="6">
        <v>36678</v>
      </c>
      <c r="E11" s="5" t="s">
        <v>26</v>
      </c>
      <c r="F11" s="5" t="s">
        <v>27</v>
      </c>
    </row>
    <row r="12" spans="1:6" ht="30" customHeight="1" x14ac:dyDescent="0.25">
      <c r="A12" s="5" t="s">
        <v>28</v>
      </c>
      <c r="B12" s="5" t="str">
        <f>"9780253109675"</f>
        <v>9780253109675</v>
      </c>
      <c r="C12" s="5" t="s">
        <v>19</v>
      </c>
      <c r="D12" s="6">
        <v>37673</v>
      </c>
      <c r="E12" s="5" t="s">
        <v>29</v>
      </c>
      <c r="F12" s="5" t="s">
        <v>30</v>
      </c>
    </row>
    <row r="13" spans="1:6" ht="30" customHeight="1" x14ac:dyDescent="0.25">
      <c r="A13" s="5" t="s">
        <v>31</v>
      </c>
      <c r="B13" s="5" t="str">
        <f>"9780511149184"</f>
        <v>9780511149184</v>
      </c>
      <c r="C13" s="5" t="s">
        <v>25</v>
      </c>
      <c r="D13" s="6">
        <v>36468</v>
      </c>
      <c r="E13" s="5" t="s">
        <v>32</v>
      </c>
      <c r="F13" s="5" t="s">
        <v>33</v>
      </c>
    </row>
    <row r="14" spans="1:6" ht="30" customHeight="1" x14ac:dyDescent="0.25">
      <c r="A14" s="5" t="s">
        <v>34</v>
      </c>
      <c r="B14" s="5" t="str">
        <f>"9780511149115"</f>
        <v>9780511149115</v>
      </c>
      <c r="C14" s="5" t="s">
        <v>25</v>
      </c>
      <c r="D14" s="6">
        <v>36650</v>
      </c>
      <c r="E14" s="5" t="s">
        <v>35</v>
      </c>
      <c r="F14" s="5" t="s">
        <v>13</v>
      </c>
    </row>
    <row r="15" spans="1:6" ht="30" customHeight="1" x14ac:dyDescent="0.25">
      <c r="A15" s="5" t="s">
        <v>36</v>
      </c>
      <c r="B15" s="5" t="str">
        <f>"9780511149023"</f>
        <v>9780511149023</v>
      </c>
      <c r="C15" s="5" t="s">
        <v>25</v>
      </c>
      <c r="D15" s="6">
        <v>39891</v>
      </c>
      <c r="E15" s="5" t="s">
        <v>37</v>
      </c>
      <c r="F15" s="5" t="s">
        <v>13</v>
      </c>
    </row>
    <row r="16" spans="1:6" ht="30" customHeight="1" x14ac:dyDescent="0.25">
      <c r="A16" s="5" t="s">
        <v>38</v>
      </c>
      <c r="B16" s="5" t="str">
        <f>"9780511149085"</f>
        <v>9780511149085</v>
      </c>
      <c r="C16" s="5" t="s">
        <v>25</v>
      </c>
      <c r="D16" s="6">
        <v>36230</v>
      </c>
      <c r="E16" s="5" t="s">
        <v>39</v>
      </c>
      <c r="F16" s="5" t="s">
        <v>13</v>
      </c>
    </row>
    <row r="17" spans="1:6" ht="30" customHeight="1" x14ac:dyDescent="0.25">
      <c r="A17" s="5" t="s">
        <v>40</v>
      </c>
      <c r="B17" s="5" t="str">
        <f>"9780511149047"</f>
        <v>9780511149047</v>
      </c>
      <c r="C17" s="5" t="s">
        <v>25</v>
      </c>
      <c r="D17" s="6">
        <v>36475</v>
      </c>
      <c r="E17" s="5" t="s">
        <v>41</v>
      </c>
      <c r="F17" s="5" t="s">
        <v>13</v>
      </c>
    </row>
    <row r="18" spans="1:6" ht="30" customHeight="1" x14ac:dyDescent="0.25">
      <c r="A18" s="5" t="s">
        <v>42</v>
      </c>
      <c r="B18" s="5" t="str">
        <f>"9780511149214"</f>
        <v>9780511149214</v>
      </c>
      <c r="C18" s="5" t="s">
        <v>25</v>
      </c>
      <c r="D18" s="6">
        <v>36391</v>
      </c>
      <c r="E18" s="5" t="s">
        <v>43</v>
      </c>
      <c r="F18" s="5" t="s">
        <v>30</v>
      </c>
    </row>
    <row r="19" spans="1:6" ht="30" customHeight="1" x14ac:dyDescent="0.25">
      <c r="A19" s="5" t="s">
        <v>44</v>
      </c>
      <c r="B19" s="5" t="str">
        <f>"9780511149108"</f>
        <v>9780511149108</v>
      </c>
      <c r="C19" s="5" t="s">
        <v>25</v>
      </c>
      <c r="D19" s="6">
        <v>36643</v>
      </c>
      <c r="E19" s="5" t="s">
        <v>45</v>
      </c>
      <c r="F19" s="5" t="s">
        <v>13</v>
      </c>
    </row>
    <row r="20" spans="1:6" ht="30" customHeight="1" x14ac:dyDescent="0.25">
      <c r="A20" s="5" t="s">
        <v>46</v>
      </c>
      <c r="B20" s="5" t="str">
        <f>"9780511155307"</f>
        <v>9780511155307</v>
      </c>
      <c r="C20" s="5" t="s">
        <v>25</v>
      </c>
      <c r="D20" s="6">
        <v>37130</v>
      </c>
      <c r="E20" s="5" t="s">
        <v>47</v>
      </c>
      <c r="F20" s="5" t="s">
        <v>33</v>
      </c>
    </row>
    <row r="21" spans="1:6" ht="30" customHeight="1" x14ac:dyDescent="0.25">
      <c r="A21" s="1" t="s">
        <v>48</v>
      </c>
      <c r="B21" s="1" t="str">
        <f>"9780511152757"</f>
        <v>9780511152757</v>
      </c>
      <c r="C21" s="1" t="s">
        <v>25</v>
      </c>
      <c r="D21" s="2">
        <v>37042</v>
      </c>
      <c r="E21" s="1" t="s">
        <v>49</v>
      </c>
      <c r="F21" s="1" t="s">
        <v>30</v>
      </c>
    </row>
    <row r="22" spans="1:6" ht="30" customHeight="1" x14ac:dyDescent="0.25">
      <c r="A22" s="1" t="s">
        <v>50</v>
      </c>
      <c r="B22" s="1" t="str">
        <f>"9780511149016"</f>
        <v>9780511149016</v>
      </c>
      <c r="C22" s="1" t="s">
        <v>25</v>
      </c>
      <c r="D22" s="2">
        <v>36495</v>
      </c>
      <c r="E22" s="1" t="s">
        <v>51</v>
      </c>
      <c r="F22" s="1" t="s">
        <v>13</v>
      </c>
    </row>
    <row r="23" spans="1:6" ht="30" customHeight="1" x14ac:dyDescent="0.25">
      <c r="A23" s="1" t="s">
        <v>52</v>
      </c>
      <c r="B23" s="1" t="str">
        <f>"9780511152511"</f>
        <v>9780511152511</v>
      </c>
      <c r="C23" s="1" t="s">
        <v>25</v>
      </c>
      <c r="D23" s="2">
        <v>36426</v>
      </c>
      <c r="E23" s="1" t="s">
        <v>53</v>
      </c>
      <c r="F23" s="1" t="s">
        <v>54</v>
      </c>
    </row>
    <row r="24" spans="1:6" ht="30" customHeight="1" x14ac:dyDescent="0.25">
      <c r="A24" s="1" t="s">
        <v>55</v>
      </c>
      <c r="B24" s="1" t="str">
        <f>"9780511152481"</f>
        <v>9780511152481</v>
      </c>
      <c r="C24" s="1" t="s">
        <v>25</v>
      </c>
      <c r="D24" s="2">
        <v>36580</v>
      </c>
      <c r="E24" s="1" t="s">
        <v>56</v>
      </c>
      <c r="F24" s="1" t="s">
        <v>13</v>
      </c>
    </row>
    <row r="25" spans="1:6" ht="30" customHeight="1" x14ac:dyDescent="0.25">
      <c r="A25" s="1" t="s">
        <v>57</v>
      </c>
      <c r="B25" s="1" t="str">
        <f>"9780511152498"</f>
        <v>9780511152498</v>
      </c>
      <c r="C25" s="1" t="s">
        <v>25</v>
      </c>
      <c r="D25" s="2">
        <v>36223</v>
      </c>
      <c r="E25" s="1" t="s">
        <v>58</v>
      </c>
      <c r="F25" s="1" t="s">
        <v>13</v>
      </c>
    </row>
    <row r="26" spans="1:6" ht="30" customHeight="1" x14ac:dyDescent="0.25">
      <c r="A26" s="1" t="s">
        <v>59</v>
      </c>
      <c r="B26" s="1" t="str">
        <f>"9780511152580"</f>
        <v>9780511152580</v>
      </c>
      <c r="C26" s="1" t="s">
        <v>25</v>
      </c>
      <c r="D26" s="2">
        <v>36629</v>
      </c>
      <c r="E26" s="1" t="s">
        <v>60</v>
      </c>
      <c r="F26" s="1" t="s">
        <v>54</v>
      </c>
    </row>
    <row r="27" spans="1:6" ht="30" customHeight="1" x14ac:dyDescent="0.25">
      <c r="A27" s="1" t="s">
        <v>61</v>
      </c>
      <c r="B27" s="1" t="str">
        <f>"9780511152597"</f>
        <v>9780511152597</v>
      </c>
      <c r="C27" s="1" t="s">
        <v>25</v>
      </c>
      <c r="D27" s="2">
        <v>36339</v>
      </c>
      <c r="E27" s="1" t="s">
        <v>62</v>
      </c>
      <c r="F27" s="1" t="s">
        <v>63</v>
      </c>
    </row>
    <row r="28" spans="1:6" ht="30" customHeight="1" x14ac:dyDescent="0.25">
      <c r="A28" s="1" t="s">
        <v>64</v>
      </c>
      <c r="B28" s="1" t="str">
        <f>"9780470092767"</f>
        <v>9780470092767</v>
      </c>
      <c r="C28" s="1" t="s">
        <v>65</v>
      </c>
      <c r="D28" s="2">
        <v>38051</v>
      </c>
      <c r="E28" s="1" t="s">
        <v>66</v>
      </c>
      <c r="F28" s="1" t="s">
        <v>13</v>
      </c>
    </row>
    <row r="29" spans="1:6" ht="30" customHeight="1" x14ac:dyDescent="0.25">
      <c r="A29" s="1" t="s">
        <v>67</v>
      </c>
      <c r="B29" s="1" t="str">
        <f>"9780203029299"</f>
        <v>9780203029299</v>
      </c>
      <c r="C29" s="1" t="s">
        <v>68</v>
      </c>
      <c r="D29" s="2">
        <v>35887</v>
      </c>
      <c r="E29" s="1" t="s">
        <v>69</v>
      </c>
      <c r="F29" s="1" t="s">
        <v>70</v>
      </c>
    </row>
    <row r="30" spans="1:6" ht="30" customHeight="1" x14ac:dyDescent="0.25">
      <c r="A30" s="1" t="s">
        <v>71</v>
      </c>
      <c r="B30" s="1" t="str">
        <f>"9780203004579"</f>
        <v>9780203004579</v>
      </c>
      <c r="C30" s="1" t="s">
        <v>68</v>
      </c>
      <c r="D30" s="2">
        <v>35887</v>
      </c>
      <c r="E30" s="1" t="s">
        <v>72</v>
      </c>
      <c r="F30" s="1" t="s">
        <v>13</v>
      </c>
    </row>
    <row r="31" spans="1:6" ht="30" customHeight="1" x14ac:dyDescent="0.25">
      <c r="A31" s="1" t="s">
        <v>73</v>
      </c>
      <c r="B31" s="1" t="str">
        <f>"9780203022252"</f>
        <v>9780203022252</v>
      </c>
      <c r="C31" s="1" t="s">
        <v>68</v>
      </c>
      <c r="D31" s="2">
        <v>41787</v>
      </c>
      <c r="E31" s="1" t="s">
        <v>74</v>
      </c>
      <c r="F31" s="1" t="s">
        <v>75</v>
      </c>
    </row>
    <row r="32" spans="1:6" ht="30" customHeight="1" x14ac:dyDescent="0.25">
      <c r="A32" s="1" t="s">
        <v>76</v>
      </c>
      <c r="B32" s="1" t="str">
        <f>"9780203007426"</f>
        <v>9780203007426</v>
      </c>
      <c r="C32" s="1" t="s">
        <v>68</v>
      </c>
      <c r="D32" s="2">
        <v>36321</v>
      </c>
      <c r="E32" s="1" t="s">
        <v>77</v>
      </c>
      <c r="F32" s="1" t="s">
        <v>21</v>
      </c>
    </row>
    <row r="33" spans="1:6" ht="30" customHeight="1" x14ac:dyDescent="0.25">
      <c r="A33" s="1" t="s">
        <v>78</v>
      </c>
      <c r="B33" s="1" t="str">
        <f>"9780203019399"</f>
        <v>9780203019399</v>
      </c>
      <c r="C33" s="1" t="s">
        <v>68</v>
      </c>
      <c r="D33" s="2">
        <v>34459</v>
      </c>
      <c r="E33" s="1" t="s">
        <v>79</v>
      </c>
      <c r="F33" s="1" t="s">
        <v>13</v>
      </c>
    </row>
    <row r="34" spans="1:6" ht="30" customHeight="1" x14ac:dyDescent="0.25">
      <c r="A34" s="1" t="s">
        <v>80</v>
      </c>
      <c r="B34" s="1" t="str">
        <f>"9780203022634"</f>
        <v>9780203022634</v>
      </c>
      <c r="C34" s="1" t="s">
        <v>68</v>
      </c>
      <c r="D34" s="2">
        <v>36510</v>
      </c>
      <c r="E34" s="1" t="s">
        <v>81</v>
      </c>
      <c r="F34" s="1" t="s">
        <v>82</v>
      </c>
    </row>
    <row r="35" spans="1:6" ht="30" customHeight="1" x14ac:dyDescent="0.25">
      <c r="A35" s="1" t="s">
        <v>83</v>
      </c>
      <c r="B35" s="1" t="str">
        <f>"9780203025420"</f>
        <v>9780203025420</v>
      </c>
      <c r="C35" s="1" t="s">
        <v>68</v>
      </c>
      <c r="D35" s="2">
        <v>36321</v>
      </c>
      <c r="E35" s="1" t="s">
        <v>84</v>
      </c>
      <c r="F35" s="1" t="s">
        <v>13</v>
      </c>
    </row>
    <row r="36" spans="1:6" ht="30" customHeight="1" x14ac:dyDescent="0.25">
      <c r="A36" s="1" t="s">
        <v>85</v>
      </c>
      <c r="B36" s="1" t="str">
        <f>"9780203019856"</f>
        <v>9780203019856</v>
      </c>
      <c r="C36" s="1" t="s">
        <v>68</v>
      </c>
      <c r="D36" s="2">
        <v>36353</v>
      </c>
      <c r="E36" s="1" t="s">
        <v>86</v>
      </c>
      <c r="F36" s="1" t="s">
        <v>87</v>
      </c>
    </row>
    <row r="37" spans="1:6" ht="30" customHeight="1" x14ac:dyDescent="0.25">
      <c r="A37" s="1" t="s">
        <v>88</v>
      </c>
      <c r="B37" s="1" t="str">
        <f>"9780203019238"</f>
        <v>9780203019238</v>
      </c>
      <c r="C37" s="1" t="s">
        <v>68</v>
      </c>
      <c r="D37" s="2">
        <v>36272</v>
      </c>
      <c r="E37" s="1" t="s">
        <v>89</v>
      </c>
      <c r="F37" s="1" t="s">
        <v>30</v>
      </c>
    </row>
    <row r="38" spans="1:6" ht="30" customHeight="1" x14ac:dyDescent="0.25">
      <c r="A38" s="1" t="s">
        <v>90</v>
      </c>
      <c r="B38" s="1" t="str">
        <f>"9780203010976"</f>
        <v>9780203010976</v>
      </c>
      <c r="C38" s="1" t="s">
        <v>68</v>
      </c>
      <c r="D38" s="2">
        <v>35831</v>
      </c>
      <c r="E38" s="1" t="s">
        <v>91</v>
      </c>
      <c r="F38" s="1" t="s">
        <v>13</v>
      </c>
    </row>
    <row r="39" spans="1:6" ht="30" customHeight="1" x14ac:dyDescent="0.25">
      <c r="A39" s="1" t="s">
        <v>92</v>
      </c>
      <c r="B39" s="1" t="str">
        <f>"9780203015780"</f>
        <v>9780203015780</v>
      </c>
      <c r="C39" s="1" t="s">
        <v>93</v>
      </c>
      <c r="D39" s="2">
        <v>36405</v>
      </c>
      <c r="E39" s="1" t="s">
        <v>94</v>
      </c>
      <c r="F39" s="1" t="s">
        <v>95</v>
      </c>
    </row>
    <row r="40" spans="1:6" ht="30" customHeight="1" x14ac:dyDescent="0.25">
      <c r="A40" s="1" t="s">
        <v>96</v>
      </c>
      <c r="B40" s="1" t="str">
        <f>"9780203025994"</f>
        <v>9780203025994</v>
      </c>
      <c r="C40" s="1" t="s">
        <v>68</v>
      </c>
      <c r="D40" s="2">
        <v>36097</v>
      </c>
      <c r="E40" s="1" t="s">
        <v>97</v>
      </c>
      <c r="F40" s="1" t="s">
        <v>13</v>
      </c>
    </row>
    <row r="41" spans="1:6" ht="30" customHeight="1" x14ac:dyDescent="0.25">
      <c r="A41" s="1" t="s">
        <v>98</v>
      </c>
      <c r="B41" s="1" t="str">
        <f>"9780203027851"</f>
        <v>9780203027851</v>
      </c>
      <c r="C41" s="1" t="s">
        <v>99</v>
      </c>
      <c r="D41" s="2">
        <v>38911</v>
      </c>
      <c r="E41" s="1" t="s">
        <v>100</v>
      </c>
      <c r="F41" s="1" t="s">
        <v>101</v>
      </c>
    </row>
    <row r="42" spans="1:6" ht="30" customHeight="1" x14ac:dyDescent="0.25">
      <c r="A42" s="1" t="s">
        <v>102</v>
      </c>
      <c r="B42" s="1" t="str">
        <f>"9780203131466"</f>
        <v>9780203131466</v>
      </c>
      <c r="C42" s="1" t="s">
        <v>93</v>
      </c>
      <c r="D42" s="2">
        <v>36636</v>
      </c>
      <c r="E42" s="1" t="s">
        <v>103</v>
      </c>
      <c r="F42" s="1" t="s">
        <v>104</v>
      </c>
    </row>
    <row r="43" spans="1:6" ht="30" customHeight="1" x14ac:dyDescent="0.25">
      <c r="A43" s="1" t="s">
        <v>105</v>
      </c>
      <c r="B43" s="1" t="str">
        <f>"9780203129531"</f>
        <v>9780203129531</v>
      </c>
      <c r="C43" s="1" t="s">
        <v>93</v>
      </c>
      <c r="D43" s="2">
        <v>35432</v>
      </c>
      <c r="E43" s="1" t="s">
        <v>106</v>
      </c>
      <c r="F43" s="1" t="s">
        <v>13</v>
      </c>
    </row>
    <row r="44" spans="1:6" ht="30" customHeight="1" x14ac:dyDescent="0.25">
      <c r="A44" s="1" t="s">
        <v>108</v>
      </c>
      <c r="B44" s="1" t="str">
        <f>"9780203168035"</f>
        <v>9780203168035</v>
      </c>
      <c r="C44" s="1" t="s">
        <v>68</v>
      </c>
      <c r="D44" s="2">
        <v>33150</v>
      </c>
      <c r="E44" s="1" t="s">
        <v>109</v>
      </c>
      <c r="F44" s="1" t="s">
        <v>13</v>
      </c>
    </row>
    <row r="45" spans="1:6" ht="30" customHeight="1" x14ac:dyDescent="0.25">
      <c r="A45" s="1" t="s">
        <v>110</v>
      </c>
      <c r="B45" s="1" t="str">
        <f>"9780203130537"</f>
        <v>9780203130537</v>
      </c>
      <c r="C45" s="1" t="s">
        <v>68</v>
      </c>
      <c r="D45" s="2">
        <v>35397</v>
      </c>
      <c r="E45" s="1" t="s">
        <v>111</v>
      </c>
      <c r="F45" s="1" t="s">
        <v>13</v>
      </c>
    </row>
    <row r="46" spans="1:6" ht="30" customHeight="1" x14ac:dyDescent="0.25">
      <c r="A46" s="1" t="s">
        <v>112</v>
      </c>
      <c r="B46" s="1" t="str">
        <f>"9780203137161"</f>
        <v>9780203137161</v>
      </c>
      <c r="C46" s="1" t="s">
        <v>93</v>
      </c>
      <c r="D46" s="2">
        <v>35187</v>
      </c>
      <c r="E46" s="1" t="s">
        <v>113</v>
      </c>
      <c r="F46" s="1" t="s">
        <v>114</v>
      </c>
    </row>
    <row r="47" spans="1:6" ht="30" customHeight="1" x14ac:dyDescent="0.25">
      <c r="A47" s="1" t="s">
        <v>115</v>
      </c>
      <c r="B47" s="1" t="str">
        <f>"9780203133965"</f>
        <v>9780203133965</v>
      </c>
      <c r="C47" s="1" t="s">
        <v>68</v>
      </c>
      <c r="D47" s="2">
        <v>35846</v>
      </c>
      <c r="E47" s="1" t="s">
        <v>116</v>
      </c>
      <c r="F47" s="1" t="s">
        <v>117</v>
      </c>
    </row>
    <row r="48" spans="1:6" ht="30" customHeight="1" x14ac:dyDescent="0.25">
      <c r="A48" s="1" t="s">
        <v>118</v>
      </c>
      <c r="B48" s="1" t="str">
        <f>"9780203136270"</f>
        <v>9780203136270</v>
      </c>
      <c r="C48" s="1" t="s">
        <v>68</v>
      </c>
      <c r="D48" s="2">
        <v>36161</v>
      </c>
      <c r="E48" s="1" t="s">
        <v>119</v>
      </c>
      <c r="F48" s="1" t="s">
        <v>13</v>
      </c>
    </row>
    <row r="49" spans="1:6" ht="30" customHeight="1" x14ac:dyDescent="0.25">
      <c r="A49" s="1" t="s">
        <v>120</v>
      </c>
      <c r="B49" s="1" t="str">
        <f>"9780203136782"</f>
        <v>9780203136782</v>
      </c>
      <c r="C49" s="1" t="s">
        <v>68</v>
      </c>
      <c r="D49" s="2">
        <v>36251</v>
      </c>
      <c r="E49" s="1" t="s">
        <v>121</v>
      </c>
      <c r="F49" s="1" t="s">
        <v>13</v>
      </c>
    </row>
    <row r="50" spans="1:6" ht="30" customHeight="1" x14ac:dyDescent="0.25">
      <c r="A50" s="1" t="s">
        <v>122</v>
      </c>
      <c r="B50" s="1" t="str">
        <f>"9780203215074"</f>
        <v>9780203215074</v>
      </c>
      <c r="C50" s="1" t="s">
        <v>93</v>
      </c>
      <c r="D50" s="2">
        <v>33388</v>
      </c>
      <c r="E50" s="1" t="s">
        <v>123</v>
      </c>
      <c r="F50" s="1" t="s">
        <v>87</v>
      </c>
    </row>
    <row r="51" spans="1:6" ht="30" customHeight="1" x14ac:dyDescent="0.25">
      <c r="A51" s="1" t="s">
        <v>124</v>
      </c>
      <c r="B51" s="1" t="str">
        <f>"9780203136027"</f>
        <v>9780203136027</v>
      </c>
      <c r="C51" s="1" t="s">
        <v>68</v>
      </c>
      <c r="D51" s="2">
        <v>36769</v>
      </c>
      <c r="E51" s="1" t="s">
        <v>125</v>
      </c>
      <c r="F51" s="1" t="s">
        <v>126</v>
      </c>
    </row>
    <row r="52" spans="1:6" ht="30" customHeight="1" x14ac:dyDescent="0.25">
      <c r="A52" s="1" t="s">
        <v>128</v>
      </c>
      <c r="B52" s="1" t="str">
        <f>"9780203134986"</f>
        <v>9780203134986</v>
      </c>
      <c r="C52" s="1" t="s">
        <v>93</v>
      </c>
      <c r="D52" s="2">
        <v>36526</v>
      </c>
      <c r="E52" s="1" t="s">
        <v>129</v>
      </c>
      <c r="F52" s="1" t="s">
        <v>126</v>
      </c>
    </row>
    <row r="53" spans="1:6" ht="30" customHeight="1" x14ac:dyDescent="0.25">
      <c r="A53" s="1" t="s">
        <v>130</v>
      </c>
      <c r="B53" s="1" t="str">
        <f>"9780203130971"</f>
        <v>9780203130971</v>
      </c>
      <c r="C53" s="1" t="s">
        <v>93</v>
      </c>
      <c r="D53" s="2">
        <v>36867</v>
      </c>
      <c r="E53" s="1" t="s">
        <v>131</v>
      </c>
      <c r="F53" s="1" t="s">
        <v>132</v>
      </c>
    </row>
    <row r="54" spans="1:6" ht="30" customHeight="1" x14ac:dyDescent="0.25">
      <c r="A54" s="1" t="s">
        <v>133</v>
      </c>
      <c r="B54" s="1" t="str">
        <f>"9780203132531"</f>
        <v>9780203132531</v>
      </c>
      <c r="C54" s="1" t="s">
        <v>68</v>
      </c>
      <c r="D54" s="2">
        <v>34971</v>
      </c>
      <c r="E54" s="1" t="s">
        <v>134</v>
      </c>
      <c r="F54" s="1" t="s">
        <v>13</v>
      </c>
    </row>
    <row r="55" spans="1:6" ht="30" customHeight="1" x14ac:dyDescent="0.25">
      <c r="A55" s="1" t="s">
        <v>135</v>
      </c>
      <c r="B55" s="1" t="str">
        <f>"9781482272536"</f>
        <v>9781482272536</v>
      </c>
      <c r="C55" s="1" t="s">
        <v>99</v>
      </c>
      <c r="D55" s="2">
        <v>35024</v>
      </c>
      <c r="E55" s="1" t="s">
        <v>136</v>
      </c>
      <c r="F55" s="1" t="s">
        <v>137</v>
      </c>
    </row>
    <row r="56" spans="1:6" ht="30" customHeight="1" x14ac:dyDescent="0.25">
      <c r="A56" s="1" t="s">
        <v>138</v>
      </c>
      <c r="B56" s="1" t="str">
        <f>"9780203130735"</f>
        <v>9780203130735</v>
      </c>
      <c r="C56" s="1" t="s">
        <v>68</v>
      </c>
      <c r="D56" s="2">
        <v>36496</v>
      </c>
      <c r="E56" s="1" t="s">
        <v>139</v>
      </c>
      <c r="F56" s="1" t="s">
        <v>13</v>
      </c>
    </row>
    <row r="57" spans="1:6" ht="30" customHeight="1" x14ac:dyDescent="0.25">
      <c r="A57" s="1" t="s">
        <v>140</v>
      </c>
      <c r="B57" s="1" t="str">
        <f>"9780203138625"</f>
        <v>9780203138625</v>
      </c>
      <c r="C57" s="1" t="s">
        <v>68</v>
      </c>
      <c r="D57" s="2">
        <v>36526</v>
      </c>
      <c r="E57" s="1" t="s">
        <v>141</v>
      </c>
      <c r="F57" s="1" t="s">
        <v>13</v>
      </c>
    </row>
    <row r="58" spans="1:6" ht="30" customHeight="1" x14ac:dyDescent="0.25">
      <c r="A58" s="1" t="s">
        <v>142</v>
      </c>
      <c r="B58" s="1" t="str">
        <f>"9780203129265"</f>
        <v>9780203129265</v>
      </c>
      <c r="C58" s="1" t="s">
        <v>68</v>
      </c>
      <c r="D58" s="2">
        <v>36810</v>
      </c>
      <c r="E58" s="1" t="s">
        <v>143</v>
      </c>
      <c r="F58" s="1" t="s">
        <v>95</v>
      </c>
    </row>
    <row r="59" spans="1:6" ht="30" customHeight="1" x14ac:dyDescent="0.25">
      <c r="A59" s="1" t="s">
        <v>144</v>
      </c>
      <c r="B59" s="1" t="str">
        <f>"9780203135525"</f>
        <v>9780203135525</v>
      </c>
      <c r="C59" s="1" t="s">
        <v>68</v>
      </c>
      <c r="D59" s="2">
        <v>36594</v>
      </c>
      <c r="E59" s="1" t="s">
        <v>145</v>
      </c>
      <c r="F59" s="1" t="s">
        <v>95</v>
      </c>
    </row>
    <row r="60" spans="1:6" ht="30" customHeight="1" x14ac:dyDescent="0.25">
      <c r="A60" s="1" t="s">
        <v>146</v>
      </c>
      <c r="B60" s="1" t="str">
        <f>"9780203130278"</f>
        <v>9780203130278</v>
      </c>
      <c r="C60" s="1" t="s">
        <v>93</v>
      </c>
      <c r="D60" s="2">
        <v>36697</v>
      </c>
      <c r="E60" s="1" t="s">
        <v>147</v>
      </c>
      <c r="F60" s="1" t="s">
        <v>148</v>
      </c>
    </row>
    <row r="61" spans="1:6" ht="30" customHeight="1" x14ac:dyDescent="0.25">
      <c r="A61" s="1" t="s">
        <v>149</v>
      </c>
      <c r="B61" s="1" t="str">
        <f>"9780203129593"</f>
        <v>9780203129593</v>
      </c>
      <c r="C61" s="1" t="s">
        <v>68</v>
      </c>
      <c r="D61" s="2">
        <v>36559</v>
      </c>
      <c r="E61" s="1" t="s">
        <v>150</v>
      </c>
      <c r="F61" s="1" t="s">
        <v>13</v>
      </c>
    </row>
    <row r="62" spans="1:6" ht="30" customHeight="1" x14ac:dyDescent="0.25">
      <c r="A62" s="1" t="s">
        <v>152</v>
      </c>
      <c r="B62" s="1" t="str">
        <f>"9780203131602"</f>
        <v>9780203131602</v>
      </c>
      <c r="C62" s="1" t="s">
        <v>68</v>
      </c>
      <c r="D62" s="2">
        <v>36703</v>
      </c>
      <c r="E62" s="1" t="s">
        <v>153</v>
      </c>
      <c r="F62" s="1" t="s">
        <v>70</v>
      </c>
    </row>
    <row r="63" spans="1:6" ht="30" customHeight="1" x14ac:dyDescent="0.25">
      <c r="A63" s="1" t="s">
        <v>154</v>
      </c>
      <c r="B63" s="1" t="str">
        <f>"9780203132319"</f>
        <v>9780203132319</v>
      </c>
      <c r="C63" s="1" t="s">
        <v>93</v>
      </c>
      <c r="D63" s="2">
        <v>35712</v>
      </c>
      <c r="E63" s="1" t="s">
        <v>155</v>
      </c>
      <c r="F63" s="1" t="s">
        <v>13</v>
      </c>
    </row>
    <row r="64" spans="1:6" ht="30" customHeight="1" x14ac:dyDescent="0.25">
      <c r="A64" s="1" t="s">
        <v>156</v>
      </c>
      <c r="B64" s="1" t="str">
        <f>"9780203135129"</f>
        <v>9780203135129</v>
      </c>
      <c r="C64" s="1" t="s">
        <v>93</v>
      </c>
      <c r="D64" s="2">
        <v>35089</v>
      </c>
      <c r="E64" s="1" t="s">
        <v>157</v>
      </c>
      <c r="F64" s="1" t="s">
        <v>158</v>
      </c>
    </row>
    <row r="65" spans="1:6" ht="30" customHeight="1" x14ac:dyDescent="0.25">
      <c r="A65" s="1" t="s">
        <v>159</v>
      </c>
      <c r="B65" s="1" t="str">
        <f>"9780203135150"</f>
        <v>9780203135150</v>
      </c>
      <c r="C65" s="1" t="s">
        <v>93</v>
      </c>
      <c r="D65" s="2">
        <v>36734</v>
      </c>
      <c r="E65" s="1" t="s">
        <v>160</v>
      </c>
      <c r="F65" s="1" t="s">
        <v>30</v>
      </c>
    </row>
    <row r="66" spans="1:6" ht="30" customHeight="1" x14ac:dyDescent="0.25">
      <c r="A66" s="1" t="s">
        <v>161</v>
      </c>
      <c r="B66" s="1" t="str">
        <f>"9780203135341"</f>
        <v>9780203135341</v>
      </c>
      <c r="C66" s="1" t="s">
        <v>93</v>
      </c>
      <c r="D66" s="2">
        <v>36293</v>
      </c>
      <c r="E66" s="1" t="s">
        <v>162</v>
      </c>
      <c r="F66" s="1" t="s">
        <v>13</v>
      </c>
    </row>
    <row r="67" spans="1:6" ht="30" customHeight="1" x14ac:dyDescent="0.25">
      <c r="A67" s="1" t="s">
        <v>163</v>
      </c>
      <c r="B67" s="1" t="str">
        <f>"9780203135327"</f>
        <v>9780203135327</v>
      </c>
      <c r="C67" s="1" t="s">
        <v>68</v>
      </c>
      <c r="D67" s="2">
        <v>35775</v>
      </c>
      <c r="E67" s="1" t="s">
        <v>164</v>
      </c>
      <c r="F67" s="1" t="s">
        <v>87</v>
      </c>
    </row>
    <row r="68" spans="1:6" ht="30" customHeight="1" x14ac:dyDescent="0.25">
      <c r="A68" s="1" t="s">
        <v>165</v>
      </c>
      <c r="B68" s="1" t="str">
        <f>"9780203019665"</f>
        <v>9780203019665</v>
      </c>
      <c r="C68" s="1" t="s">
        <v>68</v>
      </c>
      <c r="D68" s="2">
        <v>36293</v>
      </c>
      <c r="E68" s="1" t="s">
        <v>166</v>
      </c>
      <c r="F68" s="1" t="s">
        <v>13</v>
      </c>
    </row>
    <row r="69" spans="1:6" ht="30" customHeight="1" x14ac:dyDescent="0.25">
      <c r="A69" s="1" t="s">
        <v>167</v>
      </c>
      <c r="B69" s="1" t="str">
        <f>"9780203211878"</f>
        <v>9780203211878</v>
      </c>
      <c r="C69" s="1" t="s">
        <v>99</v>
      </c>
      <c r="D69" s="2">
        <v>35846</v>
      </c>
      <c r="E69" s="1" t="s">
        <v>168</v>
      </c>
      <c r="F69" s="1" t="s">
        <v>13</v>
      </c>
    </row>
    <row r="70" spans="1:6" ht="30" customHeight="1" x14ac:dyDescent="0.25">
      <c r="A70" s="1" t="s">
        <v>169</v>
      </c>
      <c r="B70" s="1" t="str">
        <f>"9781134811410"</f>
        <v>9781134811410</v>
      </c>
      <c r="C70" s="1" t="s">
        <v>68</v>
      </c>
      <c r="D70" s="2">
        <v>33647</v>
      </c>
      <c r="E70" s="1" t="s">
        <v>170</v>
      </c>
      <c r="F70" s="1" t="s">
        <v>148</v>
      </c>
    </row>
    <row r="71" spans="1:6" ht="30" customHeight="1" x14ac:dyDescent="0.25">
      <c r="A71" s="1" t="s">
        <v>171</v>
      </c>
      <c r="B71" s="1" t="str">
        <f>"9780203479018"</f>
        <v>9780203479018</v>
      </c>
      <c r="C71" s="1" t="s">
        <v>172</v>
      </c>
      <c r="D71" s="2">
        <v>37525</v>
      </c>
      <c r="E71" s="1" t="s">
        <v>173</v>
      </c>
      <c r="F71" s="1" t="s">
        <v>33</v>
      </c>
    </row>
    <row r="72" spans="1:6" ht="30" customHeight="1" x14ac:dyDescent="0.25">
      <c r="A72" s="1" t="s">
        <v>174</v>
      </c>
      <c r="B72" s="1" t="str">
        <f>"9780203482674"</f>
        <v>9780203482674</v>
      </c>
      <c r="C72" s="1" t="s">
        <v>172</v>
      </c>
      <c r="D72" s="2">
        <v>35152</v>
      </c>
      <c r="E72" s="1" t="s">
        <v>175</v>
      </c>
      <c r="F72" s="1" t="s">
        <v>176</v>
      </c>
    </row>
    <row r="73" spans="1:6" ht="30" customHeight="1" x14ac:dyDescent="0.25">
      <c r="A73" s="1" t="s">
        <v>177</v>
      </c>
      <c r="B73" s="1" t="str">
        <f>"9780203483985"</f>
        <v>9780203483985</v>
      </c>
      <c r="C73" s="1" t="s">
        <v>172</v>
      </c>
      <c r="D73" s="2">
        <v>35976</v>
      </c>
      <c r="E73" s="1" t="s">
        <v>178</v>
      </c>
      <c r="F73" s="1" t="s">
        <v>137</v>
      </c>
    </row>
    <row r="74" spans="1:6" ht="30" customHeight="1" x14ac:dyDescent="0.25">
      <c r="A74" s="1" t="s">
        <v>179</v>
      </c>
      <c r="B74" s="1" t="str">
        <f>"9780203489932"</f>
        <v>9780203489932</v>
      </c>
      <c r="C74" s="1" t="s">
        <v>172</v>
      </c>
      <c r="D74" s="2">
        <v>37833</v>
      </c>
      <c r="E74" s="1" t="s">
        <v>180</v>
      </c>
      <c r="F74" s="1" t="s">
        <v>13</v>
      </c>
    </row>
    <row r="75" spans="1:6" ht="30" customHeight="1" x14ac:dyDescent="0.25">
      <c r="A75" s="1" t="s">
        <v>181</v>
      </c>
      <c r="B75" s="1" t="str">
        <f>"9780203033449"</f>
        <v>9780203033449</v>
      </c>
      <c r="C75" s="1" t="s">
        <v>68</v>
      </c>
      <c r="D75" s="2">
        <v>34151</v>
      </c>
      <c r="E75" s="1" t="s">
        <v>182</v>
      </c>
      <c r="F75" s="1" t="s">
        <v>13</v>
      </c>
    </row>
    <row r="76" spans="1:6" ht="30" customHeight="1" x14ac:dyDescent="0.25">
      <c r="A76" s="1" t="s">
        <v>183</v>
      </c>
      <c r="B76" s="1" t="str">
        <f>"9780203427781"</f>
        <v>9780203427781</v>
      </c>
      <c r="C76" s="1" t="s">
        <v>68</v>
      </c>
      <c r="D76" s="2">
        <v>34403</v>
      </c>
      <c r="E76" s="1" t="s">
        <v>184</v>
      </c>
      <c r="F76" s="1" t="s">
        <v>87</v>
      </c>
    </row>
    <row r="77" spans="1:6" ht="30" customHeight="1" x14ac:dyDescent="0.25">
      <c r="A77" s="1" t="s">
        <v>185</v>
      </c>
      <c r="B77" s="1" t="str">
        <f>"9780203208175"</f>
        <v>9780203208175</v>
      </c>
      <c r="C77" s="1" t="s">
        <v>68</v>
      </c>
      <c r="D77" s="2">
        <v>35537</v>
      </c>
      <c r="E77" s="1" t="s">
        <v>186</v>
      </c>
      <c r="F77" s="1" t="s">
        <v>95</v>
      </c>
    </row>
    <row r="78" spans="1:6" ht="30" customHeight="1" x14ac:dyDescent="0.25">
      <c r="A78" s="1" t="s">
        <v>187</v>
      </c>
      <c r="B78" s="1" t="str">
        <f>"9780203430149"</f>
        <v>9780203430149</v>
      </c>
      <c r="C78" s="1" t="s">
        <v>68</v>
      </c>
      <c r="D78" s="2">
        <v>35278</v>
      </c>
      <c r="E78" s="1" t="s">
        <v>188</v>
      </c>
      <c r="F78" s="1" t="s">
        <v>30</v>
      </c>
    </row>
    <row r="79" spans="1:6" ht="30" customHeight="1" x14ac:dyDescent="0.25">
      <c r="A79" s="1" t="s">
        <v>189</v>
      </c>
      <c r="B79" s="1" t="str">
        <f>"9780203435892"</f>
        <v>9780203435892</v>
      </c>
      <c r="C79" s="1" t="s">
        <v>68</v>
      </c>
      <c r="D79" s="2">
        <v>35621</v>
      </c>
      <c r="E79" s="1" t="s">
        <v>190</v>
      </c>
      <c r="F79" s="1" t="s">
        <v>148</v>
      </c>
    </row>
    <row r="80" spans="1:6" ht="30" customHeight="1" x14ac:dyDescent="0.25">
      <c r="A80" s="1" t="s">
        <v>191</v>
      </c>
      <c r="B80" s="1" t="str">
        <f>"9780203436660"</f>
        <v>9780203436660</v>
      </c>
      <c r="C80" s="1" t="s">
        <v>68</v>
      </c>
      <c r="D80" s="2">
        <v>35621</v>
      </c>
      <c r="E80" s="1" t="s">
        <v>192</v>
      </c>
      <c r="F80" s="1" t="s">
        <v>13</v>
      </c>
    </row>
    <row r="81" spans="1:6" ht="30" customHeight="1" x14ac:dyDescent="0.25">
      <c r="A81" s="1" t="s">
        <v>193</v>
      </c>
      <c r="B81" s="1" t="str">
        <f>"9780203021248"</f>
        <v>9780203021248</v>
      </c>
      <c r="C81" s="1" t="s">
        <v>68</v>
      </c>
      <c r="D81" s="2">
        <v>36083</v>
      </c>
      <c r="E81" s="1" t="s">
        <v>194</v>
      </c>
      <c r="F81" s="1" t="s">
        <v>195</v>
      </c>
    </row>
    <row r="82" spans="1:6" ht="30" customHeight="1" x14ac:dyDescent="0.25">
      <c r="A82" s="1" t="s">
        <v>196</v>
      </c>
      <c r="B82" s="1" t="str">
        <f>"9780203452950"</f>
        <v>9780203452950</v>
      </c>
      <c r="C82" s="1" t="s">
        <v>93</v>
      </c>
      <c r="D82" s="2">
        <v>36789</v>
      </c>
      <c r="E82" s="1" t="s">
        <v>197</v>
      </c>
      <c r="F82" s="1" t="s">
        <v>13</v>
      </c>
    </row>
    <row r="83" spans="1:6" ht="30" customHeight="1" x14ac:dyDescent="0.25">
      <c r="A83" s="1" t="s">
        <v>198</v>
      </c>
      <c r="B83" s="1" t="str">
        <f>"9780203468326"</f>
        <v>9780203468326</v>
      </c>
      <c r="C83" s="1" t="s">
        <v>68</v>
      </c>
      <c r="D83" s="2">
        <v>36797</v>
      </c>
      <c r="E83" s="1" t="s">
        <v>199</v>
      </c>
      <c r="F83" s="1" t="s">
        <v>200</v>
      </c>
    </row>
    <row r="84" spans="1:6" ht="30" customHeight="1" x14ac:dyDescent="0.25">
      <c r="A84" s="1" t="s">
        <v>201</v>
      </c>
      <c r="B84" s="1" t="str">
        <f>"9780203020333"</f>
        <v>9780203020333</v>
      </c>
      <c r="C84" s="1" t="s">
        <v>68</v>
      </c>
      <c r="D84" s="2">
        <v>35299</v>
      </c>
      <c r="E84" s="1" t="s">
        <v>202</v>
      </c>
      <c r="F84" s="1" t="s">
        <v>75</v>
      </c>
    </row>
    <row r="85" spans="1:6" ht="30" customHeight="1" x14ac:dyDescent="0.25">
      <c r="A85" s="1" t="s">
        <v>203</v>
      </c>
      <c r="B85" s="1" t="str">
        <f>"9780203903957"</f>
        <v>9780203903957</v>
      </c>
      <c r="C85" s="1" t="s">
        <v>68</v>
      </c>
      <c r="D85" s="2">
        <v>35899</v>
      </c>
      <c r="E85" s="1" t="s">
        <v>204</v>
      </c>
      <c r="F85" s="1" t="s">
        <v>205</v>
      </c>
    </row>
    <row r="86" spans="1:6" ht="30" customHeight="1" x14ac:dyDescent="0.25">
      <c r="A86" s="1" t="s">
        <v>206</v>
      </c>
      <c r="B86" s="1" t="str">
        <f>"9780203209677"</f>
        <v>9780203209677</v>
      </c>
      <c r="C86" s="1" t="s">
        <v>93</v>
      </c>
      <c r="D86" s="2">
        <v>33725</v>
      </c>
      <c r="E86" s="1" t="s">
        <v>207</v>
      </c>
      <c r="F86" s="1" t="s">
        <v>30</v>
      </c>
    </row>
    <row r="87" spans="1:6" ht="30" customHeight="1" x14ac:dyDescent="0.25">
      <c r="A87" s="1" t="s">
        <v>208</v>
      </c>
      <c r="B87" s="1" t="str">
        <f>"9780203302576"</f>
        <v>9780203302576</v>
      </c>
      <c r="C87" s="1" t="s">
        <v>172</v>
      </c>
      <c r="D87" s="2">
        <v>35004</v>
      </c>
      <c r="E87" s="1" t="s">
        <v>209</v>
      </c>
      <c r="F87" s="1" t="s">
        <v>137</v>
      </c>
    </row>
    <row r="88" spans="1:6" ht="30" customHeight="1" x14ac:dyDescent="0.25">
      <c r="A88" s="1" t="s">
        <v>210</v>
      </c>
      <c r="B88" s="1" t="str">
        <f>"9780203358887"</f>
        <v>9780203358887</v>
      </c>
      <c r="C88" s="1" t="s">
        <v>93</v>
      </c>
      <c r="D88" s="2">
        <v>31912</v>
      </c>
      <c r="E88" s="1" t="s">
        <v>211</v>
      </c>
      <c r="F88" s="1" t="s">
        <v>13</v>
      </c>
    </row>
    <row r="89" spans="1:6" ht="30" customHeight="1" x14ac:dyDescent="0.25">
      <c r="A89" s="1" t="s">
        <v>212</v>
      </c>
      <c r="B89" s="1" t="str">
        <f>"9780203359785"</f>
        <v>9780203359785</v>
      </c>
      <c r="C89" s="1" t="s">
        <v>93</v>
      </c>
      <c r="D89" s="2">
        <v>34579</v>
      </c>
      <c r="E89" s="1" t="s">
        <v>213</v>
      </c>
      <c r="F89" s="1" t="s">
        <v>214</v>
      </c>
    </row>
    <row r="90" spans="1:6" ht="30" customHeight="1" x14ac:dyDescent="0.25">
      <c r="A90" s="1" t="s">
        <v>215</v>
      </c>
      <c r="B90" s="1" t="str">
        <f>"9780203359839"</f>
        <v>9780203359839</v>
      </c>
      <c r="C90" s="1" t="s">
        <v>68</v>
      </c>
      <c r="D90" s="2">
        <v>34305</v>
      </c>
      <c r="E90" s="1" t="s">
        <v>216</v>
      </c>
      <c r="F90" s="1" t="s">
        <v>13</v>
      </c>
    </row>
    <row r="91" spans="1:6" ht="30" customHeight="1" x14ac:dyDescent="0.25">
      <c r="A91" s="1" t="s">
        <v>217</v>
      </c>
      <c r="B91" s="1" t="str">
        <f>"9780203190876"</f>
        <v>9780203190876</v>
      </c>
      <c r="C91" s="1" t="s">
        <v>68</v>
      </c>
      <c r="D91" s="2">
        <v>36825</v>
      </c>
      <c r="E91" s="1" t="s">
        <v>218</v>
      </c>
      <c r="F91" s="1" t="s">
        <v>95</v>
      </c>
    </row>
    <row r="92" spans="1:6" ht="30" customHeight="1" x14ac:dyDescent="0.25">
      <c r="A92" s="1" t="s">
        <v>219</v>
      </c>
      <c r="B92" s="1" t="str">
        <f>"9780203183311"</f>
        <v>9780203183311</v>
      </c>
      <c r="C92" s="1" t="s">
        <v>68</v>
      </c>
      <c r="D92" s="2">
        <v>36489</v>
      </c>
      <c r="E92" s="1" t="s">
        <v>220</v>
      </c>
      <c r="F92" s="1" t="s">
        <v>221</v>
      </c>
    </row>
    <row r="93" spans="1:6" ht="30" customHeight="1" x14ac:dyDescent="0.25">
      <c r="A93" s="1" t="s">
        <v>222</v>
      </c>
      <c r="B93" s="1" t="str">
        <f>"9780203194195"</f>
        <v>9780203194195</v>
      </c>
      <c r="C93" s="1" t="s">
        <v>68</v>
      </c>
      <c r="D93" s="2">
        <v>36062</v>
      </c>
      <c r="E93" s="1" t="s">
        <v>223</v>
      </c>
      <c r="F93" s="1" t="s">
        <v>13</v>
      </c>
    </row>
    <row r="94" spans="1:6" ht="30" customHeight="1" x14ac:dyDescent="0.25">
      <c r="A94" s="1" t="s">
        <v>224</v>
      </c>
      <c r="B94" s="1" t="str">
        <f>"9780203193556"</f>
        <v>9780203193556</v>
      </c>
      <c r="C94" s="1" t="s">
        <v>93</v>
      </c>
      <c r="D94" s="2">
        <v>36404</v>
      </c>
      <c r="E94" s="1" t="s">
        <v>225</v>
      </c>
      <c r="F94" s="1" t="s">
        <v>13</v>
      </c>
    </row>
    <row r="95" spans="1:6" ht="30" customHeight="1" x14ac:dyDescent="0.25">
      <c r="A95" s="1" t="s">
        <v>226</v>
      </c>
      <c r="B95" s="1" t="str">
        <f>"9780203010389"</f>
        <v>9780203010389</v>
      </c>
      <c r="C95" s="1" t="s">
        <v>68</v>
      </c>
      <c r="D95" s="2">
        <v>36209</v>
      </c>
      <c r="E95" s="1" t="s">
        <v>227</v>
      </c>
      <c r="F95" s="1" t="s">
        <v>205</v>
      </c>
    </row>
    <row r="96" spans="1:6" ht="30" customHeight="1" x14ac:dyDescent="0.25">
      <c r="A96" s="1" t="s">
        <v>228</v>
      </c>
      <c r="B96" s="1" t="str">
        <f>"9780203005347"</f>
        <v>9780203005347</v>
      </c>
      <c r="C96" s="1" t="s">
        <v>68</v>
      </c>
      <c r="D96" s="2">
        <v>41786</v>
      </c>
      <c r="E96" s="1" t="s">
        <v>229</v>
      </c>
      <c r="F96" s="1" t="s">
        <v>30</v>
      </c>
    </row>
    <row r="97" spans="1:6" ht="30" customHeight="1" x14ac:dyDescent="0.25">
      <c r="A97" s="1" t="s">
        <v>230</v>
      </c>
      <c r="B97" s="1" t="str">
        <f>"9780203027448"</f>
        <v>9780203027448</v>
      </c>
      <c r="C97" s="1" t="s">
        <v>68</v>
      </c>
      <c r="D97" s="2">
        <v>36146</v>
      </c>
      <c r="E97" s="1" t="s">
        <v>231</v>
      </c>
      <c r="F97" s="1" t="s">
        <v>13</v>
      </c>
    </row>
    <row r="98" spans="1:6" ht="30" customHeight="1" x14ac:dyDescent="0.25">
      <c r="A98" s="1" t="s">
        <v>232</v>
      </c>
      <c r="B98" s="1" t="str">
        <f>"9780203003756"</f>
        <v>9780203003756</v>
      </c>
      <c r="C98" s="1" t="s">
        <v>68</v>
      </c>
      <c r="D98" s="2">
        <v>36412</v>
      </c>
      <c r="E98" s="1" t="s">
        <v>233</v>
      </c>
      <c r="F98" s="1" t="s">
        <v>234</v>
      </c>
    </row>
    <row r="99" spans="1:6" ht="30" customHeight="1" x14ac:dyDescent="0.25">
      <c r="A99" s="1" t="s">
        <v>235</v>
      </c>
      <c r="B99" s="1" t="str">
        <f>"9780203004845"</f>
        <v>9780203004845</v>
      </c>
      <c r="C99" s="1" t="s">
        <v>68</v>
      </c>
      <c r="D99" s="2">
        <v>36321</v>
      </c>
      <c r="E99" s="1" t="s">
        <v>236</v>
      </c>
      <c r="F99" s="1" t="s">
        <v>237</v>
      </c>
    </row>
    <row r="100" spans="1:6" ht="30" customHeight="1" x14ac:dyDescent="0.25">
      <c r="A100" s="1" t="s">
        <v>238</v>
      </c>
      <c r="B100" s="1" t="str">
        <f>"9780203068953"</f>
        <v>9780203068953</v>
      </c>
      <c r="C100" s="1" t="s">
        <v>68</v>
      </c>
      <c r="D100" s="2">
        <v>36083</v>
      </c>
      <c r="E100" s="1" t="s">
        <v>239</v>
      </c>
      <c r="F100" s="1" t="s">
        <v>95</v>
      </c>
    </row>
    <row r="101" spans="1:6" ht="30" customHeight="1" x14ac:dyDescent="0.25">
      <c r="A101" s="1" t="s">
        <v>240</v>
      </c>
      <c r="B101" s="1" t="str">
        <f>"9780203064726"</f>
        <v>9780203064726</v>
      </c>
      <c r="C101" s="1" t="s">
        <v>68</v>
      </c>
      <c r="D101" s="2">
        <v>36419</v>
      </c>
      <c r="E101" s="1" t="s">
        <v>241</v>
      </c>
      <c r="F101" s="1" t="s">
        <v>13</v>
      </c>
    </row>
    <row r="102" spans="1:6" ht="30" customHeight="1" x14ac:dyDescent="0.25">
      <c r="A102" s="1" t="s">
        <v>242</v>
      </c>
      <c r="B102" s="1" t="str">
        <f>"9780203015155"</f>
        <v>9780203015155</v>
      </c>
      <c r="C102" s="1" t="s">
        <v>172</v>
      </c>
      <c r="D102" s="2">
        <v>32993</v>
      </c>
      <c r="E102" s="1" t="s">
        <v>243</v>
      </c>
      <c r="F102" s="1" t="s">
        <v>148</v>
      </c>
    </row>
    <row r="103" spans="1:6" ht="30" customHeight="1" x14ac:dyDescent="0.25">
      <c r="A103" s="1" t="s">
        <v>244</v>
      </c>
      <c r="B103" s="1" t="str">
        <f>"9780203130148"</f>
        <v>9780203130148</v>
      </c>
      <c r="C103" s="1" t="s">
        <v>68</v>
      </c>
      <c r="D103" s="2">
        <v>35138</v>
      </c>
      <c r="E103" s="1" t="s">
        <v>245</v>
      </c>
      <c r="F103" s="1" t="s">
        <v>13</v>
      </c>
    </row>
    <row r="104" spans="1:6" ht="30" customHeight="1" x14ac:dyDescent="0.25">
      <c r="A104" s="1" t="s">
        <v>246</v>
      </c>
      <c r="B104" s="1" t="str">
        <f>"9780203219546"</f>
        <v>9780203219546</v>
      </c>
      <c r="C104" s="1" t="s">
        <v>68</v>
      </c>
      <c r="D104" s="2">
        <v>35208</v>
      </c>
      <c r="E104" s="1" t="s">
        <v>247</v>
      </c>
      <c r="F104" s="1" t="s">
        <v>30</v>
      </c>
    </row>
    <row r="105" spans="1:6" ht="30" customHeight="1" x14ac:dyDescent="0.25">
      <c r="A105" s="1" t="s">
        <v>248</v>
      </c>
      <c r="B105" s="1" t="str">
        <f>"9780203135266"</f>
        <v>9780203135266</v>
      </c>
      <c r="C105" s="1" t="s">
        <v>68</v>
      </c>
      <c r="D105" s="2">
        <v>35467</v>
      </c>
      <c r="E105" s="1" t="s">
        <v>249</v>
      </c>
      <c r="F105" s="1" t="s">
        <v>214</v>
      </c>
    </row>
    <row r="106" spans="1:6" ht="30" customHeight="1" x14ac:dyDescent="0.25">
      <c r="A106" s="1" t="s">
        <v>250</v>
      </c>
      <c r="B106" s="1" t="str">
        <f>"9780203069530"</f>
        <v>9780203069530</v>
      </c>
      <c r="C106" s="1" t="s">
        <v>68</v>
      </c>
      <c r="D106" s="2">
        <v>36510</v>
      </c>
      <c r="E106" s="1" t="s">
        <v>251</v>
      </c>
      <c r="F106" s="1" t="s">
        <v>95</v>
      </c>
    </row>
    <row r="107" spans="1:6" ht="30" customHeight="1" x14ac:dyDescent="0.25">
      <c r="A107" s="1" t="s">
        <v>252</v>
      </c>
      <c r="B107" s="1" t="str">
        <f>"9780203210321"</f>
        <v>9780203210321</v>
      </c>
      <c r="C107" s="1" t="s">
        <v>68</v>
      </c>
      <c r="D107" s="2">
        <v>36048</v>
      </c>
      <c r="E107" s="1" t="s">
        <v>253</v>
      </c>
      <c r="F107" s="1" t="s">
        <v>13</v>
      </c>
    </row>
    <row r="108" spans="1:6" ht="30" customHeight="1" x14ac:dyDescent="0.25">
      <c r="A108" s="1" t="s">
        <v>254</v>
      </c>
      <c r="B108" s="1" t="str">
        <f>"9780203161050"</f>
        <v>9780203161050</v>
      </c>
      <c r="C108" s="1" t="s">
        <v>68</v>
      </c>
      <c r="D108" s="2">
        <v>41787</v>
      </c>
      <c r="E108" s="1" t="s">
        <v>255</v>
      </c>
      <c r="F108" s="1" t="s">
        <v>13</v>
      </c>
    </row>
    <row r="109" spans="1:6" ht="30" customHeight="1" x14ac:dyDescent="0.25">
      <c r="A109" s="1" t="s">
        <v>256</v>
      </c>
      <c r="B109" s="1" t="str">
        <f>"9780203069875"</f>
        <v>9780203069875</v>
      </c>
      <c r="C109" s="1" t="s">
        <v>68</v>
      </c>
      <c r="D109" s="2">
        <v>35894</v>
      </c>
      <c r="E109" s="1" t="s">
        <v>257</v>
      </c>
      <c r="F109" s="1" t="s">
        <v>30</v>
      </c>
    </row>
    <row r="110" spans="1:6" ht="30" customHeight="1" x14ac:dyDescent="0.25">
      <c r="A110" s="1" t="s">
        <v>258</v>
      </c>
      <c r="B110" s="1" t="str">
        <f>"9780203017326"</f>
        <v>9780203017326</v>
      </c>
      <c r="C110" s="1" t="s">
        <v>99</v>
      </c>
      <c r="D110" s="2">
        <v>33542</v>
      </c>
      <c r="E110" s="1" t="s">
        <v>259</v>
      </c>
      <c r="F110" s="1" t="s">
        <v>87</v>
      </c>
    </row>
    <row r="111" spans="1:6" ht="30" customHeight="1" x14ac:dyDescent="0.25">
      <c r="A111" s="1" t="s">
        <v>260</v>
      </c>
      <c r="B111" s="1" t="str">
        <f>"9780203200230"</f>
        <v>9780203200230</v>
      </c>
      <c r="C111" s="1" t="s">
        <v>93</v>
      </c>
      <c r="D111" s="2">
        <v>35250</v>
      </c>
      <c r="E111" s="1" t="s">
        <v>261</v>
      </c>
      <c r="F111" s="1" t="s">
        <v>95</v>
      </c>
    </row>
    <row r="112" spans="1:6" ht="30" customHeight="1" x14ac:dyDescent="0.25">
      <c r="A112" s="1" t="s">
        <v>262</v>
      </c>
      <c r="B112" s="1" t="str">
        <f>"9780203157961"</f>
        <v>9780203157961</v>
      </c>
      <c r="C112" s="1" t="s">
        <v>93</v>
      </c>
      <c r="D112" s="2">
        <v>34340</v>
      </c>
      <c r="E112" s="1" t="s">
        <v>263</v>
      </c>
      <c r="F112" s="1" t="s">
        <v>95</v>
      </c>
    </row>
    <row r="113" spans="1:6" ht="30" customHeight="1" x14ac:dyDescent="0.25">
      <c r="A113" s="1" t="s">
        <v>264</v>
      </c>
      <c r="B113" s="1" t="str">
        <f>"9780203482773"</f>
        <v>9780203482773</v>
      </c>
      <c r="C113" s="1" t="s">
        <v>172</v>
      </c>
      <c r="D113" s="2">
        <v>35455</v>
      </c>
      <c r="E113" s="1" t="s">
        <v>265</v>
      </c>
      <c r="F113" s="1" t="s">
        <v>13</v>
      </c>
    </row>
    <row r="114" spans="1:6" ht="30" customHeight="1" x14ac:dyDescent="0.25">
      <c r="A114" s="1" t="s">
        <v>266</v>
      </c>
      <c r="B114" s="1" t="str">
        <f>"9780203483169"</f>
        <v>9780203483169</v>
      </c>
      <c r="C114" s="1" t="s">
        <v>172</v>
      </c>
      <c r="D114" s="2">
        <v>35400</v>
      </c>
      <c r="E114" s="1" t="s">
        <v>267</v>
      </c>
      <c r="F114" s="1" t="s">
        <v>268</v>
      </c>
    </row>
    <row r="115" spans="1:6" ht="30" customHeight="1" x14ac:dyDescent="0.25">
      <c r="A115" s="1" t="s">
        <v>269</v>
      </c>
      <c r="B115" s="1" t="str">
        <f>"9780203483992"</f>
        <v>9780203483992</v>
      </c>
      <c r="C115" s="1" t="s">
        <v>99</v>
      </c>
      <c r="D115" s="2">
        <v>41750</v>
      </c>
      <c r="E115" s="1" t="s">
        <v>270</v>
      </c>
      <c r="F115" s="1" t="s">
        <v>13</v>
      </c>
    </row>
    <row r="116" spans="1:6" ht="30" customHeight="1" x14ac:dyDescent="0.25">
      <c r="A116" s="1" t="s">
        <v>271</v>
      </c>
      <c r="B116" s="1" t="str">
        <f>"9780203360606"</f>
        <v>9780203360606</v>
      </c>
      <c r="C116" s="1" t="s">
        <v>68</v>
      </c>
      <c r="D116" s="2">
        <v>36195</v>
      </c>
      <c r="E116" s="1" t="s">
        <v>272</v>
      </c>
      <c r="F116" s="1" t="s">
        <v>13</v>
      </c>
    </row>
    <row r="117" spans="1:6" ht="30" customHeight="1" x14ac:dyDescent="0.25">
      <c r="A117" s="1" t="s">
        <v>273</v>
      </c>
      <c r="B117" s="1" t="str">
        <f>"9780203441749"</f>
        <v>9780203441749</v>
      </c>
      <c r="C117" s="1" t="s">
        <v>68</v>
      </c>
      <c r="D117" s="2">
        <v>35887</v>
      </c>
      <c r="E117" s="1" t="s">
        <v>274</v>
      </c>
      <c r="F117" s="1" t="s">
        <v>114</v>
      </c>
    </row>
    <row r="118" spans="1:6" ht="30" customHeight="1" x14ac:dyDescent="0.25">
      <c r="A118" s="1" t="s">
        <v>275</v>
      </c>
      <c r="B118" s="1" t="str">
        <f>"9780203404751"</f>
        <v>9780203404751</v>
      </c>
      <c r="C118" s="1" t="s">
        <v>68</v>
      </c>
      <c r="D118" s="2">
        <v>33276</v>
      </c>
      <c r="E118" s="1" t="s">
        <v>276</v>
      </c>
      <c r="F118" s="1" t="s">
        <v>30</v>
      </c>
    </row>
    <row r="119" spans="1:6" ht="30" customHeight="1" x14ac:dyDescent="0.25">
      <c r="A119" s="1" t="s">
        <v>277</v>
      </c>
      <c r="B119" s="1" t="str">
        <f>"9781482267563"</f>
        <v>9781482267563</v>
      </c>
      <c r="C119" s="1" t="s">
        <v>99</v>
      </c>
      <c r="D119" s="2">
        <v>41750</v>
      </c>
      <c r="E119" s="1" t="s">
        <v>278</v>
      </c>
      <c r="F119" s="1" t="s">
        <v>13</v>
      </c>
    </row>
    <row r="120" spans="1:6" ht="30" customHeight="1" x14ac:dyDescent="0.25">
      <c r="A120" s="1" t="s">
        <v>279</v>
      </c>
      <c r="B120" s="1" t="str">
        <f>"9780203411773"</f>
        <v>9780203411773</v>
      </c>
      <c r="C120" s="1" t="s">
        <v>93</v>
      </c>
      <c r="D120" s="2">
        <v>34613</v>
      </c>
      <c r="E120" s="1" t="s">
        <v>280</v>
      </c>
      <c r="F120" s="1" t="s">
        <v>13</v>
      </c>
    </row>
    <row r="121" spans="1:6" ht="30" customHeight="1" x14ac:dyDescent="0.25">
      <c r="A121" s="1" t="s">
        <v>281</v>
      </c>
      <c r="B121" s="1" t="str">
        <f>"9780203424872"</f>
        <v>9780203424872</v>
      </c>
      <c r="C121" s="1" t="s">
        <v>93</v>
      </c>
      <c r="D121" s="2">
        <v>34669</v>
      </c>
      <c r="E121" s="1" t="s">
        <v>282</v>
      </c>
      <c r="F121" s="1" t="s">
        <v>283</v>
      </c>
    </row>
    <row r="122" spans="1:6" ht="30" customHeight="1" x14ac:dyDescent="0.25">
      <c r="A122" s="1" t="s">
        <v>284</v>
      </c>
      <c r="B122" s="1" t="str">
        <f>"9780203428962"</f>
        <v>9780203428962</v>
      </c>
      <c r="C122" s="1" t="s">
        <v>93</v>
      </c>
      <c r="D122" s="2">
        <v>35390</v>
      </c>
      <c r="E122" s="1" t="s">
        <v>285</v>
      </c>
      <c r="F122" s="1" t="s">
        <v>126</v>
      </c>
    </row>
    <row r="123" spans="1:6" ht="30" customHeight="1" x14ac:dyDescent="0.25">
      <c r="A123" s="1" t="s">
        <v>287</v>
      </c>
      <c r="B123" s="1" t="str">
        <f>"9780203434277"</f>
        <v>9780203434277</v>
      </c>
      <c r="C123" s="1" t="s">
        <v>68</v>
      </c>
      <c r="D123" s="2">
        <v>35404</v>
      </c>
      <c r="E123" s="1" t="s">
        <v>288</v>
      </c>
      <c r="F123" s="1" t="s">
        <v>176</v>
      </c>
    </row>
    <row r="124" spans="1:6" ht="30" customHeight="1" x14ac:dyDescent="0.25">
      <c r="A124" s="1" t="s">
        <v>289</v>
      </c>
      <c r="B124" s="1" t="str">
        <f>"9780203434550"</f>
        <v>9780203434550</v>
      </c>
      <c r="C124" s="1" t="s">
        <v>93</v>
      </c>
      <c r="D124" s="2">
        <v>34428</v>
      </c>
      <c r="E124" s="1" t="s">
        <v>290</v>
      </c>
      <c r="F124" s="1" t="s">
        <v>291</v>
      </c>
    </row>
    <row r="125" spans="1:6" ht="30" customHeight="1" x14ac:dyDescent="0.25">
      <c r="A125" s="1" t="s">
        <v>292</v>
      </c>
      <c r="B125" s="1" t="str">
        <f>"9780203435311"</f>
        <v>9780203435311</v>
      </c>
      <c r="C125" s="1" t="s">
        <v>68</v>
      </c>
      <c r="D125" s="2">
        <v>35026</v>
      </c>
      <c r="E125" s="1" t="s">
        <v>293</v>
      </c>
      <c r="F125" s="1" t="s">
        <v>294</v>
      </c>
    </row>
    <row r="126" spans="1:6" ht="30" customHeight="1" x14ac:dyDescent="0.25">
      <c r="A126" s="1" t="s">
        <v>295</v>
      </c>
      <c r="B126" s="1" t="str">
        <f>"9780203435953"</f>
        <v>9780203435953</v>
      </c>
      <c r="C126" s="1" t="s">
        <v>68</v>
      </c>
      <c r="D126" s="2">
        <v>35537</v>
      </c>
      <c r="E126" s="1" t="s">
        <v>296</v>
      </c>
      <c r="F126" s="1" t="s">
        <v>126</v>
      </c>
    </row>
    <row r="127" spans="1:6" ht="30" customHeight="1" x14ac:dyDescent="0.25">
      <c r="A127" s="1" t="s">
        <v>297</v>
      </c>
      <c r="B127" s="1" t="str">
        <f>"9780203448670"</f>
        <v>9780203448670</v>
      </c>
      <c r="C127" s="1" t="s">
        <v>68</v>
      </c>
      <c r="D127" s="2">
        <v>37379</v>
      </c>
      <c r="E127" s="1" t="s">
        <v>298</v>
      </c>
      <c r="F127" s="1" t="s">
        <v>13</v>
      </c>
    </row>
    <row r="128" spans="1:6" ht="30" customHeight="1" x14ac:dyDescent="0.25">
      <c r="A128" s="1" t="s">
        <v>299</v>
      </c>
      <c r="B128" s="1" t="str">
        <f>"9780203024775"</f>
        <v>9780203024775</v>
      </c>
      <c r="C128" s="1" t="s">
        <v>68</v>
      </c>
      <c r="D128" s="2">
        <v>36321</v>
      </c>
      <c r="E128" s="1" t="s">
        <v>300</v>
      </c>
      <c r="F128" s="1" t="s">
        <v>301</v>
      </c>
    </row>
    <row r="129" spans="1:6" ht="30" customHeight="1" x14ac:dyDescent="0.25">
      <c r="A129" s="1" t="s">
        <v>302</v>
      </c>
      <c r="B129" s="1" t="str">
        <f>"9780203460160"</f>
        <v>9780203460160</v>
      </c>
      <c r="C129" s="1" t="s">
        <v>93</v>
      </c>
      <c r="D129" s="2">
        <v>36475</v>
      </c>
      <c r="E129" s="1" t="s">
        <v>303</v>
      </c>
      <c r="F129" s="1" t="s">
        <v>304</v>
      </c>
    </row>
    <row r="130" spans="1:6" ht="30" customHeight="1" x14ac:dyDescent="0.25">
      <c r="A130" s="1" t="s">
        <v>305</v>
      </c>
      <c r="B130" s="1" t="str">
        <f>"9780203463611"</f>
        <v>9780203463611</v>
      </c>
      <c r="C130" s="1" t="s">
        <v>68</v>
      </c>
      <c r="D130" s="2">
        <v>37510</v>
      </c>
      <c r="E130" s="1" t="s">
        <v>306</v>
      </c>
      <c r="F130" s="1" t="s">
        <v>30</v>
      </c>
    </row>
    <row r="131" spans="1:6" ht="30" customHeight="1" x14ac:dyDescent="0.25">
      <c r="A131" s="1" t="s">
        <v>307</v>
      </c>
      <c r="B131" s="1" t="str">
        <f>"9780203905234"</f>
        <v>9780203905234</v>
      </c>
      <c r="C131" s="1" t="s">
        <v>68</v>
      </c>
      <c r="D131" s="2">
        <v>41787</v>
      </c>
      <c r="E131" s="1" t="s">
        <v>308</v>
      </c>
      <c r="F131" s="1" t="s">
        <v>30</v>
      </c>
    </row>
    <row r="132" spans="1:6" ht="30" customHeight="1" x14ac:dyDescent="0.25">
      <c r="A132" s="1" t="s">
        <v>309</v>
      </c>
      <c r="B132" s="1" t="str">
        <f>"9780203478660"</f>
        <v>9780203478660</v>
      </c>
      <c r="C132" s="1" t="s">
        <v>68</v>
      </c>
      <c r="D132" s="2">
        <v>36678</v>
      </c>
      <c r="E132" s="1" t="s">
        <v>310</v>
      </c>
      <c r="F132" s="1" t="s">
        <v>95</v>
      </c>
    </row>
    <row r="133" spans="1:6" ht="30" customHeight="1" x14ac:dyDescent="0.25">
      <c r="A133" s="1" t="s">
        <v>311</v>
      </c>
      <c r="B133" s="1" t="str">
        <f>"9780203483268"</f>
        <v>9780203483268</v>
      </c>
      <c r="C133" s="1" t="s">
        <v>99</v>
      </c>
      <c r="D133" s="2">
        <v>35462</v>
      </c>
      <c r="E133" s="1" t="s">
        <v>312</v>
      </c>
      <c r="F133" s="1" t="s">
        <v>158</v>
      </c>
    </row>
    <row r="134" spans="1:6" ht="30" customHeight="1" x14ac:dyDescent="0.25">
      <c r="A134" s="1" t="s">
        <v>313</v>
      </c>
      <c r="B134" s="1" t="str">
        <f>"9780203483541"</f>
        <v>9780203483541</v>
      </c>
      <c r="C134" s="1" t="s">
        <v>99</v>
      </c>
      <c r="D134" s="2">
        <v>41750</v>
      </c>
      <c r="E134" s="1" t="s">
        <v>314</v>
      </c>
      <c r="F134" s="1" t="s">
        <v>13</v>
      </c>
    </row>
    <row r="135" spans="1:6" ht="30" customHeight="1" x14ac:dyDescent="0.25">
      <c r="A135" s="1" t="s">
        <v>315</v>
      </c>
      <c r="B135" s="1" t="str">
        <f>"9780203484074"</f>
        <v>9780203484074</v>
      </c>
      <c r="C135" s="1" t="s">
        <v>99</v>
      </c>
      <c r="D135" s="2">
        <v>41750</v>
      </c>
      <c r="E135" s="1" t="s">
        <v>316</v>
      </c>
      <c r="F135" s="1" t="s">
        <v>13</v>
      </c>
    </row>
    <row r="136" spans="1:6" ht="30" customHeight="1" x14ac:dyDescent="0.25">
      <c r="A136" s="1" t="s">
        <v>317</v>
      </c>
      <c r="B136" s="1" t="str">
        <f>"9780203484388"</f>
        <v>9780203484388</v>
      </c>
      <c r="C136" s="1" t="s">
        <v>99</v>
      </c>
      <c r="D136" s="2">
        <v>41750</v>
      </c>
      <c r="E136" s="1" t="s">
        <v>318</v>
      </c>
      <c r="F136" s="1" t="s">
        <v>63</v>
      </c>
    </row>
    <row r="137" spans="1:6" ht="30" customHeight="1" x14ac:dyDescent="0.25">
      <c r="A137" s="1" t="s">
        <v>319</v>
      </c>
      <c r="B137" s="1" t="str">
        <f>"9780203495292"</f>
        <v>9780203495292</v>
      </c>
      <c r="C137" s="1" t="s">
        <v>68</v>
      </c>
      <c r="D137" s="2">
        <v>36874</v>
      </c>
      <c r="E137" s="1" t="s">
        <v>320</v>
      </c>
      <c r="F137" s="1" t="s">
        <v>30</v>
      </c>
    </row>
    <row r="138" spans="1:6" ht="30" customHeight="1" x14ac:dyDescent="0.25">
      <c r="A138" s="1" t="s">
        <v>321</v>
      </c>
      <c r="B138" s="1" t="str">
        <f>"9780203499412"</f>
        <v>9780203499412</v>
      </c>
      <c r="C138" s="1" t="s">
        <v>68</v>
      </c>
      <c r="D138" s="2">
        <v>37510</v>
      </c>
      <c r="E138" s="1" t="s">
        <v>322</v>
      </c>
      <c r="F138" s="1" t="s">
        <v>13</v>
      </c>
    </row>
    <row r="139" spans="1:6" ht="30" customHeight="1" x14ac:dyDescent="0.25">
      <c r="A139" s="1" t="s">
        <v>323</v>
      </c>
      <c r="B139" s="1" t="str">
        <f>"9780203500934"</f>
        <v>9780203500934</v>
      </c>
      <c r="C139" s="1" t="s">
        <v>68</v>
      </c>
      <c r="D139" s="2">
        <v>36526</v>
      </c>
      <c r="E139" s="1" t="s">
        <v>324</v>
      </c>
      <c r="F139" s="1" t="s">
        <v>95</v>
      </c>
    </row>
    <row r="140" spans="1:6" ht="30" customHeight="1" x14ac:dyDescent="0.25">
      <c r="A140" s="1" t="s">
        <v>325</v>
      </c>
      <c r="B140" s="1" t="str">
        <f>"9780203502501"</f>
        <v>9780203502501</v>
      </c>
      <c r="C140" s="1" t="s">
        <v>68</v>
      </c>
      <c r="D140" s="2">
        <v>34529</v>
      </c>
      <c r="E140" s="1" t="s">
        <v>326</v>
      </c>
      <c r="F140" s="1" t="s">
        <v>30</v>
      </c>
    </row>
    <row r="141" spans="1:6" ht="30" customHeight="1" x14ac:dyDescent="0.25">
      <c r="A141" s="1" t="s">
        <v>327</v>
      </c>
      <c r="B141" s="1" t="str">
        <f>"9780203437599"</f>
        <v>9780203437599</v>
      </c>
      <c r="C141" s="1" t="s">
        <v>68</v>
      </c>
      <c r="D141" s="2">
        <v>35509</v>
      </c>
      <c r="E141" s="1" t="s">
        <v>328</v>
      </c>
      <c r="F141" s="1" t="s">
        <v>13</v>
      </c>
    </row>
    <row r="142" spans="1:6" ht="30" customHeight="1" x14ac:dyDescent="0.25">
      <c r="A142" s="1" t="s">
        <v>329</v>
      </c>
      <c r="B142" s="1" t="str">
        <f>"9781134844593"</f>
        <v>9781134844593</v>
      </c>
      <c r="C142" s="1" t="s">
        <v>93</v>
      </c>
      <c r="D142" s="2">
        <v>34919</v>
      </c>
      <c r="E142" s="1" t="s">
        <v>330</v>
      </c>
      <c r="F142" s="1" t="s">
        <v>331</v>
      </c>
    </row>
    <row r="143" spans="1:6" ht="30" customHeight="1" x14ac:dyDescent="0.25">
      <c r="A143" s="1" t="s">
        <v>332</v>
      </c>
      <c r="B143" s="1" t="str">
        <f>"9780203427606"</f>
        <v>9780203427606</v>
      </c>
      <c r="C143" s="1" t="s">
        <v>93</v>
      </c>
      <c r="D143" s="2">
        <v>35355</v>
      </c>
      <c r="E143" s="1" t="s">
        <v>333</v>
      </c>
      <c r="F143" s="1" t="s">
        <v>13</v>
      </c>
    </row>
    <row r="144" spans="1:6" ht="30" customHeight="1" x14ac:dyDescent="0.25">
      <c r="A144" s="1" t="s">
        <v>334</v>
      </c>
      <c r="B144" s="1" t="str">
        <f>"9780203429402"</f>
        <v>9780203429402</v>
      </c>
      <c r="C144" s="1" t="s">
        <v>93</v>
      </c>
      <c r="D144" s="2">
        <v>35194</v>
      </c>
      <c r="E144" s="1" t="s">
        <v>335</v>
      </c>
      <c r="F144" s="1" t="s">
        <v>13</v>
      </c>
    </row>
    <row r="145" spans="1:6" ht="30" customHeight="1" x14ac:dyDescent="0.25">
      <c r="A145" s="1" t="s">
        <v>336</v>
      </c>
      <c r="B145" s="1" t="str">
        <f>"9780203440216"</f>
        <v>9780203440216</v>
      </c>
      <c r="C145" s="1" t="s">
        <v>68</v>
      </c>
      <c r="D145" s="2">
        <v>35460</v>
      </c>
      <c r="E145" s="1" t="s">
        <v>337</v>
      </c>
      <c r="F145" s="1" t="s">
        <v>13</v>
      </c>
    </row>
    <row r="146" spans="1:6" ht="30" customHeight="1" x14ac:dyDescent="0.25">
      <c r="A146" s="1" t="s">
        <v>338</v>
      </c>
      <c r="B146" s="1" t="str">
        <f>"9780203441039"</f>
        <v>9780203441039</v>
      </c>
      <c r="C146" s="1" t="s">
        <v>68</v>
      </c>
      <c r="D146" s="2">
        <v>35747</v>
      </c>
      <c r="E146" s="1" t="s">
        <v>339</v>
      </c>
      <c r="F146" s="1" t="s">
        <v>13</v>
      </c>
    </row>
    <row r="147" spans="1:6" ht="30" customHeight="1" x14ac:dyDescent="0.25">
      <c r="A147" s="1" t="s">
        <v>340</v>
      </c>
      <c r="B147" s="1" t="str">
        <f>"9780203022412"</f>
        <v>9780203022412</v>
      </c>
      <c r="C147" s="1" t="s">
        <v>93</v>
      </c>
      <c r="D147" s="2">
        <v>37510</v>
      </c>
      <c r="E147" s="1" t="s">
        <v>341</v>
      </c>
      <c r="F147" s="1" t="s">
        <v>342</v>
      </c>
    </row>
    <row r="148" spans="1:6" ht="30" customHeight="1" x14ac:dyDescent="0.25">
      <c r="A148" s="1" t="s">
        <v>343</v>
      </c>
      <c r="B148" s="1" t="str">
        <f>"9781135961190"</f>
        <v>9781135961190</v>
      </c>
      <c r="C148" s="1" t="s">
        <v>68</v>
      </c>
      <c r="D148" s="2">
        <v>37510</v>
      </c>
      <c r="E148" s="1" t="s">
        <v>344</v>
      </c>
      <c r="F148" s="1" t="s">
        <v>95</v>
      </c>
    </row>
    <row r="149" spans="1:6" ht="30" customHeight="1" x14ac:dyDescent="0.25">
      <c r="A149" s="1" t="s">
        <v>345</v>
      </c>
      <c r="B149" s="1" t="str">
        <f>"9780203904107"</f>
        <v>9780203904107</v>
      </c>
      <c r="C149" s="1" t="s">
        <v>68</v>
      </c>
      <c r="D149" s="2">
        <v>36739</v>
      </c>
      <c r="E149" s="1" t="s">
        <v>346</v>
      </c>
      <c r="F149" s="1" t="s">
        <v>95</v>
      </c>
    </row>
    <row r="150" spans="1:6" ht="30" customHeight="1" x14ac:dyDescent="0.25">
      <c r="A150" s="1" t="s">
        <v>347</v>
      </c>
      <c r="B150" s="1" t="str">
        <f>"9780203221259"</f>
        <v>9780203221259</v>
      </c>
      <c r="C150" s="1" t="s">
        <v>172</v>
      </c>
      <c r="D150" s="2">
        <v>33518</v>
      </c>
      <c r="E150" s="1" t="s">
        <v>348</v>
      </c>
      <c r="F150" s="1" t="s">
        <v>349</v>
      </c>
    </row>
    <row r="151" spans="1:6" ht="30" customHeight="1" x14ac:dyDescent="0.25">
      <c r="A151" s="1" t="s">
        <v>350</v>
      </c>
      <c r="B151" s="1" t="str">
        <f>"9780203212813"</f>
        <v>9780203212813</v>
      </c>
      <c r="C151" s="1" t="s">
        <v>99</v>
      </c>
      <c r="D151" s="2">
        <v>36034</v>
      </c>
      <c r="E151" s="1" t="s">
        <v>351</v>
      </c>
      <c r="F151" s="1" t="s">
        <v>148</v>
      </c>
    </row>
    <row r="152" spans="1:6" ht="30" customHeight="1" x14ac:dyDescent="0.25">
      <c r="A152" s="1" t="s">
        <v>352</v>
      </c>
      <c r="B152" s="1" t="str">
        <f>"9780203209592"</f>
        <v>9780203209592</v>
      </c>
      <c r="C152" s="1" t="s">
        <v>172</v>
      </c>
      <c r="D152" s="2">
        <v>36800</v>
      </c>
      <c r="E152" s="1" t="s">
        <v>353</v>
      </c>
      <c r="F152" s="1" t="s">
        <v>137</v>
      </c>
    </row>
    <row r="153" spans="1:6" ht="30" customHeight="1" x14ac:dyDescent="0.25">
      <c r="A153" s="1" t="s">
        <v>354</v>
      </c>
      <c r="B153" s="1" t="str">
        <f>"9780203427361"</f>
        <v>9780203427361</v>
      </c>
      <c r="C153" s="1" t="s">
        <v>172</v>
      </c>
      <c r="D153" s="2">
        <v>36790</v>
      </c>
      <c r="E153" s="1" t="s">
        <v>355</v>
      </c>
      <c r="F153" s="1" t="s">
        <v>356</v>
      </c>
    </row>
    <row r="154" spans="1:6" ht="30" customHeight="1" x14ac:dyDescent="0.25">
      <c r="A154" s="1" t="s">
        <v>357</v>
      </c>
      <c r="B154" s="1" t="str">
        <f>"9780203304242"</f>
        <v>9780203304242</v>
      </c>
      <c r="C154" s="1" t="s">
        <v>99</v>
      </c>
      <c r="D154" s="2">
        <v>36220</v>
      </c>
      <c r="E154" s="1" t="s">
        <v>358</v>
      </c>
      <c r="F154" s="1" t="s">
        <v>359</v>
      </c>
    </row>
    <row r="155" spans="1:6" ht="30" customHeight="1" x14ac:dyDescent="0.25">
      <c r="A155" s="1" t="s">
        <v>360</v>
      </c>
      <c r="B155" s="1" t="str">
        <f>"9780203304273"</f>
        <v>9780203304273</v>
      </c>
      <c r="C155" s="1" t="s">
        <v>99</v>
      </c>
      <c r="D155" s="2">
        <v>41750</v>
      </c>
      <c r="E155" s="1" t="s">
        <v>361</v>
      </c>
      <c r="F155" s="1" t="s">
        <v>362</v>
      </c>
    </row>
    <row r="156" spans="1:6" ht="30" customHeight="1" x14ac:dyDescent="0.25">
      <c r="A156" s="1" t="s">
        <v>363</v>
      </c>
      <c r="B156" s="1" t="str">
        <f>"9780470863169"</f>
        <v>9780470863169</v>
      </c>
      <c r="C156" s="1" t="s">
        <v>65</v>
      </c>
      <c r="D156" s="2">
        <v>38121</v>
      </c>
      <c r="E156" s="1" t="s">
        <v>364</v>
      </c>
      <c r="F156" s="1" t="s">
        <v>13</v>
      </c>
    </row>
    <row r="157" spans="1:6" ht="30" customHeight="1" x14ac:dyDescent="0.25">
      <c r="A157" s="1" t="s">
        <v>365</v>
      </c>
      <c r="B157" s="1" t="str">
        <f>"9780203010372"</f>
        <v>9780203010372</v>
      </c>
      <c r="C157" s="1" t="s">
        <v>68</v>
      </c>
      <c r="D157" s="2">
        <v>36083</v>
      </c>
      <c r="E157" s="1" t="s">
        <v>366</v>
      </c>
      <c r="F157" s="1" t="s">
        <v>367</v>
      </c>
    </row>
    <row r="158" spans="1:6" ht="30" customHeight="1" x14ac:dyDescent="0.25">
      <c r="A158" s="1" t="s">
        <v>368</v>
      </c>
      <c r="B158" s="1" t="str">
        <f>"9780203005606"</f>
        <v>9780203005606</v>
      </c>
      <c r="C158" s="1" t="s">
        <v>68</v>
      </c>
      <c r="D158" s="2">
        <v>31197</v>
      </c>
      <c r="E158" s="1" t="s">
        <v>369</v>
      </c>
      <c r="F158" s="1" t="s">
        <v>21</v>
      </c>
    </row>
    <row r="159" spans="1:6" ht="30" customHeight="1" x14ac:dyDescent="0.25">
      <c r="A159" s="1" t="s">
        <v>370</v>
      </c>
      <c r="B159" s="1" t="str">
        <f>"9780203025789"</f>
        <v>9780203025789</v>
      </c>
      <c r="C159" s="1" t="s">
        <v>68</v>
      </c>
      <c r="D159" s="2">
        <v>36251</v>
      </c>
      <c r="E159" s="1" t="s">
        <v>371</v>
      </c>
      <c r="F159" s="1" t="s">
        <v>158</v>
      </c>
    </row>
    <row r="160" spans="1:6" ht="30" customHeight="1" x14ac:dyDescent="0.25">
      <c r="A160" s="1" t="s">
        <v>372</v>
      </c>
      <c r="B160" s="1" t="str">
        <f>"9780203136591"</f>
        <v>9780203136591</v>
      </c>
      <c r="C160" s="1" t="s">
        <v>68</v>
      </c>
      <c r="D160" s="2">
        <v>32051</v>
      </c>
      <c r="E160" s="1" t="s">
        <v>373</v>
      </c>
      <c r="F160" s="1" t="s">
        <v>291</v>
      </c>
    </row>
    <row r="161" spans="1:6" ht="30" customHeight="1" x14ac:dyDescent="0.25">
      <c r="A161" s="1" t="s">
        <v>374</v>
      </c>
      <c r="B161" s="1" t="str">
        <f>"9780203136669"</f>
        <v>9780203136669</v>
      </c>
      <c r="C161" s="1" t="s">
        <v>93</v>
      </c>
      <c r="D161" s="2">
        <v>34298</v>
      </c>
      <c r="E161" s="1" t="s">
        <v>375</v>
      </c>
      <c r="F161" s="1" t="s">
        <v>304</v>
      </c>
    </row>
    <row r="162" spans="1:6" ht="30" customHeight="1" x14ac:dyDescent="0.25">
      <c r="A162" s="1" t="s">
        <v>376</v>
      </c>
      <c r="B162" s="1" t="str">
        <f>"9780203137987"</f>
        <v>9780203137987</v>
      </c>
      <c r="C162" s="1" t="s">
        <v>68</v>
      </c>
      <c r="D162" s="2">
        <v>34375</v>
      </c>
      <c r="E162" s="1" t="s">
        <v>377</v>
      </c>
      <c r="F162" s="1" t="s">
        <v>13</v>
      </c>
    </row>
    <row r="163" spans="1:6" ht="30" customHeight="1" x14ac:dyDescent="0.25">
      <c r="A163" s="1" t="s">
        <v>378</v>
      </c>
      <c r="B163" s="1" t="str">
        <f>"9780203131459"</f>
        <v>9780203131459</v>
      </c>
      <c r="C163" s="1" t="s">
        <v>68</v>
      </c>
      <c r="D163" s="2">
        <v>32758</v>
      </c>
      <c r="E163" s="1" t="s">
        <v>379</v>
      </c>
      <c r="F163" s="1" t="s">
        <v>13</v>
      </c>
    </row>
    <row r="164" spans="1:6" ht="30" customHeight="1" x14ac:dyDescent="0.25">
      <c r="A164" s="1" t="s">
        <v>380</v>
      </c>
      <c r="B164" s="1" t="str">
        <f>"9780203133057"</f>
        <v>9780203133057</v>
      </c>
      <c r="C164" s="1" t="s">
        <v>68</v>
      </c>
      <c r="D164" s="2">
        <v>34998</v>
      </c>
      <c r="E164" s="1" t="s">
        <v>381</v>
      </c>
      <c r="F164" s="1" t="s">
        <v>291</v>
      </c>
    </row>
    <row r="165" spans="1:6" ht="30" customHeight="1" x14ac:dyDescent="0.25">
      <c r="A165" s="1" t="s">
        <v>382</v>
      </c>
      <c r="B165" s="1" t="str">
        <f>"9780203134931"</f>
        <v>9780203134931</v>
      </c>
      <c r="C165" s="1" t="s">
        <v>68</v>
      </c>
      <c r="D165" s="2">
        <v>35732</v>
      </c>
      <c r="E165" s="1" t="s">
        <v>383</v>
      </c>
      <c r="F165" s="1" t="s">
        <v>13</v>
      </c>
    </row>
    <row r="166" spans="1:6" ht="30" customHeight="1" x14ac:dyDescent="0.25">
      <c r="A166" s="1" t="s">
        <v>384</v>
      </c>
      <c r="B166" s="1" t="str">
        <f>"9780203412237"</f>
        <v>9780203412237</v>
      </c>
      <c r="C166" s="1" t="s">
        <v>68</v>
      </c>
      <c r="D166" s="2">
        <v>33668</v>
      </c>
      <c r="E166" s="1" t="s">
        <v>385</v>
      </c>
      <c r="F166" s="1" t="s">
        <v>70</v>
      </c>
    </row>
    <row r="167" spans="1:6" ht="30" customHeight="1" x14ac:dyDescent="0.25">
      <c r="A167" s="1" t="s">
        <v>386</v>
      </c>
      <c r="B167" s="1" t="str">
        <f>"9780203431344"</f>
        <v>9780203431344</v>
      </c>
      <c r="C167" s="1" t="s">
        <v>68</v>
      </c>
      <c r="D167" s="2">
        <v>35593</v>
      </c>
      <c r="E167" s="1" t="s">
        <v>387</v>
      </c>
      <c r="F167" s="1" t="s">
        <v>95</v>
      </c>
    </row>
    <row r="168" spans="1:6" ht="30" customHeight="1" x14ac:dyDescent="0.25">
      <c r="A168" s="1" t="s">
        <v>388</v>
      </c>
      <c r="B168" s="1" t="str">
        <f>"9780203476888"</f>
        <v>9780203476888</v>
      </c>
      <c r="C168" s="1" t="s">
        <v>99</v>
      </c>
      <c r="D168" s="2">
        <v>37561</v>
      </c>
      <c r="E168" s="1" t="s">
        <v>389</v>
      </c>
      <c r="F168" s="1" t="s">
        <v>390</v>
      </c>
    </row>
    <row r="169" spans="1:6" ht="30" customHeight="1" x14ac:dyDescent="0.25">
      <c r="A169" s="1" t="s">
        <v>391</v>
      </c>
      <c r="B169" s="1" t="str">
        <f>"9781482268287"</f>
        <v>9781482268287</v>
      </c>
      <c r="C169" s="1" t="s">
        <v>99</v>
      </c>
      <c r="D169" s="2">
        <v>41750</v>
      </c>
      <c r="E169" s="1" t="s">
        <v>392</v>
      </c>
      <c r="F169" s="1" t="s">
        <v>13</v>
      </c>
    </row>
    <row r="170" spans="1:6" ht="30" customHeight="1" x14ac:dyDescent="0.25">
      <c r="A170" s="1" t="s">
        <v>393</v>
      </c>
      <c r="B170" s="1" t="str">
        <f>"9780203454084"</f>
        <v>9780203454084</v>
      </c>
      <c r="C170" s="1" t="s">
        <v>68</v>
      </c>
      <c r="D170" s="2">
        <v>35327</v>
      </c>
      <c r="E170" s="1" t="s">
        <v>394</v>
      </c>
      <c r="F170" s="1" t="s">
        <v>395</v>
      </c>
    </row>
    <row r="171" spans="1:6" ht="30" customHeight="1" x14ac:dyDescent="0.25">
      <c r="A171" s="1" t="s">
        <v>396</v>
      </c>
      <c r="B171" s="1" t="str">
        <f>"9780203414903"</f>
        <v>9780203414903</v>
      </c>
      <c r="C171" s="1" t="s">
        <v>68</v>
      </c>
      <c r="D171" s="2">
        <v>38347</v>
      </c>
      <c r="E171" s="1" t="s">
        <v>397</v>
      </c>
      <c r="F171" s="1" t="s">
        <v>13</v>
      </c>
    </row>
    <row r="172" spans="1:6" ht="30" customHeight="1" x14ac:dyDescent="0.25">
      <c r="A172" s="1" t="s">
        <v>398</v>
      </c>
      <c r="B172" s="1" t="str">
        <f>"9780203392706"</f>
        <v>9780203392706</v>
      </c>
      <c r="C172" s="1" t="s">
        <v>68</v>
      </c>
      <c r="D172" s="2">
        <v>33822</v>
      </c>
      <c r="E172" s="1" t="s">
        <v>399</v>
      </c>
      <c r="F172" s="1" t="s">
        <v>13</v>
      </c>
    </row>
    <row r="173" spans="1:6" ht="30" customHeight="1" x14ac:dyDescent="0.25">
      <c r="A173" s="1" t="s">
        <v>400</v>
      </c>
      <c r="B173" s="1" t="str">
        <f>"9780203359266"</f>
        <v>9780203359266</v>
      </c>
      <c r="C173" s="1" t="s">
        <v>68</v>
      </c>
      <c r="D173" s="2">
        <v>33696</v>
      </c>
      <c r="E173" s="1" t="s">
        <v>401</v>
      </c>
      <c r="F173" s="1" t="s">
        <v>13</v>
      </c>
    </row>
    <row r="174" spans="1:6" ht="30" customHeight="1" x14ac:dyDescent="0.25">
      <c r="A174" s="1" t="s">
        <v>402</v>
      </c>
      <c r="B174" s="1" t="str">
        <f>"9780203359938"</f>
        <v>9780203359938</v>
      </c>
      <c r="C174" s="1" t="s">
        <v>93</v>
      </c>
      <c r="D174" s="2">
        <v>34669</v>
      </c>
      <c r="E174" s="1" t="s">
        <v>403</v>
      </c>
      <c r="F174" s="1" t="s">
        <v>13</v>
      </c>
    </row>
    <row r="175" spans="1:6" ht="30" customHeight="1" x14ac:dyDescent="0.25">
      <c r="A175" s="1" t="s">
        <v>404</v>
      </c>
      <c r="B175" s="1" t="str">
        <f>"9780203191590"</f>
        <v>9780203191590</v>
      </c>
      <c r="C175" s="1" t="s">
        <v>68</v>
      </c>
      <c r="D175" s="2">
        <v>32695</v>
      </c>
      <c r="E175" s="1" t="s">
        <v>405</v>
      </c>
      <c r="F175" s="1" t="s">
        <v>406</v>
      </c>
    </row>
    <row r="176" spans="1:6" ht="30" customHeight="1" x14ac:dyDescent="0.25">
      <c r="A176" s="1" t="s">
        <v>407</v>
      </c>
      <c r="B176" s="1" t="str">
        <f>"9780203207079"</f>
        <v>9780203207079</v>
      </c>
      <c r="C176" s="1" t="s">
        <v>68</v>
      </c>
      <c r="D176" s="2">
        <v>33395</v>
      </c>
      <c r="E176" s="1" t="s">
        <v>408</v>
      </c>
      <c r="F176" s="1" t="s">
        <v>148</v>
      </c>
    </row>
    <row r="177" spans="1:6" ht="30" customHeight="1" x14ac:dyDescent="0.25">
      <c r="A177" s="1" t="s">
        <v>409</v>
      </c>
      <c r="B177" s="1" t="str">
        <f>"9780203210901"</f>
        <v>9780203210901</v>
      </c>
      <c r="C177" s="1" t="s">
        <v>93</v>
      </c>
      <c r="D177" s="2">
        <v>33941</v>
      </c>
      <c r="E177" s="1" t="s">
        <v>410</v>
      </c>
      <c r="F177" s="1" t="s">
        <v>148</v>
      </c>
    </row>
    <row r="178" spans="1:6" ht="30" customHeight="1" x14ac:dyDescent="0.25">
      <c r="A178" s="1" t="s">
        <v>411</v>
      </c>
      <c r="B178" s="1" t="str">
        <f>"9780203145661"</f>
        <v>9780203145661</v>
      </c>
      <c r="C178" s="1" t="s">
        <v>68</v>
      </c>
      <c r="D178" s="2">
        <v>32912</v>
      </c>
      <c r="E178" s="1" t="s">
        <v>412</v>
      </c>
      <c r="F178" s="1" t="s">
        <v>13</v>
      </c>
    </row>
    <row r="179" spans="1:6" ht="30" customHeight="1" x14ac:dyDescent="0.25">
      <c r="A179" s="1" t="s">
        <v>413</v>
      </c>
      <c r="B179" s="1" t="str">
        <f>"9780203136546"</f>
        <v>9780203136546</v>
      </c>
      <c r="C179" s="1" t="s">
        <v>68</v>
      </c>
      <c r="D179" s="2">
        <v>35628</v>
      </c>
      <c r="E179" s="1" t="s">
        <v>414</v>
      </c>
      <c r="F179" s="1" t="s">
        <v>13</v>
      </c>
    </row>
    <row r="180" spans="1:6" ht="30" customHeight="1" x14ac:dyDescent="0.25">
      <c r="A180" s="1" t="s">
        <v>416</v>
      </c>
      <c r="B180" s="1" t="str">
        <f>"9780203135976"</f>
        <v>9780203135976</v>
      </c>
      <c r="C180" s="1" t="s">
        <v>68</v>
      </c>
      <c r="D180" s="2">
        <v>36636</v>
      </c>
      <c r="E180" s="1" t="s">
        <v>417</v>
      </c>
      <c r="F180" s="1" t="s">
        <v>21</v>
      </c>
    </row>
    <row r="181" spans="1:6" ht="30" customHeight="1" x14ac:dyDescent="0.25">
      <c r="A181" s="1" t="s">
        <v>418</v>
      </c>
      <c r="B181" s="1" t="str">
        <f>"9780203360446"</f>
        <v>9780203360446</v>
      </c>
      <c r="C181" s="1" t="s">
        <v>68</v>
      </c>
      <c r="D181" s="2">
        <v>36013</v>
      </c>
      <c r="E181" s="1" t="s">
        <v>419</v>
      </c>
      <c r="F181" s="1" t="s">
        <v>13</v>
      </c>
    </row>
    <row r="182" spans="1:6" ht="30" customHeight="1" x14ac:dyDescent="0.25">
      <c r="A182" s="1" t="s">
        <v>420</v>
      </c>
      <c r="B182" s="1" t="str">
        <f>"9780203203910"</f>
        <v>9780203203910</v>
      </c>
      <c r="C182" s="1" t="s">
        <v>68</v>
      </c>
      <c r="D182" s="2">
        <v>32730</v>
      </c>
      <c r="E182" s="1" t="s">
        <v>421</v>
      </c>
      <c r="F182" s="1" t="s">
        <v>304</v>
      </c>
    </row>
    <row r="183" spans="1:6" ht="30" customHeight="1" x14ac:dyDescent="0.25">
      <c r="A183" s="1" t="s">
        <v>422</v>
      </c>
      <c r="B183" s="1" t="str">
        <f>"9780203200131"</f>
        <v>9780203200131</v>
      </c>
      <c r="C183" s="1" t="s">
        <v>68</v>
      </c>
      <c r="D183" s="2">
        <v>31358</v>
      </c>
      <c r="E183" s="1" t="s">
        <v>423</v>
      </c>
      <c r="F183" s="1" t="s">
        <v>95</v>
      </c>
    </row>
    <row r="184" spans="1:6" ht="30" customHeight="1" x14ac:dyDescent="0.25">
      <c r="A184" s="1" t="s">
        <v>424</v>
      </c>
      <c r="B184" s="1" t="str">
        <f>"9780203130247"</f>
        <v>9780203130247</v>
      </c>
      <c r="C184" s="1" t="s">
        <v>68</v>
      </c>
      <c r="D184" s="2">
        <v>36697</v>
      </c>
      <c r="E184" s="1" t="s">
        <v>425</v>
      </c>
      <c r="F184" s="1" t="s">
        <v>13</v>
      </c>
    </row>
    <row r="185" spans="1:6" ht="30" customHeight="1" x14ac:dyDescent="0.25">
      <c r="A185" s="1" t="s">
        <v>426</v>
      </c>
      <c r="B185" s="1" t="str">
        <f>"9780203360576"</f>
        <v>9780203360576</v>
      </c>
      <c r="C185" s="1" t="s">
        <v>93</v>
      </c>
      <c r="D185" s="2">
        <v>36181</v>
      </c>
      <c r="E185" s="1" t="s">
        <v>427</v>
      </c>
      <c r="F185" s="1" t="s">
        <v>30</v>
      </c>
    </row>
    <row r="186" spans="1:6" ht="30" customHeight="1" x14ac:dyDescent="0.25">
      <c r="A186" s="1" t="s">
        <v>428</v>
      </c>
      <c r="B186" s="1" t="str">
        <f>"9780203360583"</f>
        <v>9780203360583</v>
      </c>
      <c r="C186" s="1" t="s">
        <v>68</v>
      </c>
      <c r="D186" s="2">
        <v>35845</v>
      </c>
      <c r="E186" s="1" t="s">
        <v>429</v>
      </c>
      <c r="F186" s="1" t="s">
        <v>13</v>
      </c>
    </row>
    <row r="187" spans="1:6" ht="30" customHeight="1" x14ac:dyDescent="0.25">
      <c r="A187" s="1" t="s">
        <v>430</v>
      </c>
      <c r="B187" s="1" t="str">
        <f>"9780203403310"</f>
        <v>9780203403310</v>
      </c>
      <c r="C187" s="1" t="s">
        <v>68</v>
      </c>
      <c r="D187" s="2">
        <v>32422</v>
      </c>
      <c r="E187" s="1" t="s">
        <v>431</v>
      </c>
      <c r="F187" s="1" t="s">
        <v>126</v>
      </c>
    </row>
    <row r="188" spans="1:6" ht="30" customHeight="1" x14ac:dyDescent="0.25">
      <c r="A188" s="1" t="s">
        <v>432</v>
      </c>
      <c r="B188" s="1" t="str">
        <f>"9780203408674"</f>
        <v>9780203408674</v>
      </c>
      <c r="C188" s="1" t="s">
        <v>93</v>
      </c>
      <c r="D188" s="2">
        <v>34130</v>
      </c>
      <c r="E188" s="1" t="s">
        <v>433</v>
      </c>
      <c r="F188" s="1" t="s">
        <v>87</v>
      </c>
    </row>
    <row r="189" spans="1:6" ht="30" customHeight="1" x14ac:dyDescent="0.25">
      <c r="A189" s="1" t="s">
        <v>434</v>
      </c>
      <c r="B189" s="1" t="str">
        <f>"9780203414965"</f>
        <v>9780203414965</v>
      </c>
      <c r="C189" s="1" t="s">
        <v>68</v>
      </c>
      <c r="D189" s="2">
        <v>35474</v>
      </c>
      <c r="E189" s="1" t="s">
        <v>435</v>
      </c>
      <c r="F189" s="1" t="s">
        <v>87</v>
      </c>
    </row>
    <row r="190" spans="1:6" ht="30" customHeight="1" x14ac:dyDescent="0.25">
      <c r="A190" s="1" t="s">
        <v>436</v>
      </c>
      <c r="B190" s="1" t="str">
        <f>"9780203360637"</f>
        <v>9780203360637</v>
      </c>
      <c r="C190" s="1" t="s">
        <v>68</v>
      </c>
      <c r="D190" s="2">
        <v>36692</v>
      </c>
      <c r="E190" s="1" t="s">
        <v>437</v>
      </c>
      <c r="F190" s="1" t="s">
        <v>438</v>
      </c>
    </row>
    <row r="191" spans="1:6" ht="30" customHeight="1" x14ac:dyDescent="0.25">
      <c r="A191" s="1" t="s">
        <v>439</v>
      </c>
      <c r="B191" s="1" t="str">
        <f>"9780203421130"</f>
        <v>9780203421130</v>
      </c>
      <c r="C191" s="1" t="s">
        <v>68</v>
      </c>
      <c r="D191" s="2">
        <v>34578</v>
      </c>
      <c r="E191" s="1" t="s">
        <v>440</v>
      </c>
      <c r="F191" s="1" t="s">
        <v>304</v>
      </c>
    </row>
    <row r="192" spans="1:6" ht="30" customHeight="1" x14ac:dyDescent="0.25">
      <c r="A192" s="1" t="s">
        <v>441</v>
      </c>
      <c r="B192" s="1" t="str">
        <f>"9780203421680"</f>
        <v>9780203421680</v>
      </c>
      <c r="C192" s="1" t="s">
        <v>68</v>
      </c>
      <c r="D192" s="2">
        <v>35320</v>
      </c>
      <c r="E192" s="1" t="s">
        <v>442</v>
      </c>
      <c r="F192" s="1" t="s">
        <v>30</v>
      </c>
    </row>
    <row r="193" spans="1:6" ht="30" customHeight="1" x14ac:dyDescent="0.25">
      <c r="A193" s="1" t="s">
        <v>443</v>
      </c>
      <c r="B193" s="1" t="str">
        <f>"9780203435243"</f>
        <v>9780203435243</v>
      </c>
      <c r="C193" s="1" t="s">
        <v>68</v>
      </c>
      <c r="D193" s="2">
        <v>34053</v>
      </c>
      <c r="E193" s="1" t="s">
        <v>444</v>
      </c>
      <c r="F193" s="1" t="s">
        <v>33</v>
      </c>
    </row>
    <row r="194" spans="1:6" ht="30" customHeight="1" x14ac:dyDescent="0.25">
      <c r="A194" s="1" t="s">
        <v>445</v>
      </c>
      <c r="B194" s="1" t="str">
        <f>"9780203461945"</f>
        <v>9780203461945</v>
      </c>
      <c r="C194" s="1" t="s">
        <v>93</v>
      </c>
      <c r="D194" s="2">
        <v>36580</v>
      </c>
      <c r="E194" s="1" t="s">
        <v>446</v>
      </c>
      <c r="F194" s="1" t="s">
        <v>30</v>
      </c>
    </row>
    <row r="195" spans="1:6" ht="30" customHeight="1" x14ac:dyDescent="0.25">
      <c r="A195" s="1" t="s">
        <v>447</v>
      </c>
      <c r="B195" s="1" t="str">
        <f>"9780203482841"</f>
        <v>9780203482841</v>
      </c>
      <c r="C195" s="1" t="s">
        <v>93</v>
      </c>
      <c r="D195" s="2">
        <v>37510</v>
      </c>
      <c r="E195" s="1" t="s">
        <v>448</v>
      </c>
      <c r="F195" s="1" t="s">
        <v>30</v>
      </c>
    </row>
    <row r="196" spans="1:6" ht="30" customHeight="1" x14ac:dyDescent="0.25">
      <c r="A196" s="1" t="s">
        <v>449</v>
      </c>
      <c r="B196" s="1" t="str">
        <f>"9780203495445"</f>
        <v>9780203495445</v>
      </c>
      <c r="C196" s="1" t="s">
        <v>68</v>
      </c>
      <c r="D196" s="2">
        <v>36703</v>
      </c>
      <c r="E196" s="1" t="s">
        <v>450</v>
      </c>
      <c r="F196" s="1" t="s">
        <v>95</v>
      </c>
    </row>
    <row r="197" spans="1:6" ht="30" customHeight="1" x14ac:dyDescent="0.25">
      <c r="A197" s="1" t="s">
        <v>451</v>
      </c>
      <c r="B197" s="1" t="str">
        <f>"9780203501993"</f>
        <v>9780203501993</v>
      </c>
      <c r="C197" s="1" t="s">
        <v>68</v>
      </c>
      <c r="D197" s="2">
        <v>35947</v>
      </c>
      <c r="E197" s="1" t="s">
        <v>452</v>
      </c>
      <c r="F197" s="1" t="s">
        <v>30</v>
      </c>
    </row>
    <row r="198" spans="1:6" ht="30" customHeight="1" x14ac:dyDescent="0.25">
      <c r="A198" s="1" t="s">
        <v>453</v>
      </c>
      <c r="B198" s="1" t="str">
        <f>"9780203903704"</f>
        <v>9780203903704</v>
      </c>
      <c r="C198" s="1" t="s">
        <v>68</v>
      </c>
      <c r="D198" s="2">
        <v>36281</v>
      </c>
      <c r="E198" s="1" t="s">
        <v>454</v>
      </c>
      <c r="F198" s="1" t="s">
        <v>13</v>
      </c>
    </row>
    <row r="199" spans="1:6" ht="30" customHeight="1" x14ac:dyDescent="0.25">
      <c r="A199" s="1" t="s">
        <v>455</v>
      </c>
      <c r="B199" s="1" t="str">
        <f>"9780203360989"</f>
        <v>9780203360989</v>
      </c>
      <c r="C199" s="1" t="s">
        <v>68</v>
      </c>
      <c r="D199" s="2">
        <v>36370</v>
      </c>
      <c r="E199" s="1" t="s">
        <v>456</v>
      </c>
      <c r="F199" s="1" t="s">
        <v>13</v>
      </c>
    </row>
    <row r="200" spans="1:6" ht="30" customHeight="1" x14ac:dyDescent="0.25">
      <c r="A200" s="1" t="s">
        <v>457</v>
      </c>
      <c r="B200" s="1" t="str">
        <f>"9780203380383"</f>
        <v>9780203380383</v>
      </c>
      <c r="C200" s="1" t="s">
        <v>68</v>
      </c>
      <c r="D200" s="2">
        <v>37704</v>
      </c>
      <c r="E200" s="1" t="s">
        <v>458</v>
      </c>
      <c r="F200" s="1" t="s">
        <v>294</v>
      </c>
    </row>
    <row r="201" spans="1:6" ht="30" customHeight="1" x14ac:dyDescent="0.25">
      <c r="A201" s="1" t="s">
        <v>459</v>
      </c>
      <c r="B201" s="1" t="str">
        <f>"9780203470480"</f>
        <v>9780203470480</v>
      </c>
      <c r="C201" s="1" t="s">
        <v>68</v>
      </c>
      <c r="D201" s="2">
        <v>36699</v>
      </c>
      <c r="E201" s="1" t="s">
        <v>460</v>
      </c>
      <c r="F201" s="1" t="s">
        <v>158</v>
      </c>
    </row>
    <row r="202" spans="1:6" ht="30" customHeight="1" x14ac:dyDescent="0.25">
      <c r="A202" s="1" t="s">
        <v>461</v>
      </c>
      <c r="B202" s="1" t="str">
        <f>"9780203473900"</f>
        <v>9780203473900</v>
      </c>
      <c r="C202" s="1" t="s">
        <v>68</v>
      </c>
      <c r="D202" s="2">
        <v>34011</v>
      </c>
      <c r="E202" s="1" t="s">
        <v>462</v>
      </c>
      <c r="F202" s="1" t="s">
        <v>30</v>
      </c>
    </row>
    <row r="203" spans="1:6" ht="30" customHeight="1" x14ac:dyDescent="0.25">
      <c r="A203" s="1" t="s">
        <v>463</v>
      </c>
      <c r="B203" s="1" t="str">
        <f>"9781482268034"</f>
        <v>9781482268034</v>
      </c>
      <c r="C203" s="1" t="s">
        <v>99</v>
      </c>
      <c r="D203" s="2">
        <v>36503</v>
      </c>
      <c r="E203" s="1" t="s">
        <v>464</v>
      </c>
      <c r="F203" s="1" t="s">
        <v>291</v>
      </c>
    </row>
    <row r="204" spans="1:6" ht="30" customHeight="1" x14ac:dyDescent="0.25">
      <c r="A204" s="1" t="s">
        <v>465</v>
      </c>
      <c r="B204" s="1" t="str">
        <f>"9780203489994"</f>
        <v>9780203489994</v>
      </c>
      <c r="C204" s="1" t="s">
        <v>172</v>
      </c>
      <c r="D204" s="2">
        <v>32925</v>
      </c>
      <c r="E204" s="1" t="s">
        <v>466</v>
      </c>
      <c r="F204" s="1" t="s">
        <v>137</v>
      </c>
    </row>
    <row r="205" spans="1:6" ht="30" customHeight="1" x14ac:dyDescent="0.25">
      <c r="A205" s="1" t="s">
        <v>467</v>
      </c>
      <c r="B205" s="1" t="str">
        <f>"9780203305515"</f>
        <v>9780203305515</v>
      </c>
      <c r="C205" s="1" t="s">
        <v>99</v>
      </c>
      <c r="D205" s="2">
        <v>41750</v>
      </c>
      <c r="E205" s="1" t="s">
        <v>468</v>
      </c>
      <c r="F205" s="1" t="s">
        <v>158</v>
      </c>
    </row>
    <row r="206" spans="1:6" ht="30" customHeight="1" x14ac:dyDescent="0.25">
      <c r="A206" s="1" t="s">
        <v>469</v>
      </c>
      <c r="B206" s="1" t="str">
        <f>"9780203214299"</f>
        <v>9780203214299</v>
      </c>
      <c r="C206" s="1" t="s">
        <v>68</v>
      </c>
      <c r="D206" s="2">
        <v>36800</v>
      </c>
      <c r="E206" s="1" t="s">
        <v>470</v>
      </c>
      <c r="F206" s="1" t="s">
        <v>13</v>
      </c>
    </row>
    <row r="207" spans="1:6" ht="30" customHeight="1" x14ac:dyDescent="0.25">
      <c r="A207" s="1" t="s">
        <v>471</v>
      </c>
      <c r="B207" s="1" t="str">
        <f>"9780203304297"</f>
        <v>9780203304297</v>
      </c>
      <c r="C207" s="1" t="s">
        <v>99</v>
      </c>
      <c r="D207" s="2">
        <v>41750</v>
      </c>
      <c r="E207" s="1" t="s">
        <v>472</v>
      </c>
      <c r="F207" s="1" t="s">
        <v>54</v>
      </c>
    </row>
    <row r="208" spans="1:6" ht="30" customHeight="1" x14ac:dyDescent="0.25">
      <c r="A208" s="1" t="s">
        <v>473</v>
      </c>
      <c r="B208" s="1" t="str">
        <f>"9780203304198"</f>
        <v>9780203304198</v>
      </c>
      <c r="C208" s="1" t="s">
        <v>99</v>
      </c>
      <c r="D208" s="2">
        <v>37866</v>
      </c>
      <c r="E208" s="1" t="s">
        <v>474</v>
      </c>
      <c r="F208" s="1" t="s">
        <v>475</v>
      </c>
    </row>
    <row r="209" spans="1:6" ht="30" customHeight="1" x14ac:dyDescent="0.25">
      <c r="A209" s="1" t="s">
        <v>476</v>
      </c>
      <c r="B209" s="1" t="str">
        <f>"9780203303610"</f>
        <v>9780203303610</v>
      </c>
      <c r="C209" s="1" t="s">
        <v>99</v>
      </c>
      <c r="D209" s="2">
        <v>41750</v>
      </c>
      <c r="E209" s="1" t="s">
        <v>477</v>
      </c>
      <c r="F209" s="1" t="s">
        <v>13</v>
      </c>
    </row>
    <row r="210" spans="1:6" ht="30" customHeight="1" x14ac:dyDescent="0.25">
      <c r="A210" s="1" t="s">
        <v>478</v>
      </c>
      <c r="B210" s="1" t="str">
        <f>"9780203303726"</f>
        <v>9780203303726</v>
      </c>
      <c r="C210" s="1" t="s">
        <v>99</v>
      </c>
      <c r="D210" s="2">
        <v>41750</v>
      </c>
      <c r="E210" s="1" t="s">
        <v>479</v>
      </c>
      <c r="F210" s="1" t="s">
        <v>480</v>
      </c>
    </row>
    <row r="211" spans="1:6" ht="30" customHeight="1" x14ac:dyDescent="0.25">
      <c r="A211" s="1" t="s">
        <v>481</v>
      </c>
      <c r="B211" s="1" t="str">
        <f>"9780203303832"</f>
        <v>9780203303832</v>
      </c>
      <c r="C211" s="1" t="s">
        <v>99</v>
      </c>
      <c r="D211" s="2">
        <v>36391</v>
      </c>
      <c r="E211" s="1" t="s">
        <v>482</v>
      </c>
      <c r="F211" s="1" t="s">
        <v>13</v>
      </c>
    </row>
    <row r="212" spans="1:6" ht="30" customHeight="1" x14ac:dyDescent="0.25">
      <c r="A212" s="1" t="s">
        <v>483</v>
      </c>
      <c r="B212" s="1" t="str">
        <f>"9780203304877"</f>
        <v>9780203304877</v>
      </c>
      <c r="C212" s="1" t="s">
        <v>172</v>
      </c>
      <c r="D212" s="2">
        <v>36161</v>
      </c>
      <c r="E212" s="1" t="s">
        <v>484</v>
      </c>
      <c r="F212" s="1" t="s">
        <v>13</v>
      </c>
    </row>
    <row r="213" spans="1:6" ht="30" customHeight="1" x14ac:dyDescent="0.25">
      <c r="A213" s="1" t="s">
        <v>485</v>
      </c>
      <c r="B213" s="1" t="str">
        <f>"9780203304952"</f>
        <v>9780203304952</v>
      </c>
      <c r="C213" s="1" t="s">
        <v>99</v>
      </c>
      <c r="D213" s="2">
        <v>41750</v>
      </c>
      <c r="E213" s="1" t="s">
        <v>486</v>
      </c>
      <c r="F213" s="1" t="s">
        <v>362</v>
      </c>
    </row>
    <row r="214" spans="1:6" ht="30" customHeight="1" x14ac:dyDescent="0.25">
      <c r="A214" s="1" t="s">
        <v>487</v>
      </c>
      <c r="B214" s="1" t="str">
        <f>"9780203463444"</f>
        <v>9780203463444</v>
      </c>
      <c r="C214" s="1" t="s">
        <v>93</v>
      </c>
      <c r="D214" s="2">
        <v>38274</v>
      </c>
      <c r="E214" s="1" t="s">
        <v>488</v>
      </c>
      <c r="F214" s="1" t="s">
        <v>13</v>
      </c>
    </row>
    <row r="215" spans="1:6" ht="30" customHeight="1" x14ac:dyDescent="0.25">
      <c r="A215" s="1" t="s">
        <v>489</v>
      </c>
      <c r="B215" s="1" t="str">
        <f>"9780203450413"</f>
        <v>9780203450413</v>
      </c>
      <c r="C215" s="1" t="s">
        <v>93</v>
      </c>
      <c r="D215" s="2">
        <v>36692</v>
      </c>
      <c r="E215" s="1" t="s">
        <v>490</v>
      </c>
      <c r="F215" s="1" t="s">
        <v>13</v>
      </c>
    </row>
    <row r="216" spans="1:6" ht="30" customHeight="1" x14ac:dyDescent="0.25">
      <c r="A216" s="1" t="s">
        <v>491</v>
      </c>
      <c r="B216" s="1" t="str">
        <f>"9780203450475"</f>
        <v>9780203450475</v>
      </c>
      <c r="C216" s="1" t="s">
        <v>172</v>
      </c>
      <c r="D216" s="2">
        <v>36678</v>
      </c>
      <c r="E216" s="1" t="s">
        <v>492</v>
      </c>
      <c r="F216" s="1" t="s">
        <v>13</v>
      </c>
    </row>
    <row r="217" spans="1:6" ht="30" customHeight="1" x14ac:dyDescent="0.25">
      <c r="A217" s="1" t="s">
        <v>493</v>
      </c>
      <c r="B217" s="1" t="str">
        <f>"9780203503058"</f>
        <v>9780203503058</v>
      </c>
      <c r="C217" s="1" t="s">
        <v>68</v>
      </c>
      <c r="D217" s="2">
        <v>38153</v>
      </c>
      <c r="E217" s="1" t="s">
        <v>494</v>
      </c>
      <c r="F217" s="1" t="s">
        <v>291</v>
      </c>
    </row>
    <row r="218" spans="1:6" ht="30" customHeight="1" x14ac:dyDescent="0.25">
      <c r="A218" s="1" t="s">
        <v>495</v>
      </c>
      <c r="B218" s="1" t="str">
        <f>"9780203490341"</f>
        <v>9780203490341</v>
      </c>
      <c r="C218" s="1" t="s">
        <v>93</v>
      </c>
      <c r="D218" s="2">
        <v>38200</v>
      </c>
      <c r="E218" s="1" t="s">
        <v>496</v>
      </c>
      <c r="F218" s="1" t="s">
        <v>13</v>
      </c>
    </row>
    <row r="219" spans="1:6" ht="30" customHeight="1" x14ac:dyDescent="0.25">
      <c r="A219" s="1" t="s">
        <v>497</v>
      </c>
      <c r="B219" s="1" t="str">
        <f>"9780203501665"</f>
        <v>9780203501665</v>
      </c>
      <c r="C219" s="1" t="s">
        <v>68</v>
      </c>
      <c r="D219" s="2">
        <v>38140</v>
      </c>
      <c r="E219" s="1" t="s">
        <v>498</v>
      </c>
      <c r="F219" s="1" t="s">
        <v>13</v>
      </c>
    </row>
    <row r="220" spans="1:6" ht="30" customHeight="1" x14ac:dyDescent="0.25">
      <c r="A220" s="1" t="s">
        <v>499</v>
      </c>
      <c r="B220" s="1" t="str">
        <f>"9780203490419"</f>
        <v>9780203490419</v>
      </c>
      <c r="C220" s="1" t="s">
        <v>68</v>
      </c>
      <c r="D220" s="2">
        <v>38047</v>
      </c>
      <c r="E220" s="1" t="s">
        <v>500</v>
      </c>
      <c r="F220" s="1" t="s">
        <v>13</v>
      </c>
    </row>
    <row r="221" spans="1:6" ht="30" customHeight="1" x14ac:dyDescent="0.25">
      <c r="A221" s="1" t="s">
        <v>501</v>
      </c>
      <c r="B221" s="1" t="str">
        <f>"9780203487938"</f>
        <v>9780203487938</v>
      </c>
      <c r="C221" s="1" t="s">
        <v>68</v>
      </c>
      <c r="D221" s="2">
        <v>38047</v>
      </c>
      <c r="E221" s="1" t="s">
        <v>502</v>
      </c>
      <c r="F221" s="1" t="s">
        <v>291</v>
      </c>
    </row>
    <row r="222" spans="1:6" ht="30" customHeight="1" x14ac:dyDescent="0.25">
      <c r="A222" s="1" t="s">
        <v>503</v>
      </c>
      <c r="B222" s="1" t="str">
        <f>"9780203505229"</f>
        <v>9780203505229</v>
      </c>
      <c r="C222" s="1" t="s">
        <v>68</v>
      </c>
      <c r="D222" s="2">
        <v>38064</v>
      </c>
      <c r="E222" s="1" t="s">
        <v>504</v>
      </c>
      <c r="F222" s="1" t="s">
        <v>13</v>
      </c>
    </row>
    <row r="223" spans="1:6" ht="30" customHeight="1" x14ac:dyDescent="0.25">
      <c r="A223" s="1" t="s">
        <v>505</v>
      </c>
      <c r="B223" s="1" t="str">
        <f>"9780203484104"</f>
        <v>9780203484104</v>
      </c>
      <c r="C223" s="1" t="s">
        <v>68</v>
      </c>
      <c r="D223" s="2">
        <v>38043</v>
      </c>
      <c r="E223" s="1" t="s">
        <v>506</v>
      </c>
      <c r="F223" s="1" t="s">
        <v>13</v>
      </c>
    </row>
    <row r="224" spans="1:6" ht="30" customHeight="1" x14ac:dyDescent="0.25">
      <c r="A224" s="1" t="s">
        <v>507</v>
      </c>
      <c r="B224" s="1" t="str">
        <f>"9780203500620"</f>
        <v>9780203500620</v>
      </c>
      <c r="C224" s="1" t="s">
        <v>68</v>
      </c>
      <c r="D224" s="2">
        <v>38140</v>
      </c>
      <c r="E224" s="1" t="s">
        <v>508</v>
      </c>
      <c r="F224" s="1" t="s">
        <v>13</v>
      </c>
    </row>
    <row r="225" spans="1:6" ht="30" customHeight="1" x14ac:dyDescent="0.25">
      <c r="A225" s="1" t="s">
        <v>509</v>
      </c>
      <c r="B225" s="1" t="str">
        <f>"9780203504925"</f>
        <v>9780203504925</v>
      </c>
      <c r="C225" s="1" t="s">
        <v>68</v>
      </c>
      <c r="D225" s="2">
        <v>38092</v>
      </c>
      <c r="E225" s="1" t="s">
        <v>510</v>
      </c>
      <c r="F225" s="1" t="s">
        <v>13</v>
      </c>
    </row>
    <row r="226" spans="1:6" ht="30" customHeight="1" x14ac:dyDescent="0.25">
      <c r="A226" s="1" t="s">
        <v>511</v>
      </c>
      <c r="B226" s="1" t="str">
        <f>"9780470020630"</f>
        <v>9780470020630</v>
      </c>
      <c r="C226" s="1" t="s">
        <v>65</v>
      </c>
      <c r="D226" s="2">
        <v>38184</v>
      </c>
      <c r="E226" s="1" t="s">
        <v>512</v>
      </c>
      <c r="F226" s="1" t="s">
        <v>13</v>
      </c>
    </row>
    <row r="227" spans="1:6" ht="30" customHeight="1" x14ac:dyDescent="0.25">
      <c r="A227" s="1" t="s">
        <v>513</v>
      </c>
      <c r="B227" s="1" t="str">
        <f>"9780470091425"</f>
        <v>9780470091425</v>
      </c>
      <c r="C227" s="1" t="s">
        <v>65</v>
      </c>
      <c r="D227" s="2">
        <v>38197</v>
      </c>
      <c r="E227" s="1" t="s">
        <v>514</v>
      </c>
      <c r="F227" s="1" t="s">
        <v>13</v>
      </c>
    </row>
    <row r="228" spans="1:6" ht="30" customHeight="1" x14ac:dyDescent="0.25">
      <c r="A228" s="1" t="s">
        <v>515</v>
      </c>
      <c r="B228" s="1" t="str">
        <f>"9780833035936"</f>
        <v>9780833035936</v>
      </c>
      <c r="C228" s="1" t="s">
        <v>516</v>
      </c>
      <c r="D228" s="2">
        <v>37974</v>
      </c>
      <c r="E228" s="1" t="s">
        <v>517</v>
      </c>
      <c r="F228" s="1" t="s">
        <v>158</v>
      </c>
    </row>
    <row r="229" spans="1:6" ht="30" customHeight="1" x14ac:dyDescent="0.25">
      <c r="A229" s="1" t="s">
        <v>518</v>
      </c>
      <c r="B229" s="1" t="str">
        <f>"9780833036032"</f>
        <v>9780833036032</v>
      </c>
      <c r="C229" s="1" t="s">
        <v>516</v>
      </c>
      <c r="D229" s="2">
        <v>37854</v>
      </c>
      <c r="E229" s="1" t="s">
        <v>519</v>
      </c>
      <c r="F229" s="1" t="s">
        <v>30</v>
      </c>
    </row>
    <row r="230" spans="1:6" ht="30" customHeight="1" x14ac:dyDescent="0.25">
      <c r="A230" s="1" t="s">
        <v>520</v>
      </c>
      <c r="B230" s="1" t="str">
        <f>"9780203362815"</f>
        <v>9780203362815</v>
      </c>
      <c r="C230" s="1" t="s">
        <v>99</v>
      </c>
      <c r="D230" s="2">
        <v>36832</v>
      </c>
      <c r="E230" s="1" t="s">
        <v>521</v>
      </c>
      <c r="F230" s="1" t="s">
        <v>214</v>
      </c>
    </row>
    <row r="231" spans="1:6" ht="30" customHeight="1" x14ac:dyDescent="0.25">
      <c r="A231" s="1" t="s">
        <v>522</v>
      </c>
      <c r="B231" s="1" t="str">
        <f>"9781135480295"</f>
        <v>9781135480295</v>
      </c>
      <c r="C231" s="1" t="s">
        <v>93</v>
      </c>
      <c r="D231" s="2">
        <v>38047</v>
      </c>
      <c r="E231" s="1" t="s">
        <v>523</v>
      </c>
      <c r="F231" s="1" t="s">
        <v>13</v>
      </c>
    </row>
    <row r="232" spans="1:6" ht="30" customHeight="1" x14ac:dyDescent="0.25">
      <c r="A232" s="1" t="s">
        <v>524</v>
      </c>
      <c r="B232" s="1" t="str">
        <f>"9781135453206"</f>
        <v>9781135453206</v>
      </c>
      <c r="C232" s="1" t="s">
        <v>68</v>
      </c>
      <c r="D232" s="2">
        <v>38140</v>
      </c>
      <c r="E232" s="1" t="s">
        <v>525</v>
      </c>
      <c r="F232" s="1" t="s">
        <v>158</v>
      </c>
    </row>
    <row r="233" spans="1:6" ht="30" customHeight="1" x14ac:dyDescent="0.25">
      <c r="A233" s="1" t="s">
        <v>526</v>
      </c>
      <c r="B233" s="1" t="str">
        <f>"9780203490327"</f>
        <v>9780203490327</v>
      </c>
      <c r="C233" s="1" t="s">
        <v>68</v>
      </c>
      <c r="D233" s="2">
        <v>38047</v>
      </c>
      <c r="E233" s="1" t="s">
        <v>527</v>
      </c>
      <c r="F233" s="1" t="s">
        <v>13</v>
      </c>
    </row>
    <row r="234" spans="1:6" ht="30" customHeight="1" x14ac:dyDescent="0.25">
      <c r="A234" s="1" t="s">
        <v>528</v>
      </c>
      <c r="B234" s="1" t="str">
        <f>"9780203503553"</f>
        <v>9780203503553</v>
      </c>
      <c r="C234" s="1" t="s">
        <v>68</v>
      </c>
      <c r="D234" s="2">
        <v>38140</v>
      </c>
      <c r="E234" s="1" t="s">
        <v>529</v>
      </c>
      <c r="F234" s="1" t="s">
        <v>13</v>
      </c>
    </row>
    <row r="235" spans="1:6" ht="30" customHeight="1" x14ac:dyDescent="0.25">
      <c r="A235" s="1" t="s">
        <v>530</v>
      </c>
      <c r="B235" s="1" t="str">
        <f>"9780203493502"</f>
        <v>9780203493502</v>
      </c>
      <c r="C235" s="1" t="s">
        <v>93</v>
      </c>
      <c r="D235" s="2">
        <v>38579</v>
      </c>
      <c r="E235" s="1" t="s">
        <v>531</v>
      </c>
      <c r="F235" s="1" t="s">
        <v>13</v>
      </c>
    </row>
    <row r="236" spans="1:6" ht="30" customHeight="1" x14ac:dyDescent="0.25">
      <c r="A236" s="1" t="s">
        <v>532</v>
      </c>
      <c r="B236" s="1" t="str">
        <f>"9780203695531"</f>
        <v>9780203695531</v>
      </c>
      <c r="C236" s="1" t="s">
        <v>68</v>
      </c>
      <c r="D236" s="2">
        <v>38140</v>
      </c>
      <c r="E236" s="1" t="s">
        <v>533</v>
      </c>
      <c r="F236" s="1" t="s">
        <v>13</v>
      </c>
    </row>
    <row r="237" spans="1:6" ht="30" customHeight="1" x14ac:dyDescent="0.25">
      <c r="A237" s="1" t="s">
        <v>534</v>
      </c>
      <c r="B237" s="1" t="str">
        <f>"9780203310540"</f>
        <v>9780203310540</v>
      </c>
      <c r="C237" s="1" t="s">
        <v>93</v>
      </c>
      <c r="D237" s="2">
        <v>38248</v>
      </c>
      <c r="E237" s="1" t="s">
        <v>535</v>
      </c>
      <c r="F237" s="1" t="s">
        <v>13</v>
      </c>
    </row>
    <row r="238" spans="1:6" ht="30" customHeight="1" x14ac:dyDescent="0.25">
      <c r="A238" s="1" t="s">
        <v>536</v>
      </c>
      <c r="B238" s="1" t="str">
        <f>"9780203336052"</f>
        <v>9780203336052</v>
      </c>
      <c r="C238" s="1" t="s">
        <v>93</v>
      </c>
      <c r="D238" s="2">
        <v>38201</v>
      </c>
      <c r="E238" s="1" t="s">
        <v>537</v>
      </c>
      <c r="F238" s="1" t="s">
        <v>538</v>
      </c>
    </row>
    <row r="239" spans="1:6" ht="30" customHeight="1" x14ac:dyDescent="0.25">
      <c r="A239" s="1" t="s">
        <v>539</v>
      </c>
      <c r="B239" s="1" t="str">
        <f>"9780203319178"</f>
        <v>9780203319178</v>
      </c>
      <c r="C239" s="1" t="s">
        <v>68</v>
      </c>
      <c r="D239" s="2">
        <v>38257</v>
      </c>
      <c r="E239" s="1" t="s">
        <v>540</v>
      </c>
      <c r="F239" s="1" t="s">
        <v>541</v>
      </c>
    </row>
    <row r="240" spans="1:6" ht="30" customHeight="1" x14ac:dyDescent="0.25">
      <c r="A240" s="1" t="s">
        <v>542</v>
      </c>
      <c r="B240" s="1" t="str">
        <f>"9780203341049"</f>
        <v>9780203341049</v>
      </c>
      <c r="C240" s="1" t="s">
        <v>68</v>
      </c>
      <c r="D240" s="2">
        <v>38225</v>
      </c>
      <c r="E240" s="1" t="s">
        <v>543</v>
      </c>
      <c r="F240" s="1" t="s">
        <v>13</v>
      </c>
    </row>
    <row r="241" spans="1:6" ht="30" customHeight="1" x14ac:dyDescent="0.25">
      <c r="A241" s="1" t="s">
        <v>544</v>
      </c>
      <c r="B241" s="1" t="str">
        <f>"9780203314616"</f>
        <v>9780203314616</v>
      </c>
      <c r="C241" s="1" t="s">
        <v>68</v>
      </c>
      <c r="D241" s="2">
        <v>38225</v>
      </c>
      <c r="E241" s="1" t="s">
        <v>545</v>
      </c>
      <c r="F241" s="1" t="s">
        <v>13</v>
      </c>
    </row>
    <row r="242" spans="1:6" ht="30" customHeight="1" x14ac:dyDescent="0.25">
      <c r="A242" s="1" t="s">
        <v>546</v>
      </c>
      <c r="B242" s="1" t="str">
        <f>"9780203695098"</f>
        <v>9780203695098</v>
      </c>
      <c r="C242" s="1" t="s">
        <v>68</v>
      </c>
      <c r="D242" s="2">
        <v>38201</v>
      </c>
      <c r="E242" s="1" t="s">
        <v>547</v>
      </c>
      <c r="F242" s="1" t="s">
        <v>13</v>
      </c>
    </row>
    <row r="243" spans="1:6" ht="30" customHeight="1" x14ac:dyDescent="0.25">
      <c r="A243" s="1" t="s">
        <v>548</v>
      </c>
      <c r="B243" s="1" t="str">
        <f>"9780203646908"</f>
        <v>9780203646908</v>
      </c>
      <c r="C243" s="1" t="s">
        <v>93</v>
      </c>
      <c r="D243" s="2">
        <v>38298</v>
      </c>
      <c r="E243" s="1" t="s">
        <v>549</v>
      </c>
      <c r="F243" s="1" t="s">
        <v>148</v>
      </c>
    </row>
    <row r="244" spans="1:6" ht="30" customHeight="1" x14ac:dyDescent="0.25">
      <c r="A244" s="1" t="s">
        <v>550</v>
      </c>
      <c r="B244" s="1" t="str">
        <f>"9781135453343"</f>
        <v>9781135453343</v>
      </c>
      <c r="C244" s="1" t="s">
        <v>68</v>
      </c>
      <c r="D244" s="2">
        <v>38201</v>
      </c>
      <c r="E244" s="1" t="s">
        <v>551</v>
      </c>
      <c r="F244" s="1" t="s">
        <v>13</v>
      </c>
    </row>
    <row r="245" spans="1:6" ht="30" customHeight="1" x14ac:dyDescent="0.25">
      <c r="A245" s="1" t="s">
        <v>552</v>
      </c>
      <c r="B245" s="1" t="str">
        <f>"9780203448861"</f>
        <v>9780203448861</v>
      </c>
      <c r="C245" s="1" t="s">
        <v>93</v>
      </c>
      <c r="D245" s="2">
        <v>38155</v>
      </c>
      <c r="E245" s="1" t="s">
        <v>553</v>
      </c>
      <c r="F245" s="1" t="s">
        <v>13</v>
      </c>
    </row>
    <row r="246" spans="1:6" ht="30" customHeight="1" x14ac:dyDescent="0.25">
      <c r="A246" s="1" t="s">
        <v>554</v>
      </c>
      <c r="B246" s="1" t="str">
        <f>"9781135444945"</f>
        <v>9781135444945</v>
      </c>
      <c r="C246" s="1" t="s">
        <v>68</v>
      </c>
      <c r="D246" s="2">
        <v>38201</v>
      </c>
      <c r="E246" s="1" t="s">
        <v>555</v>
      </c>
      <c r="F246" s="1" t="s">
        <v>13</v>
      </c>
    </row>
    <row r="247" spans="1:6" ht="30" customHeight="1" x14ac:dyDescent="0.25">
      <c r="A247" s="1" t="s">
        <v>556</v>
      </c>
      <c r="B247" s="1" t="str">
        <f>"9780203344187"</f>
        <v>9780203344187</v>
      </c>
      <c r="C247" s="1" t="s">
        <v>68</v>
      </c>
      <c r="D247" s="2">
        <v>35769</v>
      </c>
      <c r="E247" s="1" t="s">
        <v>557</v>
      </c>
      <c r="F247" s="1" t="s">
        <v>127</v>
      </c>
    </row>
    <row r="248" spans="1:6" ht="30" customHeight="1" x14ac:dyDescent="0.25">
      <c r="A248" s="1" t="s">
        <v>558</v>
      </c>
      <c r="B248" s="1" t="str">
        <f>"9780203345368"</f>
        <v>9780203345368</v>
      </c>
      <c r="C248" s="1" t="s">
        <v>172</v>
      </c>
      <c r="D248" s="2">
        <v>35947</v>
      </c>
      <c r="E248" s="1" t="s">
        <v>559</v>
      </c>
      <c r="F248" s="1" t="s">
        <v>13</v>
      </c>
    </row>
    <row r="249" spans="1:6" ht="30" customHeight="1" x14ac:dyDescent="0.25">
      <c r="A249" s="1" t="s">
        <v>560</v>
      </c>
      <c r="B249" s="1" t="str">
        <f>"9780511155581"</f>
        <v>9780511155581</v>
      </c>
      <c r="C249" s="1" t="s">
        <v>25</v>
      </c>
      <c r="D249" s="2">
        <v>37203</v>
      </c>
      <c r="E249" s="1" t="s">
        <v>561</v>
      </c>
      <c r="F249" s="1" t="s">
        <v>13</v>
      </c>
    </row>
    <row r="250" spans="1:6" ht="30" customHeight="1" x14ac:dyDescent="0.25">
      <c r="A250" s="1" t="s">
        <v>562</v>
      </c>
      <c r="B250" s="1" t="str">
        <f>"9780511156519"</f>
        <v>9780511156519</v>
      </c>
      <c r="C250" s="1" t="s">
        <v>25</v>
      </c>
      <c r="D250" s="2">
        <v>36979</v>
      </c>
      <c r="E250" s="1" t="s">
        <v>563</v>
      </c>
      <c r="F250" s="1" t="s">
        <v>70</v>
      </c>
    </row>
    <row r="251" spans="1:6" ht="30" customHeight="1" x14ac:dyDescent="0.25">
      <c r="A251" s="1" t="s">
        <v>564</v>
      </c>
      <c r="B251" s="1" t="str">
        <f>"9780511155222"</f>
        <v>9780511155222</v>
      </c>
      <c r="C251" s="1" t="s">
        <v>25</v>
      </c>
      <c r="D251" s="2">
        <v>36097</v>
      </c>
      <c r="E251" s="1" t="s">
        <v>565</v>
      </c>
      <c r="F251" s="1" t="s">
        <v>13</v>
      </c>
    </row>
    <row r="252" spans="1:6" ht="30" customHeight="1" x14ac:dyDescent="0.25">
      <c r="A252" s="1" t="s">
        <v>566</v>
      </c>
      <c r="B252" s="1" t="str">
        <f>"9780511155215"</f>
        <v>9780511155215</v>
      </c>
      <c r="C252" s="1" t="s">
        <v>25</v>
      </c>
      <c r="D252" s="2">
        <v>36132</v>
      </c>
      <c r="E252" s="1" t="s">
        <v>567</v>
      </c>
      <c r="F252" s="1" t="s">
        <v>13</v>
      </c>
    </row>
    <row r="253" spans="1:6" ht="30" customHeight="1" x14ac:dyDescent="0.25">
      <c r="A253" s="1" t="s">
        <v>568</v>
      </c>
      <c r="B253" s="1" t="str">
        <f>"9780511154683"</f>
        <v>9780511154683</v>
      </c>
      <c r="C253" s="1" t="s">
        <v>25</v>
      </c>
      <c r="D253" s="2">
        <v>36580</v>
      </c>
      <c r="E253" s="1" t="s">
        <v>569</v>
      </c>
      <c r="F253" s="1" t="s">
        <v>114</v>
      </c>
    </row>
    <row r="254" spans="1:6" ht="30" customHeight="1" x14ac:dyDescent="0.25">
      <c r="A254" s="1" t="s">
        <v>570</v>
      </c>
      <c r="B254" s="1" t="str">
        <f>"9780511155239"</f>
        <v>9780511155239</v>
      </c>
      <c r="C254" s="1" t="s">
        <v>25</v>
      </c>
      <c r="D254" s="2">
        <v>36601</v>
      </c>
      <c r="E254" s="1" t="s">
        <v>571</v>
      </c>
      <c r="F254" s="1" t="s">
        <v>13</v>
      </c>
    </row>
    <row r="255" spans="1:6" ht="30" customHeight="1" x14ac:dyDescent="0.25">
      <c r="A255" s="1" t="s">
        <v>572</v>
      </c>
      <c r="B255" s="1" t="str">
        <f>"9780511155161"</f>
        <v>9780511155161</v>
      </c>
      <c r="C255" s="1" t="s">
        <v>25</v>
      </c>
      <c r="D255" s="2">
        <v>36398</v>
      </c>
      <c r="E255" s="1" t="s">
        <v>573</v>
      </c>
      <c r="F255" s="1" t="s">
        <v>30</v>
      </c>
    </row>
    <row r="256" spans="1:6" ht="30" customHeight="1" x14ac:dyDescent="0.25">
      <c r="A256" s="1" t="s">
        <v>574</v>
      </c>
      <c r="B256" s="1" t="str">
        <f>"9780511152870"</f>
        <v>9780511152870</v>
      </c>
      <c r="C256" s="1" t="s">
        <v>25</v>
      </c>
      <c r="D256" s="2">
        <v>37049</v>
      </c>
      <c r="E256" s="1" t="s">
        <v>575</v>
      </c>
      <c r="F256" s="1" t="s">
        <v>13</v>
      </c>
    </row>
    <row r="257" spans="1:6" ht="30" customHeight="1" x14ac:dyDescent="0.25">
      <c r="A257" s="1" t="s">
        <v>576</v>
      </c>
      <c r="B257" s="1" t="str">
        <f>"9780511151842"</f>
        <v>9780511151842</v>
      </c>
      <c r="C257" s="1" t="s">
        <v>25</v>
      </c>
      <c r="D257" s="2">
        <v>36475</v>
      </c>
      <c r="E257" s="1" t="s">
        <v>577</v>
      </c>
      <c r="F257" s="1" t="s">
        <v>13</v>
      </c>
    </row>
    <row r="258" spans="1:6" ht="30" customHeight="1" x14ac:dyDescent="0.25">
      <c r="A258" s="1" t="s">
        <v>578</v>
      </c>
      <c r="B258" s="1" t="str">
        <f>"9780511157349"</f>
        <v>9780511157349</v>
      </c>
      <c r="C258" s="1" t="s">
        <v>25</v>
      </c>
      <c r="D258" s="2">
        <v>37343</v>
      </c>
      <c r="E258" s="1" t="s">
        <v>579</v>
      </c>
      <c r="F258" s="1" t="s">
        <v>13</v>
      </c>
    </row>
    <row r="259" spans="1:6" ht="30" customHeight="1" x14ac:dyDescent="0.25">
      <c r="A259" s="1" t="s">
        <v>580</v>
      </c>
      <c r="B259" s="1" t="str">
        <f>"9780511153587"</f>
        <v>9780511153587</v>
      </c>
      <c r="C259" s="1" t="s">
        <v>25</v>
      </c>
      <c r="D259" s="2">
        <v>36468</v>
      </c>
      <c r="E259" s="1" t="s">
        <v>581</v>
      </c>
      <c r="F259" s="1" t="s">
        <v>356</v>
      </c>
    </row>
    <row r="260" spans="1:6" ht="30" customHeight="1" x14ac:dyDescent="0.25">
      <c r="A260" s="1" t="s">
        <v>582</v>
      </c>
      <c r="B260" s="1" t="str">
        <f>"9780511153259"</f>
        <v>9780511153259</v>
      </c>
      <c r="C260" s="1" t="s">
        <v>25</v>
      </c>
      <c r="D260" s="2">
        <v>36762</v>
      </c>
      <c r="E260" s="1" t="s">
        <v>583</v>
      </c>
      <c r="F260" s="1" t="s">
        <v>13</v>
      </c>
    </row>
    <row r="261" spans="1:6" ht="30" customHeight="1" x14ac:dyDescent="0.25">
      <c r="A261" s="1" t="s">
        <v>584</v>
      </c>
      <c r="B261" s="1" t="str">
        <f>"9780511153754"</f>
        <v>9780511153754</v>
      </c>
      <c r="C261" s="1" t="s">
        <v>25</v>
      </c>
      <c r="D261" s="2">
        <v>36846</v>
      </c>
      <c r="E261" s="1" t="s">
        <v>585</v>
      </c>
      <c r="F261" s="1" t="s">
        <v>13</v>
      </c>
    </row>
    <row r="262" spans="1:6" ht="30" customHeight="1" x14ac:dyDescent="0.25">
      <c r="A262" s="1" t="s">
        <v>586</v>
      </c>
      <c r="B262" s="1" t="str">
        <f>"9780511155192"</f>
        <v>9780511155192</v>
      </c>
      <c r="C262" s="1" t="s">
        <v>25</v>
      </c>
      <c r="D262" s="2">
        <v>36531</v>
      </c>
      <c r="E262" s="1" t="s">
        <v>587</v>
      </c>
      <c r="F262" s="1" t="s">
        <v>30</v>
      </c>
    </row>
    <row r="263" spans="1:6" ht="30" customHeight="1" x14ac:dyDescent="0.25">
      <c r="A263" s="1" t="s">
        <v>588</v>
      </c>
      <c r="B263" s="1" t="str">
        <f>"9780511154584"</f>
        <v>9780511154584</v>
      </c>
      <c r="C263" s="1" t="s">
        <v>25</v>
      </c>
      <c r="D263" s="2">
        <v>37147</v>
      </c>
      <c r="E263" s="1" t="s">
        <v>589</v>
      </c>
      <c r="F263" s="1" t="s">
        <v>21</v>
      </c>
    </row>
    <row r="264" spans="1:6" ht="30" customHeight="1" x14ac:dyDescent="0.25">
      <c r="A264" s="1" t="s">
        <v>590</v>
      </c>
      <c r="B264" s="1" t="str">
        <f>"9780511155048"</f>
        <v>9780511155048</v>
      </c>
      <c r="C264" s="1" t="s">
        <v>25</v>
      </c>
      <c r="D264" s="2">
        <v>37168</v>
      </c>
      <c r="E264" s="1" t="s">
        <v>591</v>
      </c>
      <c r="F264" s="1" t="s">
        <v>13</v>
      </c>
    </row>
    <row r="265" spans="1:6" ht="30" customHeight="1" x14ac:dyDescent="0.25">
      <c r="A265" s="1" t="s">
        <v>593</v>
      </c>
      <c r="B265" s="1" t="str">
        <f>"9780511157844"</f>
        <v>9780511157844</v>
      </c>
      <c r="C265" s="1" t="s">
        <v>25</v>
      </c>
      <c r="D265" s="2">
        <v>37420</v>
      </c>
      <c r="E265" s="1" t="s">
        <v>594</v>
      </c>
      <c r="F265" s="1" t="s">
        <v>13</v>
      </c>
    </row>
    <row r="266" spans="1:6" ht="30" customHeight="1" x14ac:dyDescent="0.25">
      <c r="A266" s="1" t="s">
        <v>595</v>
      </c>
      <c r="B266" s="1" t="str">
        <f>"9780511155208"</f>
        <v>9780511155208</v>
      </c>
      <c r="C266" s="1" t="s">
        <v>25</v>
      </c>
      <c r="D266" s="2">
        <v>36369</v>
      </c>
      <c r="E266" s="1" t="s">
        <v>596</v>
      </c>
      <c r="F266" s="1" t="s">
        <v>13</v>
      </c>
    </row>
    <row r="267" spans="1:6" ht="30" customHeight="1" x14ac:dyDescent="0.25">
      <c r="A267" s="1" t="s">
        <v>597</v>
      </c>
      <c r="B267" s="1" t="str">
        <f>"9780511154546"</f>
        <v>9780511154546</v>
      </c>
      <c r="C267" s="1" t="s">
        <v>25</v>
      </c>
      <c r="D267" s="2">
        <v>37161</v>
      </c>
      <c r="E267" s="1" t="s">
        <v>598</v>
      </c>
      <c r="F267" s="1" t="s">
        <v>599</v>
      </c>
    </row>
    <row r="268" spans="1:6" ht="30" customHeight="1" x14ac:dyDescent="0.25">
      <c r="A268" s="1" t="s">
        <v>600</v>
      </c>
      <c r="B268" s="1" t="str">
        <f>"9780511154065"</f>
        <v>9780511154065</v>
      </c>
      <c r="C268" s="1" t="s">
        <v>25</v>
      </c>
      <c r="D268" s="2">
        <v>37140</v>
      </c>
      <c r="E268" s="1" t="s">
        <v>601</v>
      </c>
      <c r="F268" s="1" t="s">
        <v>291</v>
      </c>
    </row>
    <row r="269" spans="1:6" ht="30" customHeight="1" x14ac:dyDescent="0.25">
      <c r="A269" s="1" t="s">
        <v>602</v>
      </c>
      <c r="B269" s="1" t="str">
        <f>"9780511157967"</f>
        <v>9780511157967</v>
      </c>
      <c r="C269" s="1" t="s">
        <v>25</v>
      </c>
      <c r="D269" s="2">
        <v>37413</v>
      </c>
      <c r="E269" s="1" t="s">
        <v>603</v>
      </c>
      <c r="F269" s="1" t="s">
        <v>158</v>
      </c>
    </row>
    <row r="270" spans="1:6" ht="30" customHeight="1" x14ac:dyDescent="0.25">
      <c r="A270" s="1" t="s">
        <v>604</v>
      </c>
      <c r="B270" s="1" t="str">
        <f>"9780511148361"</f>
        <v>9780511148361</v>
      </c>
      <c r="C270" s="1" t="s">
        <v>25</v>
      </c>
      <c r="D270" s="2">
        <v>37497</v>
      </c>
      <c r="E270" s="1" t="s">
        <v>605</v>
      </c>
      <c r="F270" s="1" t="s">
        <v>137</v>
      </c>
    </row>
    <row r="271" spans="1:6" ht="30" customHeight="1" x14ac:dyDescent="0.25">
      <c r="A271" s="1" t="s">
        <v>606</v>
      </c>
      <c r="B271" s="1" t="str">
        <f>"9780511147821"</f>
        <v>9780511147821</v>
      </c>
      <c r="C271" s="1" t="s">
        <v>25</v>
      </c>
      <c r="D271" s="2">
        <v>37448</v>
      </c>
      <c r="E271" s="1" t="s">
        <v>607</v>
      </c>
      <c r="F271" s="1" t="s">
        <v>13</v>
      </c>
    </row>
    <row r="272" spans="1:6" ht="30" customHeight="1" x14ac:dyDescent="0.25">
      <c r="A272" s="1" t="s">
        <v>608</v>
      </c>
      <c r="B272" s="1" t="str">
        <f>"9780511157158"</f>
        <v>9780511157158</v>
      </c>
      <c r="C272" s="1" t="s">
        <v>25</v>
      </c>
      <c r="D272" s="2">
        <v>37364</v>
      </c>
      <c r="E272" s="1" t="s">
        <v>609</v>
      </c>
      <c r="F272" s="1" t="s">
        <v>21</v>
      </c>
    </row>
    <row r="273" spans="1:6" ht="30" customHeight="1" x14ac:dyDescent="0.25">
      <c r="A273" s="1" t="s">
        <v>610</v>
      </c>
      <c r="B273" s="1" t="str">
        <f>"9780511157301"</f>
        <v>9780511157301</v>
      </c>
      <c r="C273" s="1" t="s">
        <v>25</v>
      </c>
      <c r="D273" s="2">
        <v>37371</v>
      </c>
      <c r="E273" s="1" t="s">
        <v>611</v>
      </c>
      <c r="F273" s="1" t="s">
        <v>205</v>
      </c>
    </row>
    <row r="274" spans="1:6" ht="30" customHeight="1" x14ac:dyDescent="0.25">
      <c r="A274" s="1" t="s">
        <v>612</v>
      </c>
      <c r="B274" s="1" t="str">
        <f>"9780511158209"</f>
        <v>9780511158209</v>
      </c>
      <c r="C274" s="1" t="s">
        <v>25</v>
      </c>
      <c r="D274" s="2">
        <v>37448</v>
      </c>
      <c r="E274" s="1" t="s">
        <v>613</v>
      </c>
      <c r="F274" s="1" t="s">
        <v>104</v>
      </c>
    </row>
    <row r="275" spans="1:6" ht="30" customHeight="1" x14ac:dyDescent="0.25">
      <c r="A275" s="1" t="s">
        <v>614</v>
      </c>
      <c r="B275" s="1" t="str">
        <f>"9780511153372"</f>
        <v>9780511153372</v>
      </c>
      <c r="C275" s="1" t="s">
        <v>25</v>
      </c>
      <c r="D275" s="2">
        <v>37070</v>
      </c>
      <c r="E275" s="1" t="s">
        <v>615</v>
      </c>
      <c r="F275" s="1" t="s">
        <v>30</v>
      </c>
    </row>
    <row r="276" spans="1:6" ht="30" customHeight="1" x14ac:dyDescent="0.25">
      <c r="A276" s="1" t="s">
        <v>616</v>
      </c>
      <c r="B276" s="1" t="str">
        <f>"9780511148491"</f>
        <v>9780511148491</v>
      </c>
      <c r="C276" s="1" t="s">
        <v>25</v>
      </c>
      <c r="D276" s="2">
        <v>36843</v>
      </c>
      <c r="E276" s="1" t="s">
        <v>617</v>
      </c>
      <c r="F276" s="1" t="s">
        <v>13</v>
      </c>
    </row>
    <row r="277" spans="1:6" ht="30" customHeight="1" x14ac:dyDescent="0.25">
      <c r="A277" s="1" t="s">
        <v>618</v>
      </c>
      <c r="B277" s="1" t="str">
        <f>"9780833034151"</f>
        <v>9780833034151</v>
      </c>
      <c r="C277" s="1" t="s">
        <v>516</v>
      </c>
      <c r="D277" s="2">
        <v>37699</v>
      </c>
      <c r="E277" s="1" t="s">
        <v>619</v>
      </c>
      <c r="F277" s="1" t="s">
        <v>95</v>
      </c>
    </row>
    <row r="278" spans="1:6" ht="30" customHeight="1" x14ac:dyDescent="0.25">
      <c r="A278" s="1" t="s">
        <v>620</v>
      </c>
      <c r="B278" s="1" t="str">
        <f>"9780470020401"</f>
        <v>9780470020401</v>
      </c>
      <c r="C278" s="1" t="s">
        <v>65</v>
      </c>
      <c r="D278" s="2">
        <v>38310</v>
      </c>
      <c r="E278" s="1" t="s">
        <v>621</v>
      </c>
      <c r="F278" s="1" t="s">
        <v>13</v>
      </c>
    </row>
    <row r="279" spans="1:6" ht="30" customHeight="1" x14ac:dyDescent="0.25">
      <c r="A279" s="1" t="s">
        <v>622</v>
      </c>
      <c r="B279" s="1" t="str">
        <f>"9780470862896"</f>
        <v>9780470862896</v>
      </c>
      <c r="C279" s="1" t="s">
        <v>65</v>
      </c>
      <c r="D279" s="2">
        <v>38310</v>
      </c>
      <c r="E279" s="1" t="s">
        <v>623</v>
      </c>
      <c r="F279" s="1" t="s">
        <v>13</v>
      </c>
    </row>
    <row r="280" spans="1:6" ht="30" customHeight="1" x14ac:dyDescent="0.25">
      <c r="A280" s="1" t="s">
        <v>624</v>
      </c>
      <c r="B280" s="1" t="str">
        <f>"9780470867587"</f>
        <v>9780470867587</v>
      </c>
      <c r="C280" s="1" t="s">
        <v>65</v>
      </c>
      <c r="D280" s="2">
        <v>38310</v>
      </c>
      <c r="E280" s="1" t="s">
        <v>625</v>
      </c>
      <c r="F280" s="1" t="s">
        <v>13</v>
      </c>
    </row>
    <row r="281" spans="1:6" ht="30" customHeight="1" x14ac:dyDescent="0.25">
      <c r="A281" s="1" t="s">
        <v>626</v>
      </c>
      <c r="B281" s="1" t="str">
        <f>"9780470995099"</f>
        <v>9780470995099</v>
      </c>
      <c r="C281" s="1" t="s">
        <v>65</v>
      </c>
      <c r="D281" s="2">
        <v>39553</v>
      </c>
      <c r="E281" s="1" t="s">
        <v>628</v>
      </c>
      <c r="F281" s="1" t="s">
        <v>30</v>
      </c>
    </row>
    <row r="282" spans="1:6" ht="30" customHeight="1" x14ac:dyDescent="0.25">
      <c r="A282" s="1" t="s">
        <v>629</v>
      </c>
      <c r="B282" s="1" t="str">
        <f>"9780470995167"</f>
        <v>9780470995167</v>
      </c>
      <c r="C282" s="1" t="s">
        <v>65</v>
      </c>
      <c r="D282" s="2">
        <v>39553</v>
      </c>
      <c r="E282" s="1" t="s">
        <v>630</v>
      </c>
      <c r="F282" s="1" t="s">
        <v>13</v>
      </c>
    </row>
    <row r="283" spans="1:6" ht="30" customHeight="1" x14ac:dyDescent="0.25">
      <c r="A283" s="1" t="s">
        <v>631</v>
      </c>
      <c r="B283" s="1" t="str">
        <f>"9781444315851"</f>
        <v>9781444315851</v>
      </c>
      <c r="C283" s="1" t="s">
        <v>65</v>
      </c>
      <c r="D283" s="2">
        <v>40004</v>
      </c>
      <c r="E283" s="1" t="s">
        <v>632</v>
      </c>
      <c r="F283" s="1" t="s">
        <v>13</v>
      </c>
    </row>
    <row r="284" spans="1:6" ht="30" customHeight="1" x14ac:dyDescent="0.25">
      <c r="A284" s="1" t="s">
        <v>633</v>
      </c>
      <c r="B284" s="1" t="str">
        <f>"9780470755099"</f>
        <v>9780470755099</v>
      </c>
      <c r="C284" s="1" t="s">
        <v>65</v>
      </c>
      <c r="D284" s="2">
        <v>39553</v>
      </c>
      <c r="E284" s="1" t="s">
        <v>634</v>
      </c>
      <c r="F284" s="1" t="s">
        <v>13</v>
      </c>
    </row>
    <row r="285" spans="1:6" ht="30" customHeight="1" x14ac:dyDescent="0.25">
      <c r="A285" s="1" t="s">
        <v>635</v>
      </c>
      <c r="B285" s="1" t="str">
        <f>"9780470790601"</f>
        <v>9780470790601</v>
      </c>
      <c r="C285" s="1" t="s">
        <v>65</v>
      </c>
      <c r="D285" s="2">
        <v>39608</v>
      </c>
      <c r="E285" s="1" t="s">
        <v>636</v>
      </c>
      <c r="F285" s="1" t="s">
        <v>13</v>
      </c>
    </row>
    <row r="286" spans="1:6" ht="30" customHeight="1" x14ac:dyDescent="0.25">
      <c r="A286" s="1" t="s">
        <v>637</v>
      </c>
      <c r="B286" s="1" t="str">
        <f>"9780470790687"</f>
        <v>9780470790687</v>
      </c>
      <c r="C286" s="1" t="s">
        <v>11</v>
      </c>
      <c r="D286" s="2">
        <v>39589</v>
      </c>
      <c r="E286" s="1" t="s">
        <v>638</v>
      </c>
      <c r="F286" s="1" t="s">
        <v>13</v>
      </c>
    </row>
    <row r="287" spans="1:6" ht="30" customHeight="1" x14ac:dyDescent="0.25">
      <c r="A287" s="1" t="s">
        <v>639</v>
      </c>
      <c r="B287" s="1" t="str">
        <f>"9780470750193"</f>
        <v>9780470750193</v>
      </c>
      <c r="C287" s="1" t="s">
        <v>65</v>
      </c>
      <c r="D287" s="2">
        <v>39553</v>
      </c>
      <c r="E287" s="1" t="s">
        <v>640</v>
      </c>
      <c r="F287" s="1" t="s">
        <v>82</v>
      </c>
    </row>
    <row r="288" spans="1:6" ht="30" customHeight="1" x14ac:dyDescent="0.25">
      <c r="A288" s="1" t="s">
        <v>641</v>
      </c>
      <c r="B288" s="1" t="str">
        <f>"9780470790830"</f>
        <v>9780470790830</v>
      </c>
      <c r="C288" s="1" t="s">
        <v>11</v>
      </c>
      <c r="D288" s="2">
        <v>37862</v>
      </c>
      <c r="E288" s="1" t="s">
        <v>642</v>
      </c>
      <c r="F288" s="1" t="s">
        <v>13</v>
      </c>
    </row>
    <row r="289" spans="1:6" ht="30" customHeight="1" x14ac:dyDescent="0.25">
      <c r="A289" s="1" t="s">
        <v>643</v>
      </c>
      <c r="B289" s="1" t="str">
        <f>"9781444306651"</f>
        <v>9781444306651</v>
      </c>
      <c r="C289" s="1" t="s">
        <v>644</v>
      </c>
      <c r="D289" s="2">
        <v>39589</v>
      </c>
      <c r="E289" s="1" t="s">
        <v>645</v>
      </c>
      <c r="F289" s="1" t="s">
        <v>205</v>
      </c>
    </row>
    <row r="290" spans="1:6" ht="30" customHeight="1" x14ac:dyDescent="0.25">
      <c r="A290" s="1" t="s">
        <v>646</v>
      </c>
      <c r="B290" s="1" t="str">
        <f>"9780470750216"</f>
        <v>9780470750216</v>
      </c>
      <c r="C290" s="1" t="s">
        <v>65</v>
      </c>
      <c r="D290" s="2">
        <v>39553</v>
      </c>
      <c r="E290" s="1" t="s">
        <v>647</v>
      </c>
      <c r="F290" s="1" t="s">
        <v>13</v>
      </c>
    </row>
    <row r="291" spans="1:6" ht="30" customHeight="1" x14ac:dyDescent="0.25">
      <c r="A291" s="1" t="s">
        <v>648</v>
      </c>
      <c r="B291" s="1" t="str">
        <f>"9780470777480"</f>
        <v>9780470777480</v>
      </c>
      <c r="C291" s="1" t="s">
        <v>65</v>
      </c>
      <c r="D291" s="2">
        <v>39553</v>
      </c>
      <c r="E291" s="1" t="s">
        <v>649</v>
      </c>
      <c r="F291" s="1" t="s">
        <v>650</v>
      </c>
    </row>
    <row r="292" spans="1:6" ht="30" customHeight="1" x14ac:dyDescent="0.25">
      <c r="A292" s="1" t="s">
        <v>651</v>
      </c>
      <c r="B292" s="1" t="str">
        <f>"9780470752852"</f>
        <v>9780470752852</v>
      </c>
      <c r="C292" s="1" t="s">
        <v>65</v>
      </c>
      <c r="D292" s="2">
        <v>39553</v>
      </c>
      <c r="E292" s="1" t="s">
        <v>652</v>
      </c>
      <c r="F292" s="1" t="s">
        <v>13</v>
      </c>
    </row>
    <row r="293" spans="1:6" ht="30" customHeight="1" x14ac:dyDescent="0.25">
      <c r="A293" s="1" t="s">
        <v>653</v>
      </c>
      <c r="B293" s="1" t="str">
        <f>"9780470987292"</f>
        <v>9780470987292</v>
      </c>
      <c r="C293" s="1" t="s">
        <v>65</v>
      </c>
      <c r="D293" s="2">
        <v>37862</v>
      </c>
      <c r="E293" s="1" t="s">
        <v>654</v>
      </c>
      <c r="F293" s="1" t="s">
        <v>13</v>
      </c>
    </row>
    <row r="294" spans="1:6" ht="30" customHeight="1" x14ac:dyDescent="0.25">
      <c r="A294" s="1" t="s">
        <v>655</v>
      </c>
      <c r="B294" s="1" t="str">
        <f>"9780470698150"</f>
        <v>9780470698150</v>
      </c>
      <c r="C294" s="1" t="s">
        <v>65</v>
      </c>
      <c r="D294" s="2">
        <v>39568</v>
      </c>
      <c r="E294" s="1" t="s">
        <v>656</v>
      </c>
      <c r="F294" s="1" t="s">
        <v>13</v>
      </c>
    </row>
    <row r="295" spans="1:6" ht="30" customHeight="1" x14ac:dyDescent="0.25">
      <c r="A295" s="1" t="s">
        <v>657</v>
      </c>
      <c r="B295" s="1" t="str">
        <f>"9780470755037"</f>
        <v>9780470755037</v>
      </c>
      <c r="C295" s="1" t="s">
        <v>65</v>
      </c>
      <c r="D295" s="2">
        <v>39553</v>
      </c>
      <c r="E295" s="1" t="s">
        <v>658</v>
      </c>
      <c r="F295" s="1" t="s">
        <v>13</v>
      </c>
    </row>
    <row r="296" spans="1:6" ht="30" customHeight="1" x14ac:dyDescent="0.25">
      <c r="A296" s="1" t="s">
        <v>659</v>
      </c>
      <c r="B296" s="1" t="str">
        <f>"9780471662679"</f>
        <v>9780471662679</v>
      </c>
      <c r="C296" s="1" t="s">
        <v>65</v>
      </c>
      <c r="D296" s="2">
        <v>38197</v>
      </c>
      <c r="E296" s="1" t="s">
        <v>660</v>
      </c>
      <c r="F296" s="1" t="s">
        <v>158</v>
      </c>
    </row>
    <row r="297" spans="1:6" ht="30" customHeight="1" x14ac:dyDescent="0.25">
      <c r="A297" s="1" t="s">
        <v>661</v>
      </c>
      <c r="B297" s="1" t="str">
        <f>"9780471681724"</f>
        <v>9780471681724</v>
      </c>
      <c r="C297" s="1" t="s">
        <v>65</v>
      </c>
      <c r="D297" s="2">
        <v>38211</v>
      </c>
      <c r="E297" s="1" t="s">
        <v>662</v>
      </c>
      <c r="F297" s="1" t="s">
        <v>13</v>
      </c>
    </row>
    <row r="298" spans="1:6" ht="30" customHeight="1" x14ac:dyDescent="0.25">
      <c r="A298" s="1" t="s">
        <v>663</v>
      </c>
      <c r="B298" s="1" t="str">
        <f>"9780203345337"</f>
        <v>9780203345337</v>
      </c>
      <c r="C298" s="1" t="s">
        <v>172</v>
      </c>
      <c r="D298" s="2">
        <v>36312</v>
      </c>
      <c r="E298" s="1" t="s">
        <v>664</v>
      </c>
      <c r="F298" s="1" t="s">
        <v>13</v>
      </c>
    </row>
    <row r="299" spans="1:6" ht="30" customHeight="1" x14ac:dyDescent="0.25">
      <c r="A299" s="1" t="s">
        <v>665</v>
      </c>
      <c r="B299" s="1" t="str">
        <f>"9780203011348"</f>
        <v>9780203011348</v>
      </c>
      <c r="C299" s="1" t="s">
        <v>68</v>
      </c>
      <c r="D299" s="2">
        <v>36376</v>
      </c>
      <c r="E299" s="1" t="s">
        <v>666</v>
      </c>
      <c r="F299" s="1" t="s">
        <v>13</v>
      </c>
    </row>
    <row r="300" spans="1:6" ht="30" customHeight="1" x14ac:dyDescent="0.25">
      <c r="A300" s="1" t="s">
        <v>667</v>
      </c>
      <c r="B300" s="1" t="str">
        <f>"9781135946289"</f>
        <v>9781135946289</v>
      </c>
      <c r="C300" s="1" t="s">
        <v>68</v>
      </c>
      <c r="D300" s="2">
        <v>38314</v>
      </c>
      <c r="E300" s="1" t="s">
        <v>668</v>
      </c>
      <c r="F300" s="1" t="s">
        <v>33</v>
      </c>
    </row>
    <row r="301" spans="1:6" ht="30" customHeight="1" x14ac:dyDescent="0.25">
      <c r="A301" s="1" t="s">
        <v>669</v>
      </c>
      <c r="B301" s="1" t="str">
        <f>"9780203020999"</f>
        <v>9780203020999</v>
      </c>
      <c r="C301" s="1" t="s">
        <v>68</v>
      </c>
      <c r="D301" s="2">
        <v>38275</v>
      </c>
      <c r="E301" s="1" t="s">
        <v>670</v>
      </c>
      <c r="F301" s="1" t="s">
        <v>13</v>
      </c>
    </row>
    <row r="302" spans="1:6" ht="30" customHeight="1" x14ac:dyDescent="0.25">
      <c r="A302" s="1" t="s">
        <v>671</v>
      </c>
      <c r="B302" s="1" t="str">
        <f>"9780203024973"</f>
        <v>9780203024973</v>
      </c>
      <c r="C302" s="1" t="s">
        <v>68</v>
      </c>
      <c r="D302" s="2">
        <v>36145</v>
      </c>
      <c r="E302" s="1" t="s">
        <v>672</v>
      </c>
      <c r="F302" s="1" t="s">
        <v>13</v>
      </c>
    </row>
    <row r="303" spans="1:6" ht="30" customHeight="1" x14ac:dyDescent="0.25">
      <c r="A303" s="1" t="s">
        <v>673</v>
      </c>
      <c r="B303" s="1" t="str">
        <f>"9780203910030"</f>
        <v>9780203910030</v>
      </c>
      <c r="C303" s="1" t="s">
        <v>172</v>
      </c>
      <c r="D303" s="2">
        <v>36465</v>
      </c>
      <c r="E303" s="1" t="s">
        <v>674</v>
      </c>
      <c r="F303" s="1" t="s">
        <v>13</v>
      </c>
    </row>
    <row r="304" spans="1:6" ht="30" customHeight="1" x14ac:dyDescent="0.25">
      <c r="A304" s="1" t="s">
        <v>675</v>
      </c>
      <c r="B304" s="1" t="str">
        <f>"9780203904244"</f>
        <v>9780203904244</v>
      </c>
      <c r="C304" s="1" t="s">
        <v>99</v>
      </c>
      <c r="D304" s="2">
        <v>36844</v>
      </c>
      <c r="E304" s="1" t="s">
        <v>676</v>
      </c>
      <c r="F304" s="1" t="s">
        <v>268</v>
      </c>
    </row>
    <row r="305" spans="1:6" ht="30" customHeight="1" x14ac:dyDescent="0.25">
      <c r="A305" s="1" t="s">
        <v>677</v>
      </c>
      <c r="B305" s="1" t="str">
        <f>"9780824746889"</f>
        <v>9780824746889</v>
      </c>
      <c r="C305" s="1" t="s">
        <v>99</v>
      </c>
      <c r="D305" s="2">
        <v>36048</v>
      </c>
      <c r="E305" s="1" t="s">
        <v>678</v>
      </c>
      <c r="F305" s="1" t="s">
        <v>268</v>
      </c>
    </row>
    <row r="306" spans="1:6" ht="30" customHeight="1" x14ac:dyDescent="0.25">
      <c r="A306" s="1" t="s">
        <v>679</v>
      </c>
      <c r="B306" s="1" t="str">
        <f>"9780203909577"</f>
        <v>9780203909577</v>
      </c>
      <c r="C306" s="1" t="s">
        <v>99</v>
      </c>
      <c r="D306" s="2">
        <v>36179</v>
      </c>
      <c r="E306" s="1" t="s">
        <v>680</v>
      </c>
      <c r="F306" s="1" t="s">
        <v>681</v>
      </c>
    </row>
    <row r="307" spans="1:6" ht="30" customHeight="1" x14ac:dyDescent="0.25">
      <c r="A307" s="1" t="s">
        <v>682</v>
      </c>
      <c r="B307" s="1" t="str">
        <f>"9780824746421"</f>
        <v>9780824746421</v>
      </c>
      <c r="C307" s="1" t="s">
        <v>172</v>
      </c>
      <c r="D307" s="2">
        <v>36192</v>
      </c>
      <c r="E307" s="1" t="s">
        <v>683</v>
      </c>
      <c r="F307" s="1" t="s">
        <v>13</v>
      </c>
    </row>
    <row r="308" spans="1:6" ht="30" customHeight="1" x14ac:dyDescent="0.25">
      <c r="A308" s="1" t="s">
        <v>684</v>
      </c>
      <c r="B308" s="1" t="str">
        <f>"9780824742232"</f>
        <v>9780824742232</v>
      </c>
      <c r="C308" s="1" t="s">
        <v>99</v>
      </c>
      <c r="D308" s="2">
        <v>36270</v>
      </c>
      <c r="E308" s="1" t="s">
        <v>685</v>
      </c>
      <c r="F308" s="1" t="s">
        <v>13</v>
      </c>
    </row>
    <row r="309" spans="1:6" ht="30" customHeight="1" x14ac:dyDescent="0.25">
      <c r="A309" s="1" t="s">
        <v>686</v>
      </c>
      <c r="B309" s="1" t="str">
        <f>"9780203908037"</f>
        <v>9780203908037</v>
      </c>
      <c r="C309" s="1" t="s">
        <v>99</v>
      </c>
      <c r="D309" s="2">
        <v>36732</v>
      </c>
      <c r="E309" s="1" t="s">
        <v>687</v>
      </c>
      <c r="F309" s="1" t="s">
        <v>13</v>
      </c>
    </row>
    <row r="310" spans="1:6" ht="30" customHeight="1" x14ac:dyDescent="0.25">
      <c r="A310" s="1" t="s">
        <v>688</v>
      </c>
      <c r="B310" s="1" t="str">
        <f>"9780203910047"</f>
        <v>9780203910047</v>
      </c>
      <c r="C310" s="1" t="s">
        <v>172</v>
      </c>
      <c r="D310" s="2">
        <v>36586</v>
      </c>
      <c r="E310" s="1" t="s">
        <v>689</v>
      </c>
      <c r="F310" s="1" t="s">
        <v>13</v>
      </c>
    </row>
    <row r="311" spans="1:6" ht="30" customHeight="1" x14ac:dyDescent="0.25">
      <c r="A311" s="1" t="s">
        <v>690</v>
      </c>
      <c r="B311" s="1" t="str">
        <f>"9780203910054"</f>
        <v>9780203910054</v>
      </c>
      <c r="C311" s="1" t="s">
        <v>99</v>
      </c>
      <c r="D311" s="2">
        <v>36656</v>
      </c>
      <c r="E311" s="1" t="s">
        <v>691</v>
      </c>
      <c r="F311" s="1" t="s">
        <v>362</v>
      </c>
    </row>
    <row r="312" spans="1:6" ht="30" customHeight="1" x14ac:dyDescent="0.25">
      <c r="A312" s="1" t="s">
        <v>692</v>
      </c>
      <c r="B312" s="1" t="str">
        <f>"9780203908334"</f>
        <v>9780203908334</v>
      </c>
      <c r="C312" s="1" t="s">
        <v>99</v>
      </c>
      <c r="D312" s="2">
        <v>36791</v>
      </c>
      <c r="E312" s="1" t="s">
        <v>693</v>
      </c>
      <c r="F312" s="1" t="s">
        <v>148</v>
      </c>
    </row>
    <row r="313" spans="1:6" ht="30" customHeight="1" x14ac:dyDescent="0.25">
      <c r="A313" s="1" t="s">
        <v>694</v>
      </c>
      <c r="B313" s="1" t="str">
        <f>"9780203909911"</f>
        <v>9780203909911</v>
      </c>
      <c r="C313" s="1" t="s">
        <v>172</v>
      </c>
      <c r="D313" s="2">
        <v>36312</v>
      </c>
      <c r="E313" s="1" t="s">
        <v>695</v>
      </c>
      <c r="F313" s="1" t="s">
        <v>13</v>
      </c>
    </row>
    <row r="314" spans="1:6" ht="30" customHeight="1" x14ac:dyDescent="0.25">
      <c r="A314" s="1" t="s">
        <v>696</v>
      </c>
      <c r="B314" s="1" t="str">
        <f>"9780203908464"</f>
        <v>9780203908464</v>
      </c>
      <c r="C314" s="1" t="s">
        <v>93</v>
      </c>
      <c r="D314" s="2">
        <v>36593</v>
      </c>
      <c r="E314" s="1" t="s">
        <v>697</v>
      </c>
      <c r="F314" s="1" t="s">
        <v>13</v>
      </c>
    </row>
    <row r="315" spans="1:6" ht="30" customHeight="1" x14ac:dyDescent="0.25">
      <c r="A315" s="1" t="s">
        <v>698</v>
      </c>
      <c r="B315" s="1" t="str">
        <f>"9780203903872"</f>
        <v>9780203903872</v>
      </c>
      <c r="C315" s="1" t="s">
        <v>99</v>
      </c>
      <c r="D315" s="2">
        <v>36844</v>
      </c>
      <c r="E315" s="1" t="s">
        <v>699</v>
      </c>
      <c r="F315" s="1" t="s">
        <v>33</v>
      </c>
    </row>
    <row r="316" spans="1:6" ht="30" customHeight="1" x14ac:dyDescent="0.25">
      <c r="A316" s="1" t="s">
        <v>700</v>
      </c>
      <c r="B316" s="1" t="str">
        <f>"9780203909652"</f>
        <v>9780203909652</v>
      </c>
      <c r="C316" s="1" t="s">
        <v>99</v>
      </c>
      <c r="D316" s="2">
        <v>36690</v>
      </c>
      <c r="E316" s="1" t="s">
        <v>701</v>
      </c>
      <c r="F316" s="1" t="s">
        <v>13</v>
      </c>
    </row>
    <row r="317" spans="1:6" ht="30" customHeight="1" x14ac:dyDescent="0.25">
      <c r="A317" s="1" t="s">
        <v>702</v>
      </c>
      <c r="B317" s="1" t="str">
        <f>"9780203909669"</f>
        <v>9780203909669</v>
      </c>
      <c r="C317" s="1" t="s">
        <v>172</v>
      </c>
      <c r="D317" s="2">
        <v>36574</v>
      </c>
      <c r="E317" s="1" t="s">
        <v>703</v>
      </c>
      <c r="F317" s="1" t="s">
        <v>13</v>
      </c>
    </row>
    <row r="318" spans="1:6" ht="30" customHeight="1" x14ac:dyDescent="0.25">
      <c r="A318" s="1" t="s">
        <v>704</v>
      </c>
      <c r="B318" s="1" t="str">
        <f>"9781139146906"</f>
        <v>9781139146906</v>
      </c>
      <c r="C318" s="1" t="s">
        <v>25</v>
      </c>
      <c r="D318" s="2">
        <v>37462</v>
      </c>
      <c r="E318" s="1" t="s">
        <v>705</v>
      </c>
      <c r="F318" s="1" t="s">
        <v>13</v>
      </c>
    </row>
    <row r="319" spans="1:6" ht="30" customHeight="1" x14ac:dyDescent="0.25">
      <c r="A319" s="1" t="s">
        <v>706</v>
      </c>
      <c r="B319" s="1" t="str">
        <f>"9781139146333"</f>
        <v>9781139146333</v>
      </c>
      <c r="C319" s="1" t="s">
        <v>25</v>
      </c>
      <c r="D319" s="2">
        <v>37588</v>
      </c>
      <c r="E319" s="1" t="s">
        <v>707</v>
      </c>
      <c r="F319" s="1" t="s">
        <v>70</v>
      </c>
    </row>
    <row r="320" spans="1:6" ht="30" customHeight="1" x14ac:dyDescent="0.25">
      <c r="A320" s="1" t="s">
        <v>708</v>
      </c>
      <c r="B320" s="1" t="str">
        <f>"9781139146371"</f>
        <v>9781139146371</v>
      </c>
      <c r="C320" s="1" t="s">
        <v>25</v>
      </c>
      <c r="D320" s="2">
        <v>37651</v>
      </c>
      <c r="E320" s="1" t="s">
        <v>709</v>
      </c>
      <c r="F320" s="1" t="s">
        <v>13</v>
      </c>
    </row>
    <row r="321" spans="1:6" ht="30" customHeight="1" x14ac:dyDescent="0.25">
      <c r="A321" s="1" t="s">
        <v>710</v>
      </c>
      <c r="B321" s="1" t="str">
        <f>"9781139145602"</f>
        <v>9781139145602</v>
      </c>
      <c r="C321" s="1" t="s">
        <v>25</v>
      </c>
      <c r="D321" s="2">
        <v>37630</v>
      </c>
      <c r="E321" s="1" t="s">
        <v>711</v>
      </c>
      <c r="F321" s="1" t="s">
        <v>13</v>
      </c>
    </row>
    <row r="322" spans="1:6" ht="30" customHeight="1" x14ac:dyDescent="0.25">
      <c r="A322" s="1" t="s">
        <v>712</v>
      </c>
      <c r="B322" s="1" t="str">
        <f>"9781139147088"</f>
        <v>9781139147088</v>
      </c>
      <c r="C322" s="1" t="s">
        <v>25</v>
      </c>
      <c r="D322" s="2">
        <v>37712</v>
      </c>
      <c r="E322" s="1" t="s">
        <v>713</v>
      </c>
      <c r="F322" s="1" t="s">
        <v>63</v>
      </c>
    </row>
    <row r="323" spans="1:6" ht="30" customHeight="1" x14ac:dyDescent="0.25">
      <c r="A323" s="1" t="s">
        <v>714</v>
      </c>
      <c r="B323" s="1" t="str">
        <f>"9781139147026"</f>
        <v>9781139147026</v>
      </c>
      <c r="C323" s="1" t="s">
        <v>25</v>
      </c>
      <c r="D323" s="2">
        <v>37329</v>
      </c>
      <c r="E323" s="1" t="s">
        <v>715</v>
      </c>
      <c r="F323" s="1" t="s">
        <v>54</v>
      </c>
    </row>
    <row r="324" spans="1:6" ht="30" customHeight="1" x14ac:dyDescent="0.25">
      <c r="A324" s="1" t="s">
        <v>716</v>
      </c>
      <c r="B324" s="1" t="str">
        <f>"9781139145466"</f>
        <v>9781139145466</v>
      </c>
      <c r="C324" s="1" t="s">
        <v>25</v>
      </c>
      <c r="D324" s="2">
        <v>37329</v>
      </c>
      <c r="E324" s="1" t="s">
        <v>717</v>
      </c>
      <c r="F324" s="1" t="s">
        <v>599</v>
      </c>
    </row>
    <row r="325" spans="1:6" ht="30" customHeight="1" x14ac:dyDescent="0.25">
      <c r="A325" s="1" t="s">
        <v>718</v>
      </c>
      <c r="B325" s="1" t="str">
        <f>"9781139146104"</f>
        <v>9781139146104</v>
      </c>
      <c r="C325" s="1" t="s">
        <v>25</v>
      </c>
      <c r="D325" s="2">
        <v>37298</v>
      </c>
      <c r="E325" s="1" t="s">
        <v>719</v>
      </c>
      <c r="F325" s="1" t="s">
        <v>137</v>
      </c>
    </row>
    <row r="326" spans="1:6" ht="30" customHeight="1" x14ac:dyDescent="0.25">
      <c r="A326" s="1" t="s">
        <v>720</v>
      </c>
      <c r="B326" s="1" t="str">
        <f>"9781139146869"</f>
        <v>9781139146869</v>
      </c>
      <c r="C326" s="1" t="s">
        <v>25</v>
      </c>
      <c r="D326" s="2">
        <v>37319</v>
      </c>
      <c r="E326" s="1" t="s">
        <v>721</v>
      </c>
      <c r="F326" s="1" t="s">
        <v>13</v>
      </c>
    </row>
    <row r="327" spans="1:6" ht="30" customHeight="1" x14ac:dyDescent="0.25">
      <c r="A327" s="1" t="s">
        <v>722</v>
      </c>
      <c r="B327" s="1" t="str">
        <f>"9781139147255"</f>
        <v>9781139147255</v>
      </c>
      <c r="C327" s="1" t="s">
        <v>25</v>
      </c>
      <c r="D327" s="2">
        <v>37567</v>
      </c>
      <c r="E327" s="1" t="s">
        <v>723</v>
      </c>
      <c r="F327" s="1" t="s">
        <v>13</v>
      </c>
    </row>
    <row r="328" spans="1:6" ht="30" customHeight="1" x14ac:dyDescent="0.25">
      <c r="A328" s="1" t="s">
        <v>724</v>
      </c>
      <c r="B328" s="1" t="str">
        <f>"9781139147163"</f>
        <v>9781139147163</v>
      </c>
      <c r="C328" s="1" t="s">
        <v>25</v>
      </c>
      <c r="D328" s="2">
        <v>37343</v>
      </c>
      <c r="E328" s="1" t="s">
        <v>725</v>
      </c>
      <c r="F328" s="1" t="s">
        <v>13</v>
      </c>
    </row>
    <row r="329" spans="1:6" ht="30" customHeight="1" x14ac:dyDescent="0.25">
      <c r="A329" s="1" t="s">
        <v>726</v>
      </c>
      <c r="B329" s="1" t="str">
        <f>"9781139146111"</f>
        <v>9781139146111</v>
      </c>
      <c r="C329" s="1" t="s">
        <v>25</v>
      </c>
      <c r="D329" s="2">
        <v>38869</v>
      </c>
      <c r="E329" s="1" t="s">
        <v>727</v>
      </c>
      <c r="F329" s="1" t="s">
        <v>13</v>
      </c>
    </row>
    <row r="330" spans="1:6" ht="30" customHeight="1" x14ac:dyDescent="0.25">
      <c r="A330" s="1" t="s">
        <v>728</v>
      </c>
      <c r="B330" s="1" t="str">
        <f>"9781139145558"</f>
        <v>9781139145558</v>
      </c>
      <c r="C330" s="1" t="s">
        <v>25</v>
      </c>
      <c r="D330" s="2">
        <v>36369</v>
      </c>
      <c r="E330" s="1" t="s">
        <v>729</v>
      </c>
      <c r="F330" s="1" t="s">
        <v>13</v>
      </c>
    </row>
    <row r="331" spans="1:6" ht="30" customHeight="1" x14ac:dyDescent="0.25">
      <c r="A331" s="1" t="s">
        <v>730</v>
      </c>
      <c r="B331" s="1" t="str">
        <f>"9781139146227"</f>
        <v>9781139146227</v>
      </c>
      <c r="C331" s="1" t="s">
        <v>25</v>
      </c>
      <c r="D331" s="2">
        <v>37294</v>
      </c>
      <c r="E331" s="1" t="s">
        <v>731</v>
      </c>
      <c r="F331" s="1" t="s">
        <v>205</v>
      </c>
    </row>
    <row r="332" spans="1:6" ht="30" customHeight="1" x14ac:dyDescent="0.25">
      <c r="A332" s="1" t="s">
        <v>732</v>
      </c>
      <c r="B332" s="1" t="str">
        <f>"9780511147944"</f>
        <v>9780511147944</v>
      </c>
      <c r="C332" s="1" t="s">
        <v>25</v>
      </c>
      <c r="D332" s="2">
        <v>37476</v>
      </c>
      <c r="E332" s="1" t="s">
        <v>733</v>
      </c>
      <c r="F332" s="1" t="s">
        <v>30</v>
      </c>
    </row>
    <row r="333" spans="1:6" ht="30" customHeight="1" x14ac:dyDescent="0.25">
      <c r="A333" s="1" t="s">
        <v>734</v>
      </c>
      <c r="B333" s="1" t="str">
        <f>"9781139147064"</f>
        <v>9781139147064</v>
      </c>
      <c r="C333" s="1" t="s">
        <v>25</v>
      </c>
      <c r="D333" s="2">
        <v>36965</v>
      </c>
      <c r="E333" s="1" t="s">
        <v>735</v>
      </c>
      <c r="F333" s="1" t="s">
        <v>63</v>
      </c>
    </row>
    <row r="334" spans="1:6" ht="30" customHeight="1" x14ac:dyDescent="0.25">
      <c r="A334" s="1" t="s">
        <v>736</v>
      </c>
      <c r="B334" s="1" t="str">
        <f>"9781139146524"</f>
        <v>9781139146524</v>
      </c>
      <c r="C334" s="1" t="s">
        <v>25</v>
      </c>
      <c r="D334" s="2">
        <v>40059</v>
      </c>
      <c r="E334" s="1" t="s">
        <v>737</v>
      </c>
      <c r="F334" s="1" t="s">
        <v>148</v>
      </c>
    </row>
    <row r="335" spans="1:6" ht="30" customHeight="1" x14ac:dyDescent="0.25">
      <c r="A335" s="1" t="s">
        <v>738</v>
      </c>
      <c r="B335" s="1" t="str">
        <f>"9781139145664"</f>
        <v>9781139145664</v>
      </c>
      <c r="C335" s="1" t="s">
        <v>25</v>
      </c>
      <c r="D335" s="2">
        <v>37564</v>
      </c>
      <c r="E335" s="1" t="s">
        <v>739</v>
      </c>
      <c r="F335" s="1" t="s">
        <v>268</v>
      </c>
    </row>
    <row r="336" spans="1:6" ht="30" customHeight="1" x14ac:dyDescent="0.25">
      <c r="A336" s="1" t="s">
        <v>740</v>
      </c>
      <c r="B336" s="1" t="str">
        <f>"9781139145541"</f>
        <v>9781139145541</v>
      </c>
      <c r="C336" s="1" t="s">
        <v>25</v>
      </c>
      <c r="D336" s="2">
        <v>37591</v>
      </c>
      <c r="E336" s="1" t="s">
        <v>741</v>
      </c>
      <c r="F336" s="1" t="s">
        <v>742</v>
      </c>
    </row>
    <row r="337" spans="1:6" ht="30" customHeight="1" x14ac:dyDescent="0.25">
      <c r="A337" s="1" t="s">
        <v>743</v>
      </c>
      <c r="B337" s="1" t="str">
        <f>"9781139145473"</f>
        <v>9781139145473</v>
      </c>
      <c r="C337" s="1" t="s">
        <v>25</v>
      </c>
      <c r="D337" s="2">
        <v>39114</v>
      </c>
      <c r="E337" s="1" t="s">
        <v>744</v>
      </c>
      <c r="F337" s="1" t="s">
        <v>54</v>
      </c>
    </row>
    <row r="338" spans="1:6" ht="30" customHeight="1" x14ac:dyDescent="0.25">
      <c r="A338" s="1" t="s">
        <v>745</v>
      </c>
      <c r="B338" s="1" t="str">
        <f>"9781139147361"</f>
        <v>9781139147361</v>
      </c>
      <c r="C338" s="1" t="s">
        <v>25</v>
      </c>
      <c r="D338" s="2">
        <v>37700</v>
      </c>
      <c r="E338" s="1" t="s">
        <v>746</v>
      </c>
      <c r="F338" s="1" t="s">
        <v>13</v>
      </c>
    </row>
    <row r="339" spans="1:6" ht="30" customHeight="1" x14ac:dyDescent="0.25">
      <c r="A339" s="1" t="s">
        <v>747</v>
      </c>
      <c r="B339" s="1" t="str">
        <f>"9781139147804"</f>
        <v>9781139147804</v>
      </c>
      <c r="C339" s="1" t="s">
        <v>25</v>
      </c>
      <c r="D339" s="2">
        <v>37413</v>
      </c>
      <c r="E339" s="1" t="s">
        <v>748</v>
      </c>
      <c r="F339" s="1" t="s">
        <v>13</v>
      </c>
    </row>
    <row r="340" spans="1:6" ht="30" customHeight="1" x14ac:dyDescent="0.25">
      <c r="A340" s="1" t="s">
        <v>749</v>
      </c>
      <c r="B340" s="1" t="str">
        <f>"9781139147415"</f>
        <v>9781139147415</v>
      </c>
      <c r="C340" s="1" t="s">
        <v>25</v>
      </c>
      <c r="D340" s="2">
        <v>37756</v>
      </c>
      <c r="E340" s="1" t="s">
        <v>750</v>
      </c>
      <c r="F340" s="1" t="s">
        <v>751</v>
      </c>
    </row>
    <row r="341" spans="1:6" ht="30" customHeight="1" x14ac:dyDescent="0.25">
      <c r="A341" s="1" t="s">
        <v>752</v>
      </c>
      <c r="B341" s="1" t="str">
        <f>"9781139147385"</f>
        <v>9781139147385</v>
      </c>
      <c r="C341" s="1" t="s">
        <v>25</v>
      </c>
      <c r="D341" s="2">
        <v>37658</v>
      </c>
      <c r="E341" s="1" t="s">
        <v>753</v>
      </c>
      <c r="F341" s="1" t="s">
        <v>13</v>
      </c>
    </row>
    <row r="342" spans="1:6" ht="30" customHeight="1" x14ac:dyDescent="0.25">
      <c r="A342" s="1" t="s">
        <v>754</v>
      </c>
      <c r="B342" s="1" t="str">
        <f>"9781139147071"</f>
        <v>9781139147071</v>
      </c>
      <c r="C342" s="1" t="s">
        <v>25</v>
      </c>
      <c r="D342" s="2">
        <v>37553</v>
      </c>
      <c r="E342" s="1" t="s">
        <v>755</v>
      </c>
      <c r="F342" s="1" t="s">
        <v>13</v>
      </c>
    </row>
    <row r="343" spans="1:6" ht="30" customHeight="1" x14ac:dyDescent="0.25">
      <c r="A343" s="1" t="s">
        <v>756</v>
      </c>
      <c r="B343" s="1" t="str">
        <f>"9781139147989"</f>
        <v>9781139147989</v>
      </c>
      <c r="C343" s="1" t="s">
        <v>25</v>
      </c>
      <c r="D343" s="2">
        <v>37637</v>
      </c>
      <c r="E343" s="1" t="s">
        <v>757</v>
      </c>
      <c r="F343" s="1" t="s">
        <v>114</v>
      </c>
    </row>
    <row r="344" spans="1:6" ht="30" customHeight="1" x14ac:dyDescent="0.25">
      <c r="A344" s="1" t="s">
        <v>758</v>
      </c>
      <c r="B344" s="1" t="str">
        <f>"9781139147569"</f>
        <v>9781139147569</v>
      </c>
      <c r="C344" s="1" t="s">
        <v>25</v>
      </c>
      <c r="D344" s="2">
        <v>37518</v>
      </c>
      <c r="E344" s="1" t="s">
        <v>759</v>
      </c>
      <c r="F344" s="1" t="s">
        <v>760</v>
      </c>
    </row>
    <row r="345" spans="1:6" ht="30" customHeight="1" x14ac:dyDescent="0.25">
      <c r="A345" s="1" t="s">
        <v>761</v>
      </c>
      <c r="B345" s="1" t="str">
        <f>"9781139146609"</f>
        <v>9781139146609</v>
      </c>
      <c r="C345" s="1" t="s">
        <v>25</v>
      </c>
      <c r="D345" s="2">
        <v>37448</v>
      </c>
      <c r="E345" s="1" t="s">
        <v>762</v>
      </c>
      <c r="F345" s="1" t="s">
        <v>13</v>
      </c>
    </row>
    <row r="346" spans="1:6" ht="30" customHeight="1" x14ac:dyDescent="0.25">
      <c r="A346" s="1" t="s">
        <v>763</v>
      </c>
      <c r="B346" s="1" t="str">
        <f>"9781139146739"</f>
        <v>9781139146739</v>
      </c>
      <c r="C346" s="1" t="s">
        <v>25</v>
      </c>
      <c r="D346" s="2">
        <v>37448</v>
      </c>
      <c r="E346" s="1" t="s">
        <v>764</v>
      </c>
      <c r="F346" s="1" t="s">
        <v>13</v>
      </c>
    </row>
    <row r="347" spans="1:6" ht="30" customHeight="1" x14ac:dyDescent="0.25">
      <c r="A347" s="1" t="s">
        <v>765</v>
      </c>
      <c r="B347" s="1" t="str">
        <f>"9781139147187"</f>
        <v>9781139147187</v>
      </c>
      <c r="C347" s="1" t="s">
        <v>25</v>
      </c>
      <c r="D347" s="2">
        <v>37406</v>
      </c>
      <c r="E347" s="1" t="s">
        <v>766</v>
      </c>
      <c r="F347" s="1" t="s">
        <v>13</v>
      </c>
    </row>
    <row r="348" spans="1:6" ht="30" customHeight="1" x14ac:dyDescent="0.25">
      <c r="A348" s="1" t="s">
        <v>767</v>
      </c>
      <c r="B348" s="1" t="str">
        <f>"9781139147200"</f>
        <v>9781139147200</v>
      </c>
      <c r="C348" s="1" t="s">
        <v>25</v>
      </c>
      <c r="D348" s="2">
        <v>37497</v>
      </c>
      <c r="E348" s="1" t="s">
        <v>768</v>
      </c>
      <c r="F348" s="1" t="s">
        <v>13</v>
      </c>
    </row>
    <row r="349" spans="1:6" ht="30" customHeight="1" x14ac:dyDescent="0.25">
      <c r="A349" s="1" t="s">
        <v>769</v>
      </c>
      <c r="B349" s="1" t="str">
        <f>"9781139147330"</f>
        <v>9781139147330</v>
      </c>
      <c r="C349" s="1" t="s">
        <v>25</v>
      </c>
      <c r="D349" s="2">
        <v>37546</v>
      </c>
      <c r="E349" s="1" t="s">
        <v>770</v>
      </c>
      <c r="F349" s="1" t="s">
        <v>13</v>
      </c>
    </row>
    <row r="350" spans="1:6" ht="30" customHeight="1" x14ac:dyDescent="0.25">
      <c r="A350" s="1" t="s">
        <v>771</v>
      </c>
      <c r="B350" s="1" t="str">
        <f>"9781139146753"</f>
        <v>9781139146753</v>
      </c>
      <c r="C350" s="1" t="s">
        <v>25</v>
      </c>
      <c r="D350" s="2">
        <v>37340</v>
      </c>
      <c r="E350" s="1" t="s">
        <v>772</v>
      </c>
      <c r="F350" s="1" t="s">
        <v>95</v>
      </c>
    </row>
    <row r="351" spans="1:6" ht="30" customHeight="1" x14ac:dyDescent="0.25">
      <c r="A351" s="1" t="s">
        <v>773</v>
      </c>
      <c r="B351" s="1" t="str">
        <f>"9780511150937"</f>
        <v>9780511150937</v>
      </c>
      <c r="C351" s="1" t="s">
        <v>25</v>
      </c>
      <c r="D351" s="2">
        <v>36650</v>
      </c>
      <c r="E351" s="1" t="s">
        <v>774</v>
      </c>
      <c r="F351" s="1" t="s">
        <v>775</v>
      </c>
    </row>
    <row r="352" spans="1:6" ht="30" customHeight="1" x14ac:dyDescent="0.25">
      <c r="A352" s="1" t="s">
        <v>776</v>
      </c>
      <c r="B352" s="1" t="str">
        <f>"9781139148610"</f>
        <v>9781139148610</v>
      </c>
      <c r="C352" s="1" t="s">
        <v>25</v>
      </c>
      <c r="D352" s="2">
        <v>37651</v>
      </c>
      <c r="E352" s="1" t="s">
        <v>777</v>
      </c>
      <c r="F352" s="1" t="s">
        <v>13</v>
      </c>
    </row>
    <row r="353" spans="1:6" ht="30" customHeight="1" x14ac:dyDescent="0.25">
      <c r="A353" s="1" t="s">
        <v>778</v>
      </c>
      <c r="B353" s="1" t="str">
        <f>"9781139148726"</f>
        <v>9781139148726</v>
      </c>
      <c r="C353" s="1" t="s">
        <v>25</v>
      </c>
      <c r="D353" s="2">
        <v>37665</v>
      </c>
      <c r="E353" s="1" t="s">
        <v>779</v>
      </c>
      <c r="F353" s="1" t="s">
        <v>780</v>
      </c>
    </row>
    <row r="354" spans="1:6" ht="30" customHeight="1" x14ac:dyDescent="0.25">
      <c r="A354" s="1" t="s">
        <v>781</v>
      </c>
      <c r="B354" s="1" t="str">
        <f>"9781139148801"</f>
        <v>9781139148801</v>
      </c>
      <c r="C354" s="1" t="s">
        <v>25</v>
      </c>
      <c r="D354" s="2">
        <v>37707</v>
      </c>
      <c r="E354" s="1" t="s">
        <v>782</v>
      </c>
      <c r="F354" s="1" t="s">
        <v>158</v>
      </c>
    </row>
    <row r="355" spans="1:6" ht="30" customHeight="1" x14ac:dyDescent="0.25">
      <c r="A355" s="1" t="s">
        <v>783</v>
      </c>
      <c r="B355" s="1" t="str">
        <f>"9781139148566"</f>
        <v>9781139148566</v>
      </c>
      <c r="C355" s="1" t="s">
        <v>25</v>
      </c>
      <c r="D355" s="2">
        <v>37665</v>
      </c>
      <c r="E355" s="1" t="s">
        <v>784</v>
      </c>
      <c r="F355" s="1" t="s">
        <v>13</v>
      </c>
    </row>
    <row r="356" spans="1:6" ht="30" customHeight="1" x14ac:dyDescent="0.25">
      <c r="A356" s="1" t="s">
        <v>785</v>
      </c>
      <c r="B356" s="1" t="str">
        <f>"9781139146098"</f>
        <v>9781139146098</v>
      </c>
      <c r="C356" s="1" t="s">
        <v>25</v>
      </c>
      <c r="D356" s="2">
        <v>37588</v>
      </c>
      <c r="E356" s="1" t="s">
        <v>786</v>
      </c>
      <c r="F356" s="1" t="s">
        <v>13</v>
      </c>
    </row>
    <row r="357" spans="1:6" ht="30" customHeight="1" x14ac:dyDescent="0.25">
      <c r="A357" s="1" t="s">
        <v>787</v>
      </c>
      <c r="B357" s="1" t="str">
        <f>"9781139146852"</f>
        <v>9781139146852</v>
      </c>
      <c r="C357" s="1" t="s">
        <v>25</v>
      </c>
      <c r="D357" s="2">
        <v>37567</v>
      </c>
      <c r="E357" s="1" t="s">
        <v>788</v>
      </c>
      <c r="F357" s="1" t="s">
        <v>205</v>
      </c>
    </row>
    <row r="358" spans="1:6" ht="30" customHeight="1" x14ac:dyDescent="0.25">
      <c r="A358" s="1" t="s">
        <v>789</v>
      </c>
      <c r="B358" s="1" t="str">
        <f>"9780471694410"</f>
        <v>9780471694410</v>
      </c>
      <c r="C358" s="1" t="s">
        <v>65</v>
      </c>
      <c r="D358" s="2">
        <v>38302</v>
      </c>
      <c r="E358" s="1" t="s">
        <v>790</v>
      </c>
      <c r="F358" s="1" t="s">
        <v>13</v>
      </c>
    </row>
    <row r="359" spans="1:6" ht="30" customHeight="1" x14ac:dyDescent="0.25">
      <c r="A359" s="1" t="s">
        <v>791</v>
      </c>
      <c r="B359" s="1" t="str">
        <f>"9780471694397"</f>
        <v>9780471694397</v>
      </c>
      <c r="C359" s="1" t="s">
        <v>65</v>
      </c>
      <c r="D359" s="2">
        <v>40339</v>
      </c>
      <c r="E359" s="1" t="s">
        <v>792</v>
      </c>
      <c r="F359" s="1" t="s">
        <v>13</v>
      </c>
    </row>
    <row r="360" spans="1:6" ht="30" customHeight="1" x14ac:dyDescent="0.25">
      <c r="A360" s="1" t="s">
        <v>793</v>
      </c>
      <c r="B360" s="1" t="str">
        <f>"9780471684855"</f>
        <v>9780471684855</v>
      </c>
      <c r="C360" s="1" t="s">
        <v>65</v>
      </c>
      <c r="D360" s="2">
        <v>38308</v>
      </c>
      <c r="E360" s="1" t="s">
        <v>794</v>
      </c>
      <c r="F360" s="1" t="s">
        <v>13</v>
      </c>
    </row>
    <row r="361" spans="1:6" ht="30" customHeight="1" x14ac:dyDescent="0.25">
      <c r="A361" s="1" t="s">
        <v>795</v>
      </c>
      <c r="B361" s="1" t="str">
        <f>"9780471689874"</f>
        <v>9780471689874</v>
      </c>
      <c r="C361" s="1" t="s">
        <v>65</v>
      </c>
      <c r="D361" s="2">
        <v>38308</v>
      </c>
      <c r="E361" s="1" t="s">
        <v>796</v>
      </c>
      <c r="F361" s="1" t="s">
        <v>13</v>
      </c>
    </row>
    <row r="362" spans="1:6" ht="30" customHeight="1" x14ac:dyDescent="0.25">
      <c r="A362" s="1" t="s">
        <v>797</v>
      </c>
      <c r="B362" s="1" t="str">
        <f>"9780470090718"</f>
        <v>9780470090718</v>
      </c>
      <c r="C362" s="1" t="s">
        <v>65</v>
      </c>
      <c r="D362" s="2">
        <v>37995</v>
      </c>
      <c r="E362" s="1" t="s">
        <v>798</v>
      </c>
      <c r="F362" s="1" t="s">
        <v>13</v>
      </c>
    </row>
    <row r="363" spans="1:6" ht="30" customHeight="1" x14ac:dyDescent="0.25">
      <c r="A363" s="1" t="s">
        <v>799</v>
      </c>
      <c r="B363" s="1" t="str">
        <f>"9780470857045"</f>
        <v>9780470857045</v>
      </c>
      <c r="C363" s="1" t="s">
        <v>65</v>
      </c>
      <c r="D363" s="2">
        <v>37995</v>
      </c>
      <c r="E363" s="1" t="s">
        <v>800</v>
      </c>
      <c r="F363" s="1" t="s">
        <v>13</v>
      </c>
    </row>
    <row r="364" spans="1:6" ht="30" customHeight="1" x14ac:dyDescent="0.25">
      <c r="A364" s="1" t="s">
        <v>801</v>
      </c>
      <c r="B364" s="1" t="str">
        <f>"9780470021330"</f>
        <v>9780470021330</v>
      </c>
      <c r="C364" s="1" t="s">
        <v>65</v>
      </c>
      <c r="D364" s="2">
        <v>38366</v>
      </c>
      <c r="E364" s="1" t="s">
        <v>802</v>
      </c>
      <c r="F364" s="1" t="s">
        <v>13</v>
      </c>
    </row>
    <row r="365" spans="1:6" ht="30" customHeight="1" x14ac:dyDescent="0.25">
      <c r="A365" s="1" t="s">
        <v>803</v>
      </c>
      <c r="B365" s="1" t="str">
        <f>"9780511156922"</f>
        <v>9780511156922</v>
      </c>
      <c r="C365" s="1" t="s">
        <v>25</v>
      </c>
      <c r="D365" s="2">
        <v>37329</v>
      </c>
      <c r="E365" s="1" t="s">
        <v>804</v>
      </c>
      <c r="F365" s="1" t="s">
        <v>158</v>
      </c>
    </row>
    <row r="366" spans="1:6" ht="30" customHeight="1" x14ac:dyDescent="0.25">
      <c r="A366" s="1" t="s">
        <v>805</v>
      </c>
      <c r="B366" s="1" t="str">
        <f>"9780471476641"</f>
        <v>9780471476641</v>
      </c>
      <c r="C366" s="1" t="s">
        <v>65</v>
      </c>
      <c r="D366" s="2">
        <v>38310</v>
      </c>
      <c r="E366" s="1" t="s">
        <v>806</v>
      </c>
      <c r="F366" s="1" t="s">
        <v>13</v>
      </c>
    </row>
    <row r="367" spans="1:6" ht="30" customHeight="1" x14ac:dyDescent="0.25">
      <c r="A367" s="1" t="s">
        <v>807</v>
      </c>
      <c r="B367" s="1" t="str">
        <f>"9780471702108"</f>
        <v>9780471702108</v>
      </c>
      <c r="C367" s="1" t="s">
        <v>65</v>
      </c>
      <c r="D367" s="2">
        <v>38317</v>
      </c>
      <c r="E367" s="1" t="s">
        <v>808</v>
      </c>
      <c r="F367" s="1" t="s">
        <v>13</v>
      </c>
    </row>
    <row r="368" spans="1:6" ht="30" customHeight="1" x14ac:dyDescent="0.25">
      <c r="A368" s="1" t="s">
        <v>809</v>
      </c>
      <c r="B368" s="1" t="str">
        <f>"9780471686736"</f>
        <v>9780471686736</v>
      </c>
      <c r="C368" s="1" t="s">
        <v>65</v>
      </c>
      <c r="D368" s="2">
        <v>38348</v>
      </c>
      <c r="E368" s="1" t="s">
        <v>810</v>
      </c>
      <c r="F368" s="1" t="s">
        <v>268</v>
      </c>
    </row>
    <row r="369" spans="1:6" ht="30" customHeight="1" x14ac:dyDescent="0.25">
      <c r="A369" s="1" t="s">
        <v>811</v>
      </c>
      <c r="B369" s="1" t="str">
        <f>"9780471692300"</f>
        <v>9780471692300</v>
      </c>
      <c r="C369" s="1" t="s">
        <v>65</v>
      </c>
      <c r="D369" s="2">
        <v>38373</v>
      </c>
      <c r="E369" s="1" t="s">
        <v>812</v>
      </c>
      <c r="F369" s="1" t="s">
        <v>13</v>
      </c>
    </row>
    <row r="370" spans="1:6" ht="30" customHeight="1" x14ac:dyDescent="0.25">
      <c r="A370" s="1" t="s">
        <v>813</v>
      </c>
      <c r="B370" s="1" t="str">
        <f>"9780471693123"</f>
        <v>9780471693123</v>
      </c>
      <c r="C370" s="1" t="s">
        <v>65</v>
      </c>
      <c r="D370" s="2">
        <v>38373</v>
      </c>
      <c r="E370" s="1" t="s">
        <v>814</v>
      </c>
      <c r="F370" s="1" t="s">
        <v>13</v>
      </c>
    </row>
    <row r="371" spans="1:6" ht="30" customHeight="1" x14ac:dyDescent="0.25">
      <c r="A371" s="1" t="s">
        <v>815</v>
      </c>
      <c r="B371" s="1" t="str">
        <f>"9780471694403"</f>
        <v>9780471694403</v>
      </c>
      <c r="C371" s="1" t="s">
        <v>65</v>
      </c>
      <c r="D371" s="2">
        <v>38373</v>
      </c>
      <c r="E371" s="1" t="s">
        <v>816</v>
      </c>
      <c r="F371" s="1" t="s">
        <v>13</v>
      </c>
    </row>
    <row r="372" spans="1:6" ht="30" customHeight="1" x14ac:dyDescent="0.25">
      <c r="A372" s="1" t="s">
        <v>817</v>
      </c>
      <c r="B372" s="1" t="str">
        <f>"9780520950726"</f>
        <v>9780520950726</v>
      </c>
      <c r="C372" s="1" t="s">
        <v>818</v>
      </c>
      <c r="D372" s="2">
        <v>40057</v>
      </c>
      <c r="E372" s="1" t="s">
        <v>819</v>
      </c>
      <c r="F372" s="1" t="s">
        <v>13</v>
      </c>
    </row>
    <row r="373" spans="1:6" ht="30" customHeight="1" x14ac:dyDescent="0.25">
      <c r="A373" s="1" t="s">
        <v>820</v>
      </c>
      <c r="B373" s="1" t="str">
        <f>"9780520927766"</f>
        <v>9780520927766</v>
      </c>
      <c r="C373" s="1" t="s">
        <v>818</v>
      </c>
      <c r="D373" s="2">
        <v>37323</v>
      </c>
      <c r="E373" s="1" t="s">
        <v>821</v>
      </c>
      <c r="F373" s="1" t="s">
        <v>13</v>
      </c>
    </row>
    <row r="374" spans="1:6" ht="30" customHeight="1" x14ac:dyDescent="0.25">
      <c r="A374" s="1" t="s">
        <v>822</v>
      </c>
      <c r="B374" s="1" t="str">
        <f>"9780520936577"</f>
        <v>9780520936577</v>
      </c>
      <c r="C374" s="1" t="s">
        <v>818</v>
      </c>
      <c r="D374" s="2">
        <v>37489</v>
      </c>
      <c r="E374" s="1" t="s">
        <v>823</v>
      </c>
      <c r="F374" s="1" t="s">
        <v>13</v>
      </c>
    </row>
    <row r="375" spans="1:6" ht="30" customHeight="1" x14ac:dyDescent="0.25">
      <c r="A375" s="1" t="s">
        <v>824</v>
      </c>
      <c r="B375" s="1" t="str">
        <f>"9780520927285"</f>
        <v>9780520927285</v>
      </c>
      <c r="C375" s="1" t="s">
        <v>818</v>
      </c>
      <c r="D375" s="2">
        <v>37288</v>
      </c>
      <c r="E375" s="1" t="s">
        <v>825</v>
      </c>
      <c r="F375" s="1" t="s">
        <v>200</v>
      </c>
    </row>
    <row r="376" spans="1:6" ht="30" customHeight="1" x14ac:dyDescent="0.25">
      <c r="A376" s="1" t="s">
        <v>826</v>
      </c>
      <c r="B376" s="1" t="str">
        <f>"9780520938809"</f>
        <v>9780520938809</v>
      </c>
      <c r="C376" s="1" t="s">
        <v>818</v>
      </c>
      <c r="D376" s="2">
        <v>37656</v>
      </c>
      <c r="E376" s="1" t="s">
        <v>827</v>
      </c>
      <c r="F376" s="1" t="s">
        <v>30</v>
      </c>
    </row>
    <row r="377" spans="1:6" ht="30" customHeight="1" x14ac:dyDescent="0.25">
      <c r="A377" s="1" t="s">
        <v>828</v>
      </c>
      <c r="B377" s="1" t="str">
        <f>"9780520935518"</f>
        <v>9780520935518</v>
      </c>
      <c r="C377" s="1" t="s">
        <v>818</v>
      </c>
      <c r="D377" s="2">
        <v>37117</v>
      </c>
      <c r="E377" s="1" t="s">
        <v>829</v>
      </c>
      <c r="F377" s="1" t="s">
        <v>13</v>
      </c>
    </row>
    <row r="378" spans="1:6" ht="30" customHeight="1" x14ac:dyDescent="0.25">
      <c r="A378" s="1" t="s">
        <v>830</v>
      </c>
      <c r="B378" s="1" t="str">
        <f>"9780520931466"</f>
        <v>9780520931466</v>
      </c>
      <c r="C378" s="1" t="s">
        <v>818</v>
      </c>
      <c r="D378" s="2">
        <v>38236</v>
      </c>
      <c r="E378" s="1" t="s">
        <v>831</v>
      </c>
      <c r="F378" s="1" t="s">
        <v>87</v>
      </c>
    </row>
    <row r="379" spans="1:6" ht="30" customHeight="1" x14ac:dyDescent="0.25">
      <c r="A379" s="1" t="s">
        <v>832</v>
      </c>
      <c r="B379" s="1" t="str">
        <f>"9780520938731"</f>
        <v>9780520938731</v>
      </c>
      <c r="C379" s="1" t="s">
        <v>818</v>
      </c>
      <c r="D379" s="2">
        <v>38446</v>
      </c>
      <c r="E379" s="1" t="s">
        <v>833</v>
      </c>
      <c r="F379" s="1" t="s">
        <v>13</v>
      </c>
    </row>
    <row r="380" spans="1:6" ht="30" customHeight="1" x14ac:dyDescent="0.25">
      <c r="A380" s="1" t="s">
        <v>834</v>
      </c>
      <c r="B380" s="1" t="str">
        <f>"9780520923942"</f>
        <v>9780520923942</v>
      </c>
      <c r="C380" s="1" t="s">
        <v>818</v>
      </c>
      <c r="D380" s="2">
        <v>36797</v>
      </c>
      <c r="E380" s="1" t="s">
        <v>835</v>
      </c>
      <c r="F380" s="1" t="s">
        <v>541</v>
      </c>
    </row>
    <row r="381" spans="1:6" ht="30" customHeight="1" x14ac:dyDescent="0.25">
      <c r="A381" s="1" t="s">
        <v>836</v>
      </c>
      <c r="B381" s="1" t="str">
        <f>"9780520937123"</f>
        <v>9780520937123</v>
      </c>
      <c r="C381" s="1" t="s">
        <v>818</v>
      </c>
      <c r="D381" s="2">
        <v>37782</v>
      </c>
      <c r="E381" s="1" t="s">
        <v>837</v>
      </c>
      <c r="F381" s="1" t="s">
        <v>304</v>
      </c>
    </row>
    <row r="382" spans="1:6" ht="30" customHeight="1" x14ac:dyDescent="0.25">
      <c r="A382" s="1" t="s">
        <v>838</v>
      </c>
      <c r="B382" s="1" t="str">
        <f>"9780520925090"</f>
        <v>9780520925090</v>
      </c>
      <c r="C382" s="1" t="s">
        <v>818</v>
      </c>
      <c r="D382" s="2">
        <v>37014</v>
      </c>
      <c r="E382" s="1" t="s">
        <v>839</v>
      </c>
      <c r="F382" s="1" t="s">
        <v>13</v>
      </c>
    </row>
    <row r="383" spans="1:6" ht="30" customHeight="1" x14ac:dyDescent="0.25">
      <c r="A383" s="1" t="s">
        <v>840</v>
      </c>
      <c r="B383" s="1" t="str">
        <f>"9780520939387"</f>
        <v>9780520939387</v>
      </c>
      <c r="C383" s="1" t="s">
        <v>818</v>
      </c>
      <c r="D383" s="2">
        <v>38730</v>
      </c>
      <c r="E383" s="1" t="s">
        <v>841</v>
      </c>
      <c r="F383" s="1" t="s">
        <v>13</v>
      </c>
    </row>
    <row r="384" spans="1:6" ht="30" customHeight="1" x14ac:dyDescent="0.25">
      <c r="A384" s="1" t="s">
        <v>842</v>
      </c>
      <c r="B384" s="1" t="str">
        <f>"9780520939288"</f>
        <v>9780520939288</v>
      </c>
      <c r="C384" s="1" t="s">
        <v>818</v>
      </c>
      <c r="D384" s="2">
        <v>38099</v>
      </c>
      <c r="E384" s="1" t="s">
        <v>843</v>
      </c>
      <c r="F384" s="1" t="s">
        <v>844</v>
      </c>
    </row>
    <row r="385" spans="1:6" ht="30" customHeight="1" x14ac:dyDescent="0.25">
      <c r="A385" s="1" t="s">
        <v>845</v>
      </c>
      <c r="B385" s="1" t="str">
        <f>"9780520939233"</f>
        <v>9780520939233</v>
      </c>
      <c r="C385" s="1" t="s">
        <v>818</v>
      </c>
      <c r="D385" s="2">
        <v>37900</v>
      </c>
      <c r="E385" s="1" t="s">
        <v>846</v>
      </c>
      <c r="F385" s="1" t="s">
        <v>13</v>
      </c>
    </row>
    <row r="386" spans="1:6" ht="30" customHeight="1" x14ac:dyDescent="0.25">
      <c r="A386" s="1" t="s">
        <v>847</v>
      </c>
      <c r="B386" s="1" t="str">
        <f>"9780520938410"</f>
        <v>9780520938410</v>
      </c>
      <c r="C386" s="1" t="s">
        <v>818</v>
      </c>
      <c r="D386" s="2">
        <v>37530</v>
      </c>
      <c r="E386" s="1" t="s">
        <v>848</v>
      </c>
      <c r="F386" s="1" t="s">
        <v>158</v>
      </c>
    </row>
    <row r="387" spans="1:6" ht="30" customHeight="1" x14ac:dyDescent="0.25">
      <c r="A387" s="1" t="s">
        <v>849</v>
      </c>
      <c r="B387" s="1" t="str">
        <f>"9780520925915"</f>
        <v>9780520925915</v>
      </c>
      <c r="C387" s="1" t="s">
        <v>818</v>
      </c>
      <c r="D387" s="2">
        <v>36866</v>
      </c>
      <c r="E387" s="1" t="s">
        <v>850</v>
      </c>
      <c r="F387" s="1" t="s">
        <v>95</v>
      </c>
    </row>
    <row r="388" spans="1:6" ht="30" customHeight="1" x14ac:dyDescent="0.25">
      <c r="A388" s="1" t="s">
        <v>851</v>
      </c>
      <c r="B388" s="1" t="str">
        <f>"9780520930759"</f>
        <v>9780520930759</v>
      </c>
      <c r="C388" s="1" t="s">
        <v>818</v>
      </c>
      <c r="D388" s="2">
        <v>37509</v>
      </c>
      <c r="E388" s="1" t="s">
        <v>852</v>
      </c>
      <c r="F388" s="1" t="s">
        <v>158</v>
      </c>
    </row>
    <row r="389" spans="1:6" ht="30" customHeight="1" x14ac:dyDescent="0.25">
      <c r="A389" s="1" t="s">
        <v>853</v>
      </c>
      <c r="B389" s="1" t="str">
        <f>"9780520931428"</f>
        <v>9780520931428</v>
      </c>
      <c r="C389" s="1" t="s">
        <v>818</v>
      </c>
      <c r="D389" s="2">
        <v>37987</v>
      </c>
      <c r="E389" s="1" t="s">
        <v>854</v>
      </c>
      <c r="F389" s="1" t="s">
        <v>95</v>
      </c>
    </row>
    <row r="390" spans="1:6" ht="30" customHeight="1" x14ac:dyDescent="0.25">
      <c r="A390" s="1" t="s">
        <v>855</v>
      </c>
      <c r="B390" s="1" t="str">
        <f>"9780520938083"</f>
        <v>9780520938083</v>
      </c>
      <c r="C390" s="1" t="s">
        <v>818</v>
      </c>
      <c r="D390" s="2">
        <v>37642</v>
      </c>
      <c r="E390" s="1" t="s">
        <v>856</v>
      </c>
      <c r="F390" s="1" t="s">
        <v>214</v>
      </c>
    </row>
    <row r="391" spans="1:6" ht="30" customHeight="1" x14ac:dyDescent="0.25">
      <c r="A391" s="1" t="s">
        <v>857</v>
      </c>
      <c r="B391" s="1" t="str">
        <f>"9780520938526"</f>
        <v>9780520938526</v>
      </c>
      <c r="C391" s="1" t="s">
        <v>818</v>
      </c>
      <c r="D391" s="2">
        <v>38247</v>
      </c>
      <c r="E391" s="1" t="s">
        <v>858</v>
      </c>
      <c r="F391" s="1" t="s">
        <v>114</v>
      </c>
    </row>
    <row r="392" spans="1:6" ht="30" customHeight="1" x14ac:dyDescent="0.25">
      <c r="A392" s="1" t="s">
        <v>859</v>
      </c>
      <c r="B392" s="1" t="str">
        <f>"9780520923645"</f>
        <v>9780520923645</v>
      </c>
      <c r="C392" s="1" t="s">
        <v>818</v>
      </c>
      <c r="D392" s="2">
        <v>36656</v>
      </c>
      <c r="E392" s="1" t="s">
        <v>860</v>
      </c>
      <c r="F392" s="1" t="s">
        <v>13</v>
      </c>
    </row>
    <row r="393" spans="1:6" ht="30" customHeight="1" x14ac:dyDescent="0.25">
      <c r="A393" s="1" t="s">
        <v>861</v>
      </c>
      <c r="B393" s="1" t="str">
        <f>"9780520926080"</f>
        <v>9780520926080</v>
      </c>
      <c r="C393" s="1" t="s">
        <v>818</v>
      </c>
      <c r="D393" s="2">
        <v>37637</v>
      </c>
      <c r="E393" s="1" t="s">
        <v>862</v>
      </c>
      <c r="F393" s="1" t="s">
        <v>30</v>
      </c>
    </row>
    <row r="394" spans="1:6" ht="30" customHeight="1" x14ac:dyDescent="0.25">
      <c r="A394" s="1" t="s">
        <v>863</v>
      </c>
      <c r="B394" s="1" t="str">
        <f>"9780520925243"</f>
        <v>9780520925243</v>
      </c>
      <c r="C394" s="1" t="s">
        <v>818</v>
      </c>
      <c r="D394" s="2">
        <v>36880</v>
      </c>
      <c r="E394" s="1" t="s">
        <v>864</v>
      </c>
      <c r="F394" s="1" t="s">
        <v>13</v>
      </c>
    </row>
    <row r="395" spans="1:6" ht="30" customHeight="1" x14ac:dyDescent="0.25">
      <c r="A395" s="1" t="s">
        <v>865</v>
      </c>
      <c r="B395" s="1" t="str">
        <f>"9780520929272"</f>
        <v>9780520929272</v>
      </c>
      <c r="C395" s="1" t="s">
        <v>818</v>
      </c>
      <c r="D395" s="2">
        <v>37695</v>
      </c>
      <c r="E395" s="1" t="s">
        <v>866</v>
      </c>
      <c r="F395" s="1" t="s">
        <v>158</v>
      </c>
    </row>
    <row r="396" spans="1:6" ht="30" customHeight="1" x14ac:dyDescent="0.25">
      <c r="A396" s="1" t="s">
        <v>867</v>
      </c>
      <c r="B396" s="1" t="str">
        <f>"9780520929029"</f>
        <v>9780520929029</v>
      </c>
      <c r="C396" s="1" t="s">
        <v>818</v>
      </c>
      <c r="D396" s="2">
        <v>37438</v>
      </c>
      <c r="E396" s="1" t="s">
        <v>868</v>
      </c>
      <c r="F396" s="1" t="s">
        <v>30</v>
      </c>
    </row>
    <row r="397" spans="1:6" ht="30" customHeight="1" x14ac:dyDescent="0.25">
      <c r="A397" s="1" t="s">
        <v>869</v>
      </c>
      <c r="B397" s="1" t="str">
        <f>"9780520928497"</f>
        <v>9780520928497</v>
      </c>
      <c r="C397" s="1" t="s">
        <v>818</v>
      </c>
      <c r="D397" s="2">
        <v>37719</v>
      </c>
      <c r="E397" s="1" t="s">
        <v>870</v>
      </c>
      <c r="F397" s="1" t="s">
        <v>13</v>
      </c>
    </row>
    <row r="398" spans="1:6" ht="30" customHeight="1" x14ac:dyDescent="0.25">
      <c r="A398" s="1" t="s">
        <v>871</v>
      </c>
      <c r="B398" s="1" t="str">
        <f>"9780520939332"</f>
        <v>9780520939332</v>
      </c>
      <c r="C398" s="1" t="s">
        <v>818</v>
      </c>
      <c r="D398" s="2">
        <v>37928</v>
      </c>
      <c r="E398" s="1" t="s">
        <v>872</v>
      </c>
      <c r="F398" s="1" t="s">
        <v>541</v>
      </c>
    </row>
    <row r="399" spans="1:6" ht="30" customHeight="1" x14ac:dyDescent="0.25">
      <c r="A399" s="1" t="s">
        <v>873</v>
      </c>
      <c r="B399" s="1" t="str">
        <f>"9780520939257"</f>
        <v>9780520939257</v>
      </c>
      <c r="C399" s="1" t="s">
        <v>818</v>
      </c>
      <c r="D399" s="2">
        <v>38569</v>
      </c>
      <c r="E399" s="1" t="s">
        <v>874</v>
      </c>
      <c r="F399" s="1" t="s">
        <v>13</v>
      </c>
    </row>
    <row r="400" spans="1:6" ht="30" customHeight="1" x14ac:dyDescent="0.25">
      <c r="A400" s="1" t="s">
        <v>875</v>
      </c>
      <c r="B400" s="1" t="str">
        <f>"9781860945441"</f>
        <v>9781860945441</v>
      </c>
      <c r="C400" s="1" t="s">
        <v>876</v>
      </c>
      <c r="D400" s="2">
        <v>41773</v>
      </c>
      <c r="E400" s="1" t="s">
        <v>877</v>
      </c>
      <c r="F400" s="1" t="s">
        <v>13</v>
      </c>
    </row>
    <row r="401" spans="1:6" ht="30" customHeight="1" x14ac:dyDescent="0.25">
      <c r="A401" s="1" t="s">
        <v>878</v>
      </c>
      <c r="B401" s="1" t="str">
        <f>"9781860945366"</f>
        <v>9781860945366</v>
      </c>
      <c r="C401" s="1" t="s">
        <v>876</v>
      </c>
      <c r="D401" s="2">
        <v>41773</v>
      </c>
      <c r="E401" s="1" t="s">
        <v>879</v>
      </c>
      <c r="F401" s="1" t="s">
        <v>13</v>
      </c>
    </row>
    <row r="402" spans="1:6" ht="30" customHeight="1" x14ac:dyDescent="0.25">
      <c r="A402" s="1" t="s">
        <v>880</v>
      </c>
      <c r="B402" s="1" t="str">
        <f>"9789812563033"</f>
        <v>9789812563033</v>
      </c>
      <c r="C402" s="1" t="s">
        <v>881</v>
      </c>
      <c r="D402" s="2">
        <v>38322</v>
      </c>
      <c r="E402" s="1" t="s">
        <v>882</v>
      </c>
      <c r="F402" s="1" t="s">
        <v>13</v>
      </c>
    </row>
    <row r="403" spans="1:6" ht="30" customHeight="1" x14ac:dyDescent="0.25">
      <c r="A403" s="1" t="s">
        <v>883</v>
      </c>
      <c r="B403" s="1" t="str">
        <f>"9789812562210"</f>
        <v>9789812562210</v>
      </c>
      <c r="C403" s="1" t="s">
        <v>881</v>
      </c>
      <c r="D403" s="2">
        <v>38322</v>
      </c>
      <c r="E403" s="1" t="s">
        <v>884</v>
      </c>
      <c r="F403" s="1" t="s">
        <v>885</v>
      </c>
    </row>
    <row r="404" spans="1:6" ht="30" customHeight="1" x14ac:dyDescent="0.25">
      <c r="A404" s="1" t="s">
        <v>886</v>
      </c>
      <c r="B404" s="1" t="str">
        <f>"9780471681830"</f>
        <v>9780471681830</v>
      </c>
      <c r="C404" s="1" t="s">
        <v>65</v>
      </c>
      <c r="D404" s="2">
        <v>38380</v>
      </c>
      <c r="E404" s="1" t="s">
        <v>887</v>
      </c>
      <c r="F404" s="1" t="s">
        <v>888</v>
      </c>
    </row>
    <row r="405" spans="1:6" ht="30" customHeight="1" x14ac:dyDescent="0.25">
      <c r="A405" s="1" t="s">
        <v>889</v>
      </c>
      <c r="B405" s="1" t="str">
        <f>"9780471694434"</f>
        <v>9780471694434</v>
      </c>
      <c r="C405" s="1" t="s">
        <v>65</v>
      </c>
      <c r="D405" s="2">
        <v>38405</v>
      </c>
      <c r="E405" s="1" t="s">
        <v>890</v>
      </c>
      <c r="F405" s="1" t="s">
        <v>13</v>
      </c>
    </row>
    <row r="406" spans="1:6" ht="30" customHeight="1" x14ac:dyDescent="0.25">
      <c r="A406" s="1" t="s">
        <v>891</v>
      </c>
      <c r="B406" s="1" t="str">
        <f>"9780471709961"</f>
        <v>9780471709961</v>
      </c>
      <c r="C406" s="1" t="s">
        <v>11</v>
      </c>
      <c r="D406" s="2">
        <v>38387</v>
      </c>
      <c r="E406" s="1" t="s">
        <v>892</v>
      </c>
      <c r="F406" s="1" t="s">
        <v>13</v>
      </c>
    </row>
    <row r="407" spans="1:6" ht="30" customHeight="1" x14ac:dyDescent="0.25">
      <c r="A407" s="1" t="s">
        <v>893</v>
      </c>
      <c r="B407" s="1" t="str">
        <f>"9780471675570"</f>
        <v>9780471675570</v>
      </c>
      <c r="C407" s="1" t="s">
        <v>65</v>
      </c>
      <c r="D407" s="2">
        <v>38203</v>
      </c>
      <c r="E407" s="1" t="s">
        <v>894</v>
      </c>
      <c r="F407" s="1" t="s">
        <v>63</v>
      </c>
    </row>
    <row r="408" spans="1:6" ht="30" customHeight="1" x14ac:dyDescent="0.25">
      <c r="A408" s="1" t="s">
        <v>895</v>
      </c>
      <c r="B408" s="1" t="str">
        <f>"9780471270621"</f>
        <v>9780471270621</v>
      </c>
      <c r="C408" s="1" t="s">
        <v>65</v>
      </c>
      <c r="D408" s="2">
        <v>36784</v>
      </c>
      <c r="E408" s="1" t="s">
        <v>896</v>
      </c>
      <c r="F408" s="1" t="s">
        <v>13</v>
      </c>
    </row>
    <row r="409" spans="1:6" ht="30" customHeight="1" x14ac:dyDescent="0.25">
      <c r="A409" s="1" t="s">
        <v>897</v>
      </c>
      <c r="B409" s="1" t="str">
        <f>"9780471721710"</f>
        <v>9780471721710</v>
      </c>
      <c r="C409" s="1" t="s">
        <v>65</v>
      </c>
      <c r="D409" s="2">
        <v>38429</v>
      </c>
      <c r="E409" s="1" t="s">
        <v>898</v>
      </c>
      <c r="F409" s="1" t="s">
        <v>13</v>
      </c>
    </row>
    <row r="410" spans="1:6" ht="30" customHeight="1" x14ac:dyDescent="0.25">
      <c r="A410" s="1" t="s">
        <v>899</v>
      </c>
      <c r="B410" s="1" t="str">
        <f>"9780080491134"</f>
        <v>9780080491134</v>
      </c>
      <c r="C410" s="1" t="s">
        <v>900</v>
      </c>
      <c r="D410" s="2">
        <v>38251</v>
      </c>
      <c r="E410" s="1" t="s">
        <v>901</v>
      </c>
      <c r="F410" s="1" t="s">
        <v>13</v>
      </c>
    </row>
    <row r="411" spans="1:6" ht="30" customHeight="1" x14ac:dyDescent="0.25">
      <c r="A411" s="1" t="s">
        <v>902</v>
      </c>
      <c r="B411" s="1" t="str">
        <f>"9780080519159"</f>
        <v>9780080519159</v>
      </c>
      <c r="C411" s="1" t="s">
        <v>900</v>
      </c>
      <c r="D411" s="2">
        <v>37901</v>
      </c>
      <c r="E411" s="1" t="s">
        <v>903</v>
      </c>
      <c r="F411" s="1" t="s">
        <v>904</v>
      </c>
    </row>
    <row r="412" spans="1:6" ht="30" customHeight="1" x14ac:dyDescent="0.25">
      <c r="A412" s="1" t="s">
        <v>905</v>
      </c>
      <c r="B412" s="1" t="str">
        <f>"9780080475974"</f>
        <v>9780080475974</v>
      </c>
      <c r="C412" s="1" t="s">
        <v>906</v>
      </c>
      <c r="D412" s="2">
        <v>38329</v>
      </c>
      <c r="E412" s="1" t="s">
        <v>907</v>
      </c>
      <c r="F412" s="1" t="s">
        <v>13</v>
      </c>
    </row>
    <row r="413" spans="1:6" ht="30" customHeight="1" x14ac:dyDescent="0.25">
      <c r="A413" s="1" t="s">
        <v>908</v>
      </c>
      <c r="B413" s="1" t="str">
        <f>"9789812562227"</f>
        <v>9789812562227</v>
      </c>
      <c r="C413" s="1" t="s">
        <v>881</v>
      </c>
      <c r="D413" s="2">
        <v>38322</v>
      </c>
      <c r="E413" s="1" t="s">
        <v>909</v>
      </c>
      <c r="F413" s="1" t="s">
        <v>13</v>
      </c>
    </row>
    <row r="414" spans="1:6" ht="30" customHeight="1" x14ac:dyDescent="0.25">
      <c r="A414" s="1" t="s">
        <v>910</v>
      </c>
      <c r="B414" s="1" t="str">
        <f>"9781860945205"</f>
        <v>9781860945205</v>
      </c>
      <c r="C414" s="1" t="s">
        <v>876</v>
      </c>
      <c r="D414" s="2">
        <v>41773</v>
      </c>
      <c r="E414" s="1" t="s">
        <v>911</v>
      </c>
      <c r="F414" s="1" t="s">
        <v>13</v>
      </c>
    </row>
    <row r="415" spans="1:6" ht="30" customHeight="1" x14ac:dyDescent="0.25">
      <c r="A415" s="1" t="s">
        <v>912</v>
      </c>
      <c r="B415" s="1" t="str">
        <f>"9780520935396"</f>
        <v>9780520935396</v>
      </c>
      <c r="C415" s="1" t="s">
        <v>818</v>
      </c>
      <c r="D415" s="2">
        <v>37910</v>
      </c>
      <c r="E415" s="1" t="s">
        <v>913</v>
      </c>
      <c r="F415" s="1" t="s">
        <v>304</v>
      </c>
    </row>
    <row r="416" spans="1:6" ht="30" customHeight="1" x14ac:dyDescent="0.25">
      <c r="A416" s="1" t="s">
        <v>914</v>
      </c>
      <c r="B416" s="1" t="str">
        <f>"9780520940796"</f>
        <v>9780520940796</v>
      </c>
      <c r="C416" s="1" t="s">
        <v>818</v>
      </c>
      <c r="D416" s="2">
        <v>38388</v>
      </c>
      <c r="E416" s="1" t="s">
        <v>43</v>
      </c>
      <c r="F416" s="1" t="s">
        <v>95</v>
      </c>
    </row>
    <row r="417" spans="1:6" ht="30" customHeight="1" x14ac:dyDescent="0.25">
      <c r="A417" s="1" t="s">
        <v>915</v>
      </c>
      <c r="B417" s="1" t="str">
        <f>"9780520930605"</f>
        <v>9780520930605</v>
      </c>
      <c r="C417" s="1" t="s">
        <v>818</v>
      </c>
      <c r="D417" s="2">
        <v>38320</v>
      </c>
      <c r="E417" s="1" t="s">
        <v>916</v>
      </c>
      <c r="F417" s="1" t="s">
        <v>95</v>
      </c>
    </row>
    <row r="418" spans="1:6" ht="30" customHeight="1" x14ac:dyDescent="0.25">
      <c r="A418" s="1" t="s">
        <v>917</v>
      </c>
      <c r="B418" s="1" t="str">
        <f>"9780520927810"</f>
        <v>9780520927810</v>
      </c>
      <c r="C418" s="1" t="s">
        <v>818</v>
      </c>
      <c r="D418" s="2">
        <v>37406</v>
      </c>
      <c r="E418" s="1" t="s">
        <v>918</v>
      </c>
      <c r="F418" s="1" t="s">
        <v>13</v>
      </c>
    </row>
    <row r="419" spans="1:6" ht="30" customHeight="1" x14ac:dyDescent="0.25">
      <c r="A419" s="1" t="s">
        <v>919</v>
      </c>
      <c r="B419" s="1" t="str">
        <f>"9780520939905"</f>
        <v>9780520939905</v>
      </c>
      <c r="C419" s="1" t="s">
        <v>818</v>
      </c>
      <c r="D419" s="2">
        <v>38056</v>
      </c>
      <c r="E419" s="1" t="s">
        <v>920</v>
      </c>
      <c r="F419" s="1" t="s">
        <v>13</v>
      </c>
    </row>
    <row r="420" spans="1:6" ht="30" customHeight="1" x14ac:dyDescent="0.25">
      <c r="A420" s="1" t="s">
        <v>921</v>
      </c>
      <c r="B420" s="1" t="str">
        <f>"9780520939783"</f>
        <v>9780520939783</v>
      </c>
      <c r="C420" s="1" t="s">
        <v>818</v>
      </c>
      <c r="D420" s="2">
        <v>38772</v>
      </c>
      <c r="E420" s="1" t="s">
        <v>922</v>
      </c>
      <c r="F420" s="1" t="s">
        <v>137</v>
      </c>
    </row>
    <row r="421" spans="1:6" ht="30" customHeight="1" x14ac:dyDescent="0.25">
      <c r="A421" s="1" t="s">
        <v>923</v>
      </c>
      <c r="B421" s="1" t="str">
        <f>"9780471720126"</f>
        <v>9780471720126</v>
      </c>
      <c r="C421" s="1" t="s">
        <v>65</v>
      </c>
      <c r="D421" s="2">
        <v>38457</v>
      </c>
      <c r="E421" s="1" t="s">
        <v>924</v>
      </c>
      <c r="F421" s="1" t="s">
        <v>13</v>
      </c>
    </row>
    <row r="422" spans="1:6" ht="30" customHeight="1" x14ac:dyDescent="0.25">
      <c r="A422" s="1" t="s">
        <v>925</v>
      </c>
      <c r="B422" s="1" t="str">
        <f>"9780471698470"</f>
        <v>9780471698470</v>
      </c>
      <c r="C422" s="1" t="s">
        <v>65</v>
      </c>
      <c r="D422" s="2">
        <v>38478</v>
      </c>
      <c r="E422" s="1" t="s">
        <v>926</v>
      </c>
      <c r="F422" s="1" t="s">
        <v>137</v>
      </c>
    </row>
    <row r="423" spans="1:6" ht="30" customHeight="1" x14ac:dyDescent="0.25">
      <c r="A423" s="1" t="s">
        <v>927</v>
      </c>
      <c r="B423" s="1" t="str">
        <f>"9780471711674"</f>
        <v>9780471711674</v>
      </c>
      <c r="C423" s="1" t="s">
        <v>65</v>
      </c>
      <c r="D423" s="2">
        <v>38478</v>
      </c>
      <c r="E423" s="1" t="s">
        <v>928</v>
      </c>
      <c r="F423" s="1" t="s">
        <v>268</v>
      </c>
    </row>
    <row r="424" spans="1:6" ht="30" customHeight="1" x14ac:dyDescent="0.25">
      <c r="A424" s="1" t="s">
        <v>929</v>
      </c>
      <c r="B424" s="1" t="str">
        <f>"9780471735359"</f>
        <v>9780471735359</v>
      </c>
      <c r="C424" s="1" t="s">
        <v>65</v>
      </c>
      <c r="D424" s="2">
        <v>38478</v>
      </c>
      <c r="E424" s="1" t="s">
        <v>930</v>
      </c>
      <c r="F424" s="1" t="s">
        <v>13</v>
      </c>
    </row>
    <row r="425" spans="1:6" ht="30" customHeight="1" x14ac:dyDescent="0.25">
      <c r="A425" s="1" t="s">
        <v>931</v>
      </c>
      <c r="B425" s="1" t="str">
        <f>"9780833032577"</f>
        <v>9780833032577</v>
      </c>
      <c r="C425" s="1" t="s">
        <v>516</v>
      </c>
      <c r="D425" s="2">
        <v>37257</v>
      </c>
      <c r="E425" s="1" t="s">
        <v>932</v>
      </c>
      <c r="F425" s="1" t="s">
        <v>933</v>
      </c>
    </row>
    <row r="426" spans="1:6" ht="30" customHeight="1" x14ac:dyDescent="0.25">
      <c r="A426" s="1" t="s">
        <v>934</v>
      </c>
      <c r="B426" s="1" t="str">
        <f>"9780833032423"</f>
        <v>9780833032423</v>
      </c>
      <c r="C426" s="1" t="s">
        <v>516</v>
      </c>
      <c r="D426" s="2">
        <v>36892</v>
      </c>
      <c r="E426" s="1" t="s">
        <v>935</v>
      </c>
      <c r="F426" s="1" t="s">
        <v>214</v>
      </c>
    </row>
    <row r="427" spans="1:6" ht="30" customHeight="1" x14ac:dyDescent="0.25">
      <c r="A427" s="1" t="s">
        <v>936</v>
      </c>
      <c r="B427" s="1" t="str">
        <f>"9780470867662"</f>
        <v>9780470867662</v>
      </c>
      <c r="C427" s="1" t="s">
        <v>65</v>
      </c>
      <c r="D427" s="2">
        <v>38450</v>
      </c>
      <c r="E427" s="1" t="s">
        <v>937</v>
      </c>
      <c r="F427" s="1" t="s">
        <v>33</v>
      </c>
    </row>
    <row r="428" spans="1:6" ht="30" customHeight="1" x14ac:dyDescent="0.25">
      <c r="A428" s="1" t="s">
        <v>938</v>
      </c>
      <c r="B428" s="1" t="str">
        <f>"9780470011096"</f>
        <v>9780470011096</v>
      </c>
      <c r="C428" s="1" t="s">
        <v>65</v>
      </c>
      <c r="D428" s="2">
        <v>38450</v>
      </c>
      <c r="E428" s="1" t="s">
        <v>939</v>
      </c>
      <c r="F428" s="1" t="s">
        <v>13</v>
      </c>
    </row>
    <row r="429" spans="1:6" ht="30" customHeight="1" x14ac:dyDescent="0.25">
      <c r="A429" s="1" t="s">
        <v>940</v>
      </c>
      <c r="B429" s="1" t="str">
        <f>"9780470012208"</f>
        <v>9780470012208</v>
      </c>
      <c r="C429" s="1" t="s">
        <v>65</v>
      </c>
      <c r="D429" s="2">
        <v>38450</v>
      </c>
      <c r="E429" s="1" t="s">
        <v>941</v>
      </c>
      <c r="F429" s="1" t="s">
        <v>33</v>
      </c>
    </row>
    <row r="430" spans="1:6" ht="30" customHeight="1" x14ac:dyDescent="0.25">
      <c r="A430" s="1" t="s">
        <v>942</v>
      </c>
      <c r="B430" s="1" t="str">
        <f>"9780471721109"</f>
        <v>9780471721109</v>
      </c>
      <c r="C430" s="1" t="s">
        <v>65</v>
      </c>
      <c r="D430" s="2">
        <v>38471</v>
      </c>
      <c r="E430" s="1" t="s">
        <v>943</v>
      </c>
      <c r="F430" s="1" t="s">
        <v>13</v>
      </c>
    </row>
    <row r="431" spans="1:6" ht="30" customHeight="1" x14ac:dyDescent="0.25">
      <c r="A431" s="1" t="s">
        <v>944</v>
      </c>
      <c r="B431" s="1" t="str">
        <f>"9780471727217"</f>
        <v>9780471727217</v>
      </c>
      <c r="C431" s="1" t="s">
        <v>65</v>
      </c>
      <c r="D431" s="2">
        <v>38485</v>
      </c>
      <c r="E431" s="1" t="s">
        <v>945</v>
      </c>
      <c r="F431" s="1" t="s">
        <v>13</v>
      </c>
    </row>
    <row r="432" spans="1:6" ht="30" customHeight="1" x14ac:dyDescent="0.25">
      <c r="A432" s="1" t="s">
        <v>946</v>
      </c>
      <c r="B432" s="1" t="str">
        <f>"9780471734659"</f>
        <v>9780471734659</v>
      </c>
      <c r="C432" s="1" t="s">
        <v>65</v>
      </c>
      <c r="D432" s="2">
        <v>38492</v>
      </c>
      <c r="E432" s="1" t="s">
        <v>924</v>
      </c>
      <c r="F432" s="1" t="s">
        <v>13</v>
      </c>
    </row>
    <row r="433" spans="1:6" ht="30" customHeight="1" x14ac:dyDescent="0.25">
      <c r="A433" s="1" t="s">
        <v>947</v>
      </c>
      <c r="B433" s="1" t="str">
        <f>"9780470986875"</f>
        <v>9780470986875</v>
      </c>
      <c r="C433" s="1" t="s">
        <v>65</v>
      </c>
      <c r="D433" s="2">
        <v>38376</v>
      </c>
      <c r="E433" s="1" t="s">
        <v>948</v>
      </c>
      <c r="F433" s="1" t="s">
        <v>13</v>
      </c>
    </row>
    <row r="434" spans="1:6" ht="30" customHeight="1" x14ac:dyDescent="0.25">
      <c r="A434" s="1" t="s">
        <v>949</v>
      </c>
      <c r="B434" s="1" t="str">
        <f>"9781405140157"</f>
        <v>9781405140157</v>
      </c>
      <c r="C434" s="1" t="s">
        <v>65</v>
      </c>
      <c r="D434" s="2">
        <v>39553</v>
      </c>
      <c r="E434" s="1" t="s">
        <v>950</v>
      </c>
      <c r="F434" s="1" t="s">
        <v>13</v>
      </c>
    </row>
    <row r="435" spans="1:6" ht="30" customHeight="1" x14ac:dyDescent="0.25">
      <c r="A435" s="1" t="s">
        <v>951</v>
      </c>
      <c r="B435" s="1" t="str">
        <f>"9780470752364"</f>
        <v>9780470752364</v>
      </c>
      <c r="C435" s="1" t="s">
        <v>65</v>
      </c>
      <c r="D435" s="2">
        <v>39553</v>
      </c>
      <c r="E435" s="1" t="s">
        <v>952</v>
      </c>
      <c r="F435" s="1" t="s">
        <v>13</v>
      </c>
    </row>
    <row r="436" spans="1:6" ht="30" customHeight="1" x14ac:dyDescent="0.25">
      <c r="A436" s="1" t="s">
        <v>953</v>
      </c>
      <c r="B436" s="1" t="str">
        <f>"9780470986912"</f>
        <v>9780470986912</v>
      </c>
      <c r="C436" s="1" t="s">
        <v>65</v>
      </c>
      <c r="D436" s="2">
        <v>39553</v>
      </c>
      <c r="E436" s="1" t="s">
        <v>954</v>
      </c>
      <c r="F436" s="1" t="s">
        <v>13</v>
      </c>
    </row>
    <row r="437" spans="1:6" ht="30" customHeight="1" x14ac:dyDescent="0.25">
      <c r="A437" s="1" t="s">
        <v>955</v>
      </c>
      <c r="B437" s="1" t="str">
        <f>"9781598753073"</f>
        <v>9781598753073</v>
      </c>
      <c r="C437" s="1" t="s">
        <v>516</v>
      </c>
      <c r="D437" s="2">
        <v>36917</v>
      </c>
      <c r="E437" s="1" t="s">
        <v>956</v>
      </c>
      <c r="F437" s="1" t="s">
        <v>13</v>
      </c>
    </row>
    <row r="438" spans="1:6" ht="30" customHeight="1" x14ac:dyDescent="0.25">
      <c r="A438" s="1" t="s">
        <v>957</v>
      </c>
      <c r="B438" s="1" t="str">
        <f>"9780471715917"</f>
        <v>9780471715917</v>
      </c>
      <c r="C438" s="1" t="s">
        <v>11</v>
      </c>
      <c r="D438" s="2">
        <v>38485</v>
      </c>
      <c r="E438" s="1" t="s">
        <v>958</v>
      </c>
      <c r="F438" s="1" t="s">
        <v>13</v>
      </c>
    </row>
    <row r="439" spans="1:6" ht="30" customHeight="1" x14ac:dyDescent="0.25">
      <c r="A439" s="1" t="s">
        <v>959</v>
      </c>
      <c r="B439" s="1" t="str">
        <f>"9781860945427"</f>
        <v>9781860945427</v>
      </c>
      <c r="C439" s="1" t="s">
        <v>876</v>
      </c>
      <c r="D439" s="2">
        <v>41773</v>
      </c>
      <c r="E439" s="1" t="s">
        <v>960</v>
      </c>
      <c r="F439" s="1" t="s">
        <v>13</v>
      </c>
    </row>
    <row r="440" spans="1:6" ht="30" customHeight="1" x14ac:dyDescent="0.25">
      <c r="A440" s="1" t="s">
        <v>961</v>
      </c>
      <c r="B440" s="1" t="str">
        <f>"9789812562661"</f>
        <v>9789812562661</v>
      </c>
      <c r="C440" s="1" t="s">
        <v>881</v>
      </c>
      <c r="D440" s="2">
        <v>38037</v>
      </c>
      <c r="E440" s="1" t="s">
        <v>962</v>
      </c>
      <c r="F440" s="1" t="s">
        <v>963</v>
      </c>
    </row>
    <row r="441" spans="1:6" ht="30" customHeight="1" x14ac:dyDescent="0.25">
      <c r="A441" s="1" t="s">
        <v>964</v>
      </c>
      <c r="B441" s="1" t="str">
        <f>"9789812562623"</f>
        <v>9789812562623</v>
      </c>
      <c r="C441" s="1" t="s">
        <v>881</v>
      </c>
      <c r="D441" s="2">
        <v>41773</v>
      </c>
      <c r="E441" s="1" t="s">
        <v>965</v>
      </c>
      <c r="F441" s="1" t="s">
        <v>13</v>
      </c>
    </row>
    <row r="442" spans="1:6" ht="30" customHeight="1" x14ac:dyDescent="0.25">
      <c r="A442" s="1" t="s">
        <v>966</v>
      </c>
      <c r="B442" s="1" t="str">
        <f>"9780520938922"</f>
        <v>9780520938922</v>
      </c>
      <c r="C442" s="1" t="s">
        <v>818</v>
      </c>
      <c r="D442" s="2">
        <v>38411</v>
      </c>
      <c r="E442" s="1" t="s">
        <v>967</v>
      </c>
      <c r="F442" s="1" t="s">
        <v>13</v>
      </c>
    </row>
    <row r="443" spans="1:6" ht="30" customHeight="1" x14ac:dyDescent="0.25">
      <c r="A443" s="1" t="s">
        <v>968</v>
      </c>
      <c r="B443" s="1" t="str">
        <f>"9780080476520"</f>
        <v>9780080476520</v>
      </c>
      <c r="C443" s="1" t="s">
        <v>900</v>
      </c>
      <c r="D443" s="2">
        <v>38457</v>
      </c>
      <c r="E443" s="1" t="s">
        <v>969</v>
      </c>
      <c r="F443" s="1" t="s">
        <v>13</v>
      </c>
    </row>
    <row r="444" spans="1:6" ht="30" customHeight="1" x14ac:dyDescent="0.25">
      <c r="A444" s="1" t="s">
        <v>970</v>
      </c>
      <c r="B444" s="1" t="str">
        <f>"9781845446505"</f>
        <v>9781845446505</v>
      </c>
      <c r="C444" s="1" t="s">
        <v>971</v>
      </c>
      <c r="D444" s="2">
        <v>37257</v>
      </c>
      <c r="E444" s="1" t="s">
        <v>972</v>
      </c>
      <c r="F444" s="1" t="s">
        <v>973</v>
      </c>
    </row>
    <row r="445" spans="1:6" ht="30" customHeight="1" x14ac:dyDescent="0.25">
      <c r="A445" s="1" t="s">
        <v>974</v>
      </c>
      <c r="B445" s="1" t="str">
        <f>"9781845444945"</f>
        <v>9781845444945</v>
      </c>
      <c r="C445" s="1" t="s">
        <v>971</v>
      </c>
      <c r="D445" s="2">
        <v>37622</v>
      </c>
      <c r="E445" s="1" t="s">
        <v>975</v>
      </c>
      <c r="F445" s="1" t="s">
        <v>176</v>
      </c>
    </row>
    <row r="446" spans="1:6" ht="30" customHeight="1" x14ac:dyDescent="0.25">
      <c r="A446" s="1" t="s">
        <v>976</v>
      </c>
      <c r="B446" s="1" t="str">
        <f>"9781845446789"</f>
        <v>9781845446789</v>
      </c>
      <c r="C446" s="1" t="s">
        <v>971</v>
      </c>
      <c r="D446" s="2">
        <v>37257</v>
      </c>
      <c r="E446" s="1" t="s">
        <v>977</v>
      </c>
      <c r="F446" s="1" t="s">
        <v>978</v>
      </c>
    </row>
    <row r="447" spans="1:6" ht="30" customHeight="1" x14ac:dyDescent="0.25">
      <c r="A447" s="1" t="s">
        <v>979</v>
      </c>
      <c r="B447" s="1" t="str">
        <f>"9781845446109"</f>
        <v>9781845446109</v>
      </c>
      <c r="C447" s="1" t="s">
        <v>971</v>
      </c>
      <c r="D447" s="2">
        <v>37257</v>
      </c>
      <c r="E447" s="1" t="s">
        <v>980</v>
      </c>
      <c r="F447" s="1" t="s">
        <v>200</v>
      </c>
    </row>
    <row r="448" spans="1:6" ht="30" customHeight="1" x14ac:dyDescent="0.25">
      <c r="A448" s="1" t="s">
        <v>976</v>
      </c>
      <c r="B448" s="1" t="str">
        <f>"9781845445447"</f>
        <v>9781845445447</v>
      </c>
      <c r="C448" s="1" t="s">
        <v>971</v>
      </c>
      <c r="D448" s="2">
        <v>37622</v>
      </c>
      <c r="E448" s="1" t="s">
        <v>981</v>
      </c>
      <c r="F448" s="1" t="s">
        <v>13</v>
      </c>
    </row>
    <row r="449" spans="1:6" ht="30" customHeight="1" x14ac:dyDescent="0.25">
      <c r="A449" s="1" t="s">
        <v>982</v>
      </c>
      <c r="B449" s="1" t="str">
        <f>"9781845446703"</f>
        <v>9781845446703</v>
      </c>
      <c r="C449" s="1" t="s">
        <v>971</v>
      </c>
      <c r="D449" s="2">
        <v>37257</v>
      </c>
      <c r="E449" s="1" t="s">
        <v>983</v>
      </c>
      <c r="F449" s="1" t="s">
        <v>30</v>
      </c>
    </row>
    <row r="450" spans="1:6" ht="30" customHeight="1" x14ac:dyDescent="0.25">
      <c r="A450" s="1" t="s">
        <v>984</v>
      </c>
      <c r="B450" s="1" t="str">
        <f>"9781845445119"</f>
        <v>9781845445119</v>
      </c>
      <c r="C450" s="1" t="s">
        <v>971</v>
      </c>
      <c r="D450" s="2">
        <v>37622</v>
      </c>
      <c r="E450" s="1" t="s">
        <v>985</v>
      </c>
      <c r="F450" s="1" t="s">
        <v>13</v>
      </c>
    </row>
    <row r="451" spans="1:6" ht="30" customHeight="1" x14ac:dyDescent="0.25">
      <c r="A451" s="1" t="s">
        <v>986</v>
      </c>
      <c r="B451" s="1" t="str">
        <f>"9781845446444"</f>
        <v>9781845446444</v>
      </c>
      <c r="C451" s="1" t="s">
        <v>971</v>
      </c>
      <c r="D451" s="2">
        <v>37257</v>
      </c>
      <c r="E451" s="1" t="s">
        <v>987</v>
      </c>
      <c r="F451" s="1" t="s">
        <v>95</v>
      </c>
    </row>
    <row r="452" spans="1:6" ht="30" customHeight="1" x14ac:dyDescent="0.25">
      <c r="A452" s="1" t="s">
        <v>988</v>
      </c>
      <c r="B452" s="1" t="str">
        <f>"9780471728771"</f>
        <v>9780471728771</v>
      </c>
      <c r="C452" s="1" t="s">
        <v>65</v>
      </c>
      <c r="D452" s="2">
        <v>38541</v>
      </c>
      <c r="E452" s="1" t="s">
        <v>989</v>
      </c>
      <c r="F452" s="1" t="s">
        <v>137</v>
      </c>
    </row>
    <row r="453" spans="1:6" ht="30" customHeight="1" x14ac:dyDescent="0.25">
      <c r="A453" s="1" t="s">
        <v>990</v>
      </c>
      <c r="B453" s="1" t="str">
        <f>"9781405143813"</f>
        <v>9781405143813</v>
      </c>
      <c r="C453" s="1" t="s">
        <v>65</v>
      </c>
      <c r="D453" s="2">
        <v>39553</v>
      </c>
      <c r="E453" s="1" t="s">
        <v>991</v>
      </c>
      <c r="F453" s="1" t="s">
        <v>13</v>
      </c>
    </row>
    <row r="454" spans="1:6" ht="30" customHeight="1" x14ac:dyDescent="0.25">
      <c r="A454" s="1" t="s">
        <v>992</v>
      </c>
      <c r="B454" s="1" t="str">
        <f>"9780470994085"</f>
        <v>9780470994085</v>
      </c>
      <c r="C454" s="1" t="s">
        <v>65</v>
      </c>
      <c r="D454" s="2">
        <v>39553</v>
      </c>
      <c r="E454" s="1" t="s">
        <v>993</v>
      </c>
      <c r="F454" s="1" t="s">
        <v>13</v>
      </c>
    </row>
    <row r="455" spans="1:6" ht="30" customHeight="1" x14ac:dyDescent="0.25">
      <c r="A455" s="1" t="s">
        <v>994</v>
      </c>
      <c r="B455" s="1" t="str">
        <f>"9781405146173"</f>
        <v>9781405146173</v>
      </c>
      <c r="C455" s="1" t="s">
        <v>65</v>
      </c>
      <c r="D455" s="2">
        <v>37340</v>
      </c>
      <c r="E455" s="1" t="s">
        <v>995</v>
      </c>
      <c r="F455" s="1" t="s">
        <v>13</v>
      </c>
    </row>
    <row r="456" spans="1:6" ht="30" customHeight="1" x14ac:dyDescent="0.25">
      <c r="A456" s="1" t="s">
        <v>996</v>
      </c>
      <c r="B456" s="1" t="str">
        <f>"9781405146074"</f>
        <v>9781405146074</v>
      </c>
      <c r="C456" s="1" t="s">
        <v>65</v>
      </c>
      <c r="D456" s="2">
        <v>39553</v>
      </c>
      <c r="E456" s="1" t="s">
        <v>997</v>
      </c>
      <c r="F456" s="1" t="s">
        <v>13</v>
      </c>
    </row>
    <row r="457" spans="1:6" ht="30" customHeight="1" x14ac:dyDescent="0.25">
      <c r="A457" s="1" t="s">
        <v>998</v>
      </c>
      <c r="B457" s="1" t="str">
        <f>"9781444302172"</f>
        <v>9781444302172</v>
      </c>
      <c r="C457" s="1" t="s">
        <v>644</v>
      </c>
      <c r="D457" s="2">
        <v>37608</v>
      </c>
      <c r="E457" s="1" t="s">
        <v>999</v>
      </c>
      <c r="F457" s="1" t="s">
        <v>13</v>
      </c>
    </row>
    <row r="458" spans="1:6" ht="30" customHeight="1" x14ac:dyDescent="0.25">
      <c r="A458" s="1" t="s">
        <v>1000</v>
      </c>
      <c r="B458" s="1" t="str">
        <f>"9781405143370"</f>
        <v>9781405143370</v>
      </c>
      <c r="C458" s="1" t="s">
        <v>65</v>
      </c>
      <c r="D458" s="2">
        <v>39553</v>
      </c>
      <c r="E458" s="1" t="s">
        <v>1001</v>
      </c>
      <c r="F458" s="1" t="s">
        <v>13</v>
      </c>
    </row>
    <row r="459" spans="1:6" ht="30" customHeight="1" x14ac:dyDescent="0.25">
      <c r="A459" s="1" t="s">
        <v>1002</v>
      </c>
      <c r="B459" s="1" t="str">
        <f>"9780470790786"</f>
        <v>9780470790786</v>
      </c>
      <c r="C459" s="1" t="s">
        <v>644</v>
      </c>
      <c r="D459" s="2">
        <v>37566</v>
      </c>
      <c r="E459" s="1" t="s">
        <v>1003</v>
      </c>
      <c r="F459" s="1" t="s">
        <v>13</v>
      </c>
    </row>
    <row r="460" spans="1:6" ht="30" customHeight="1" x14ac:dyDescent="0.25">
      <c r="A460" s="1" t="s">
        <v>1004</v>
      </c>
      <c r="B460" s="1" t="str">
        <f>"9781405146067"</f>
        <v>9781405146067</v>
      </c>
      <c r="C460" s="1" t="s">
        <v>644</v>
      </c>
      <c r="D460" s="2">
        <v>37503</v>
      </c>
      <c r="E460" s="1" t="s">
        <v>1005</v>
      </c>
      <c r="F460" s="1" t="s">
        <v>137</v>
      </c>
    </row>
    <row r="461" spans="1:6" ht="30" customHeight="1" x14ac:dyDescent="0.25">
      <c r="A461" s="1" t="s">
        <v>1006</v>
      </c>
      <c r="B461" s="1" t="str">
        <f>"9781845443214"</f>
        <v>9781845443214</v>
      </c>
      <c r="C461" s="1" t="s">
        <v>971</v>
      </c>
      <c r="D461" s="2">
        <v>38443</v>
      </c>
      <c r="E461" s="1" t="s">
        <v>1007</v>
      </c>
      <c r="F461" s="1" t="s">
        <v>95</v>
      </c>
    </row>
    <row r="462" spans="1:6" ht="30" customHeight="1" x14ac:dyDescent="0.25">
      <c r="A462" s="1" t="s">
        <v>1008</v>
      </c>
      <c r="B462" s="1" t="str">
        <f>"9781845442613"</f>
        <v>9781845442613</v>
      </c>
      <c r="C462" s="1" t="s">
        <v>971</v>
      </c>
      <c r="D462" s="2">
        <v>38422</v>
      </c>
      <c r="E462" s="1" t="s">
        <v>1009</v>
      </c>
      <c r="F462" s="1" t="s">
        <v>1010</v>
      </c>
    </row>
    <row r="463" spans="1:6" ht="30" customHeight="1" x14ac:dyDescent="0.25">
      <c r="A463" s="1" t="s">
        <v>1011</v>
      </c>
      <c r="B463" s="1" t="str">
        <f>"9781410611444"</f>
        <v>9781410611444</v>
      </c>
      <c r="C463" s="1" t="s">
        <v>68</v>
      </c>
      <c r="D463" s="2">
        <v>38252</v>
      </c>
      <c r="E463" s="1" t="s">
        <v>1012</v>
      </c>
      <c r="F463" s="1" t="s">
        <v>95</v>
      </c>
    </row>
    <row r="464" spans="1:6" ht="30" customHeight="1" x14ac:dyDescent="0.25">
      <c r="A464" s="1" t="s">
        <v>1013</v>
      </c>
      <c r="B464" s="1" t="str">
        <f>"9780203988633"</f>
        <v>9780203988633</v>
      </c>
      <c r="C464" s="1" t="s">
        <v>93</v>
      </c>
      <c r="D464" s="2">
        <v>35947</v>
      </c>
      <c r="E464" s="1" t="s">
        <v>1014</v>
      </c>
      <c r="F464" s="1" t="s">
        <v>30</v>
      </c>
    </row>
    <row r="465" spans="1:6" ht="30" customHeight="1" x14ac:dyDescent="0.25">
      <c r="A465" s="1" t="s">
        <v>1015</v>
      </c>
      <c r="B465" s="1" t="str">
        <f>"9780203981023"</f>
        <v>9780203981023</v>
      </c>
      <c r="C465" s="1" t="s">
        <v>68</v>
      </c>
      <c r="D465" s="2">
        <v>35901</v>
      </c>
      <c r="E465" s="1" t="s">
        <v>1016</v>
      </c>
      <c r="F465" s="1" t="s">
        <v>13</v>
      </c>
    </row>
    <row r="466" spans="1:6" ht="30" customHeight="1" x14ac:dyDescent="0.25">
      <c r="A466" s="1" t="s">
        <v>1017</v>
      </c>
      <c r="B466" s="1" t="str">
        <f>"9780203981467"</f>
        <v>9780203981467</v>
      </c>
      <c r="C466" s="1" t="s">
        <v>68</v>
      </c>
      <c r="D466" s="2">
        <v>33584</v>
      </c>
      <c r="E466" s="1" t="s">
        <v>1018</v>
      </c>
      <c r="F466" s="1" t="s">
        <v>21</v>
      </c>
    </row>
    <row r="467" spans="1:6" ht="30" customHeight="1" x14ac:dyDescent="0.25">
      <c r="A467" s="1" t="s">
        <v>1019</v>
      </c>
      <c r="B467" s="1" t="str">
        <f>"9780520932340"</f>
        <v>9780520932340</v>
      </c>
      <c r="C467" s="1" t="s">
        <v>818</v>
      </c>
      <c r="D467" s="2">
        <v>38642</v>
      </c>
      <c r="E467" s="1" t="s">
        <v>1020</v>
      </c>
      <c r="F467" s="1" t="s">
        <v>30</v>
      </c>
    </row>
    <row r="468" spans="1:6" ht="30" customHeight="1" x14ac:dyDescent="0.25">
      <c r="A468" s="1" t="s">
        <v>1021</v>
      </c>
      <c r="B468" s="1" t="str">
        <f>"9780253109927"</f>
        <v>9780253109927</v>
      </c>
      <c r="C468" s="1" t="s">
        <v>19</v>
      </c>
      <c r="D468" s="2">
        <v>37790</v>
      </c>
      <c r="E468" s="1" t="s">
        <v>1022</v>
      </c>
      <c r="F468" s="1" t="s">
        <v>205</v>
      </c>
    </row>
    <row r="469" spans="1:6" ht="30" customHeight="1" x14ac:dyDescent="0.25">
      <c r="A469" s="1" t="s">
        <v>1023</v>
      </c>
      <c r="B469" s="1" t="str">
        <f>"9781859591284"</f>
        <v>9781859591284</v>
      </c>
      <c r="C469" s="1" t="s">
        <v>1024</v>
      </c>
      <c r="D469" s="2">
        <v>37560</v>
      </c>
      <c r="E469" s="1" t="s">
        <v>1025</v>
      </c>
      <c r="F469" s="1" t="s">
        <v>13</v>
      </c>
    </row>
    <row r="470" spans="1:6" ht="30" customHeight="1" x14ac:dyDescent="0.25">
      <c r="A470" s="1" t="s">
        <v>1026</v>
      </c>
      <c r="B470" s="1" t="str">
        <f>"9781859591291"</f>
        <v>9781859591291</v>
      </c>
      <c r="C470" s="1" t="s">
        <v>1024</v>
      </c>
      <c r="D470" s="2">
        <v>37895</v>
      </c>
      <c r="E470" s="1" t="s">
        <v>1027</v>
      </c>
      <c r="F470" s="1" t="s">
        <v>70</v>
      </c>
    </row>
    <row r="471" spans="1:6" ht="30" customHeight="1" x14ac:dyDescent="0.25">
      <c r="A471" s="1" t="s">
        <v>1028</v>
      </c>
      <c r="B471" s="1" t="str">
        <f>"9781859591314"</f>
        <v>9781859591314</v>
      </c>
      <c r="C471" s="1" t="s">
        <v>1024</v>
      </c>
      <c r="D471" s="2">
        <v>36892</v>
      </c>
      <c r="E471" s="1" t="s">
        <v>1029</v>
      </c>
      <c r="F471" s="1" t="s">
        <v>13</v>
      </c>
    </row>
    <row r="472" spans="1:6" ht="30" customHeight="1" x14ac:dyDescent="0.25">
      <c r="A472" s="1" t="s">
        <v>1030</v>
      </c>
      <c r="B472" s="1" t="str">
        <f>"9781859591321"</f>
        <v>9781859591321</v>
      </c>
      <c r="C472" s="1" t="s">
        <v>1024</v>
      </c>
      <c r="D472" s="2">
        <v>38372</v>
      </c>
      <c r="E472" s="1" t="s">
        <v>1031</v>
      </c>
      <c r="F472" s="1" t="s">
        <v>13</v>
      </c>
    </row>
    <row r="473" spans="1:6" ht="30" customHeight="1" x14ac:dyDescent="0.25">
      <c r="A473" s="1" t="s">
        <v>1032</v>
      </c>
      <c r="B473" s="1" t="str">
        <f>"9781859590324"</f>
        <v>9781859590324</v>
      </c>
      <c r="C473" s="1" t="s">
        <v>1024</v>
      </c>
      <c r="D473" s="2">
        <v>38126</v>
      </c>
      <c r="E473" s="1" t="s">
        <v>1033</v>
      </c>
      <c r="F473" s="1" t="s">
        <v>13</v>
      </c>
    </row>
    <row r="474" spans="1:6" ht="30" customHeight="1" x14ac:dyDescent="0.25">
      <c r="A474" s="1" t="s">
        <v>1034</v>
      </c>
      <c r="B474" s="1" t="str">
        <f>"9781859590157"</f>
        <v>9781859590157</v>
      </c>
      <c r="C474" s="1" t="s">
        <v>1024</v>
      </c>
      <c r="D474" s="2">
        <v>37226</v>
      </c>
      <c r="E474" s="1" t="s">
        <v>1035</v>
      </c>
      <c r="F474" s="1" t="s">
        <v>13</v>
      </c>
    </row>
    <row r="475" spans="1:6" ht="30" customHeight="1" x14ac:dyDescent="0.25">
      <c r="A475" s="1" t="s">
        <v>1036</v>
      </c>
      <c r="B475" s="1" t="str">
        <f>"9781859591338"</f>
        <v>9781859591338</v>
      </c>
      <c r="C475" s="1" t="s">
        <v>1024</v>
      </c>
      <c r="D475" s="2">
        <v>37653</v>
      </c>
      <c r="E475" s="1" t="s">
        <v>1037</v>
      </c>
      <c r="F475" s="1" t="s">
        <v>13</v>
      </c>
    </row>
    <row r="476" spans="1:6" ht="30" customHeight="1" x14ac:dyDescent="0.25">
      <c r="A476" s="1" t="s">
        <v>1038</v>
      </c>
      <c r="B476" s="1" t="str">
        <f>"9781859590188"</f>
        <v>9781859590188</v>
      </c>
      <c r="C476" s="1" t="s">
        <v>1024</v>
      </c>
      <c r="D476" s="2">
        <v>37196</v>
      </c>
      <c r="E476" s="1" t="s">
        <v>1039</v>
      </c>
      <c r="F476" s="1" t="s">
        <v>13</v>
      </c>
    </row>
    <row r="477" spans="1:6" ht="30" customHeight="1" x14ac:dyDescent="0.25">
      <c r="A477" s="1" t="s">
        <v>1040</v>
      </c>
      <c r="B477" s="1" t="str">
        <f>"9781859591352"</f>
        <v>9781859591352</v>
      </c>
      <c r="C477" s="1" t="s">
        <v>1024</v>
      </c>
      <c r="D477" s="2">
        <v>38047</v>
      </c>
      <c r="E477" s="1" t="s">
        <v>1041</v>
      </c>
      <c r="F477" s="1" t="s">
        <v>13</v>
      </c>
    </row>
    <row r="478" spans="1:6" ht="30" customHeight="1" x14ac:dyDescent="0.25">
      <c r="A478" s="1" t="s">
        <v>1042</v>
      </c>
      <c r="B478" s="1" t="str">
        <f>"9781859591369"</f>
        <v>9781859591369</v>
      </c>
      <c r="C478" s="1" t="s">
        <v>1024</v>
      </c>
      <c r="D478" s="2">
        <v>37987</v>
      </c>
      <c r="E478" s="1" t="s">
        <v>1043</v>
      </c>
      <c r="F478" s="1" t="s">
        <v>13</v>
      </c>
    </row>
    <row r="479" spans="1:6" ht="30" customHeight="1" x14ac:dyDescent="0.25">
      <c r="A479" s="1" t="s">
        <v>1044</v>
      </c>
      <c r="B479" s="1" t="str">
        <f>"9781859591376"</f>
        <v>9781859591376</v>
      </c>
      <c r="C479" s="1" t="s">
        <v>1024</v>
      </c>
      <c r="D479" s="2">
        <v>37347</v>
      </c>
      <c r="E479" s="1" t="s">
        <v>1045</v>
      </c>
      <c r="F479" s="1" t="s">
        <v>13</v>
      </c>
    </row>
    <row r="480" spans="1:6" ht="30" customHeight="1" x14ac:dyDescent="0.25">
      <c r="A480" s="1" t="s">
        <v>1046</v>
      </c>
      <c r="B480" s="1" t="str">
        <f>"9781859591390"</f>
        <v>9781859591390</v>
      </c>
      <c r="C480" s="1" t="s">
        <v>1024</v>
      </c>
      <c r="D480" s="2">
        <v>37895</v>
      </c>
      <c r="E480" s="1" t="s">
        <v>1047</v>
      </c>
      <c r="F480" s="1" t="s">
        <v>13</v>
      </c>
    </row>
    <row r="481" spans="1:6" ht="30" customHeight="1" x14ac:dyDescent="0.25">
      <c r="A481" s="1" t="s">
        <v>1048</v>
      </c>
      <c r="B481" s="1" t="str">
        <f>"9781859591406"</f>
        <v>9781859591406</v>
      </c>
      <c r="C481" s="1" t="s">
        <v>1024</v>
      </c>
      <c r="D481" s="2">
        <v>37820</v>
      </c>
      <c r="E481" s="1" t="s">
        <v>1049</v>
      </c>
      <c r="F481" s="1" t="s">
        <v>13</v>
      </c>
    </row>
    <row r="482" spans="1:6" ht="30" customHeight="1" x14ac:dyDescent="0.25">
      <c r="A482" s="1" t="s">
        <v>1050</v>
      </c>
      <c r="B482" s="1" t="str">
        <f>"9781859590218"</f>
        <v>9781859590218</v>
      </c>
      <c r="C482" s="1" t="s">
        <v>1024</v>
      </c>
      <c r="D482" s="2">
        <v>36557</v>
      </c>
      <c r="E482" s="1" t="s">
        <v>1051</v>
      </c>
      <c r="F482" s="1" t="s">
        <v>13</v>
      </c>
    </row>
    <row r="483" spans="1:6" ht="30" customHeight="1" x14ac:dyDescent="0.25">
      <c r="A483" s="1" t="s">
        <v>1052</v>
      </c>
      <c r="B483" s="1" t="str">
        <f>"9781859591413"</f>
        <v>9781859591413</v>
      </c>
      <c r="C483" s="1" t="s">
        <v>1024</v>
      </c>
      <c r="D483" s="2">
        <v>37500</v>
      </c>
      <c r="E483" s="1" t="s">
        <v>1053</v>
      </c>
      <c r="F483" s="1" t="s">
        <v>13</v>
      </c>
    </row>
    <row r="484" spans="1:6" ht="30" customHeight="1" x14ac:dyDescent="0.25">
      <c r="A484" s="1" t="s">
        <v>1054</v>
      </c>
      <c r="B484" s="1" t="str">
        <f>"9781859591420"</f>
        <v>9781859591420</v>
      </c>
      <c r="C484" s="1" t="s">
        <v>1024</v>
      </c>
      <c r="D484" s="2">
        <v>38224</v>
      </c>
      <c r="E484" s="1" t="s">
        <v>1055</v>
      </c>
      <c r="F484" s="1" t="s">
        <v>13</v>
      </c>
    </row>
    <row r="485" spans="1:6" ht="30" customHeight="1" x14ac:dyDescent="0.25">
      <c r="A485" s="1" t="s">
        <v>1056</v>
      </c>
      <c r="B485" s="1" t="str">
        <f>"9781859590300"</f>
        <v>9781859590300</v>
      </c>
      <c r="C485" s="1" t="s">
        <v>1024</v>
      </c>
      <c r="D485" s="2">
        <v>38261</v>
      </c>
      <c r="E485" s="1" t="s">
        <v>1057</v>
      </c>
      <c r="F485" s="1" t="s">
        <v>13</v>
      </c>
    </row>
    <row r="486" spans="1:6" ht="30" customHeight="1" x14ac:dyDescent="0.25">
      <c r="A486" s="1" t="s">
        <v>1058</v>
      </c>
      <c r="B486" s="1" t="str">
        <f>"9781859590249"</f>
        <v>9781859590249</v>
      </c>
      <c r="C486" s="1" t="s">
        <v>1024</v>
      </c>
      <c r="D486" s="2">
        <v>38292</v>
      </c>
      <c r="E486" s="1" t="s">
        <v>1059</v>
      </c>
      <c r="F486" s="1" t="s">
        <v>13</v>
      </c>
    </row>
    <row r="487" spans="1:6" ht="30" customHeight="1" x14ac:dyDescent="0.25">
      <c r="A487" s="1" t="s">
        <v>1060</v>
      </c>
      <c r="B487" s="1" t="str">
        <f>"9781859590355"</f>
        <v>9781859590355</v>
      </c>
      <c r="C487" s="1" t="s">
        <v>1024</v>
      </c>
      <c r="D487" s="2">
        <v>38343</v>
      </c>
      <c r="E487" s="1" t="s">
        <v>1061</v>
      </c>
      <c r="F487" s="1" t="s">
        <v>13</v>
      </c>
    </row>
    <row r="488" spans="1:6" ht="30" customHeight="1" x14ac:dyDescent="0.25">
      <c r="A488" s="1" t="s">
        <v>1062</v>
      </c>
      <c r="B488" s="1" t="str">
        <f>"9781859591444"</f>
        <v>9781859591444</v>
      </c>
      <c r="C488" s="1" t="s">
        <v>1024</v>
      </c>
      <c r="D488" s="2">
        <v>38018</v>
      </c>
      <c r="E488" s="1" t="s">
        <v>1063</v>
      </c>
      <c r="F488" s="1" t="s">
        <v>13</v>
      </c>
    </row>
    <row r="489" spans="1:6" ht="30" customHeight="1" x14ac:dyDescent="0.25">
      <c r="A489" s="1" t="s">
        <v>1064</v>
      </c>
      <c r="B489" s="1" t="str">
        <f>"9781860945908"</f>
        <v>9781860945908</v>
      </c>
      <c r="C489" s="1" t="s">
        <v>876</v>
      </c>
      <c r="D489" s="2">
        <v>41773</v>
      </c>
      <c r="E489" s="1" t="s">
        <v>1065</v>
      </c>
      <c r="F489" s="1" t="s">
        <v>13</v>
      </c>
    </row>
    <row r="490" spans="1:6" ht="30" customHeight="1" x14ac:dyDescent="0.25">
      <c r="A490" s="1" t="s">
        <v>1066</v>
      </c>
      <c r="B490" s="1" t="str">
        <f>"9789812565556"</f>
        <v>9789812565556</v>
      </c>
      <c r="C490" s="1" t="s">
        <v>881</v>
      </c>
      <c r="D490" s="2">
        <v>38322</v>
      </c>
      <c r="E490" s="1" t="s">
        <v>1067</v>
      </c>
      <c r="F490" s="1" t="s">
        <v>148</v>
      </c>
    </row>
    <row r="491" spans="1:6" ht="30" customHeight="1" x14ac:dyDescent="0.25">
      <c r="A491" s="1" t="s">
        <v>1068</v>
      </c>
      <c r="B491" s="1" t="str">
        <f>"9789812565471"</f>
        <v>9789812565471</v>
      </c>
      <c r="C491" s="1" t="s">
        <v>881</v>
      </c>
      <c r="D491" s="2">
        <v>41773</v>
      </c>
      <c r="E491" s="1" t="s">
        <v>1069</v>
      </c>
      <c r="F491" s="1" t="s">
        <v>148</v>
      </c>
    </row>
    <row r="492" spans="1:6" ht="30" customHeight="1" x14ac:dyDescent="0.25">
      <c r="A492" s="1" t="s">
        <v>1070</v>
      </c>
      <c r="B492" s="1" t="str">
        <f>"9781405147859"</f>
        <v>9781405147859</v>
      </c>
      <c r="C492" s="1" t="s">
        <v>65</v>
      </c>
      <c r="D492" s="2">
        <v>39553</v>
      </c>
      <c r="E492" s="1" t="s">
        <v>1071</v>
      </c>
      <c r="F492" s="1" t="s">
        <v>13</v>
      </c>
    </row>
    <row r="493" spans="1:6" ht="30" customHeight="1" x14ac:dyDescent="0.25">
      <c r="A493" s="1" t="s">
        <v>1072</v>
      </c>
      <c r="B493" s="1" t="str">
        <f>"9780203991657"</f>
        <v>9780203991657</v>
      </c>
      <c r="C493" s="1" t="s">
        <v>68</v>
      </c>
      <c r="D493" s="2">
        <v>35222</v>
      </c>
      <c r="E493" s="1" t="s">
        <v>1073</v>
      </c>
      <c r="F493" s="1" t="s">
        <v>148</v>
      </c>
    </row>
    <row r="494" spans="1:6" ht="30" customHeight="1" x14ac:dyDescent="0.25">
      <c r="A494" s="1" t="s">
        <v>1074</v>
      </c>
      <c r="B494" s="1" t="str">
        <f>"9780203982549"</f>
        <v>9780203982549</v>
      </c>
      <c r="C494" s="1" t="s">
        <v>68</v>
      </c>
      <c r="D494" s="2">
        <v>36272</v>
      </c>
      <c r="E494" s="1" t="s">
        <v>1075</v>
      </c>
      <c r="F494" s="1" t="s">
        <v>30</v>
      </c>
    </row>
    <row r="495" spans="1:6" ht="30" customHeight="1" x14ac:dyDescent="0.25">
      <c r="A495" s="1" t="s">
        <v>1076</v>
      </c>
      <c r="B495" s="1" t="str">
        <f>"9780253110787"</f>
        <v>9780253110787</v>
      </c>
      <c r="C495" s="1" t="s">
        <v>19</v>
      </c>
      <c r="D495" s="2">
        <v>38119</v>
      </c>
      <c r="E495" s="1" t="s">
        <v>1077</v>
      </c>
      <c r="F495" s="1" t="s">
        <v>1078</v>
      </c>
    </row>
    <row r="496" spans="1:6" ht="30" customHeight="1" x14ac:dyDescent="0.25">
      <c r="A496" s="1" t="s">
        <v>1079</v>
      </c>
      <c r="B496" s="1" t="str">
        <f>"9780520931633"</f>
        <v>9780520931633</v>
      </c>
      <c r="C496" s="1" t="s">
        <v>818</v>
      </c>
      <c r="D496" s="2">
        <v>38667</v>
      </c>
      <c r="E496" s="1" t="s">
        <v>1080</v>
      </c>
      <c r="F496" s="1" t="s">
        <v>95</v>
      </c>
    </row>
    <row r="497" spans="1:6" ht="30" customHeight="1" x14ac:dyDescent="0.25">
      <c r="A497" s="1" t="s">
        <v>1081</v>
      </c>
      <c r="B497" s="1" t="str">
        <f>"9781933995335"</f>
        <v>9781933995335</v>
      </c>
      <c r="C497" s="1" t="s">
        <v>1082</v>
      </c>
      <c r="D497" s="2">
        <v>38638</v>
      </c>
      <c r="E497" s="1" t="s">
        <v>1083</v>
      </c>
      <c r="F497" s="1" t="s">
        <v>30</v>
      </c>
    </row>
    <row r="498" spans="1:6" ht="30" customHeight="1" x14ac:dyDescent="0.25">
      <c r="A498" s="1" t="s">
        <v>1084</v>
      </c>
      <c r="B498" s="1" t="str">
        <f>"9789812565662"</f>
        <v>9789812565662</v>
      </c>
      <c r="C498" s="1" t="s">
        <v>881</v>
      </c>
      <c r="D498" s="2">
        <v>38322</v>
      </c>
      <c r="E498" s="1" t="s">
        <v>1085</v>
      </c>
      <c r="F498" s="1" t="s">
        <v>13</v>
      </c>
    </row>
    <row r="499" spans="1:6" ht="30" customHeight="1" x14ac:dyDescent="0.25">
      <c r="A499" s="1" t="s">
        <v>1086</v>
      </c>
      <c r="B499" s="1" t="str">
        <f>"9789812565778"</f>
        <v>9789812565778</v>
      </c>
      <c r="C499" s="1" t="s">
        <v>881</v>
      </c>
      <c r="D499" s="2">
        <v>38322</v>
      </c>
      <c r="E499" s="1" t="s">
        <v>1087</v>
      </c>
      <c r="F499" s="1" t="s">
        <v>13</v>
      </c>
    </row>
    <row r="500" spans="1:6" ht="30" customHeight="1" x14ac:dyDescent="0.25">
      <c r="A500" s="1" t="s">
        <v>1088</v>
      </c>
      <c r="B500" s="1" t="str">
        <f>"9789812565686"</f>
        <v>9789812565686</v>
      </c>
      <c r="C500" s="1" t="s">
        <v>881</v>
      </c>
      <c r="D500" s="2">
        <v>38322</v>
      </c>
      <c r="E500" s="1" t="s">
        <v>1089</v>
      </c>
      <c r="F500" s="1" t="s">
        <v>13</v>
      </c>
    </row>
    <row r="501" spans="1:6" ht="30" customHeight="1" x14ac:dyDescent="0.25">
      <c r="A501" s="1" t="s">
        <v>1090</v>
      </c>
      <c r="B501" s="1" t="str">
        <f>"9789812565860"</f>
        <v>9789812565860</v>
      </c>
      <c r="C501" s="1" t="s">
        <v>881</v>
      </c>
      <c r="D501" s="2">
        <v>38687</v>
      </c>
      <c r="E501" s="1" t="s">
        <v>1091</v>
      </c>
      <c r="F501" s="1" t="s">
        <v>13</v>
      </c>
    </row>
    <row r="502" spans="1:6" ht="30" customHeight="1" x14ac:dyDescent="0.25">
      <c r="A502" s="1" t="s">
        <v>1092</v>
      </c>
      <c r="B502" s="1" t="str">
        <f>"9780520938915"</f>
        <v>9780520938915</v>
      </c>
      <c r="C502" s="1" t="s">
        <v>818</v>
      </c>
      <c r="D502" s="2">
        <v>38665</v>
      </c>
      <c r="E502" s="1" t="s">
        <v>1093</v>
      </c>
      <c r="F502" s="1" t="s">
        <v>30</v>
      </c>
    </row>
    <row r="503" spans="1:6" ht="30" customHeight="1" x14ac:dyDescent="0.25">
      <c r="A503" s="1" t="s">
        <v>1094</v>
      </c>
      <c r="B503" s="1" t="str">
        <f>"9780203336908"</f>
        <v>9780203336908</v>
      </c>
      <c r="C503" s="1" t="s">
        <v>68</v>
      </c>
      <c r="D503" s="2">
        <v>38201</v>
      </c>
      <c r="E503" s="1" t="s">
        <v>1095</v>
      </c>
      <c r="F503" s="1" t="s">
        <v>13</v>
      </c>
    </row>
    <row r="504" spans="1:6" ht="30" customHeight="1" x14ac:dyDescent="0.25">
      <c r="A504" s="1" t="s">
        <v>1096</v>
      </c>
      <c r="B504" s="1" t="str">
        <f>"9780203976357"</f>
        <v>9780203976357</v>
      </c>
      <c r="C504" s="1" t="s">
        <v>68</v>
      </c>
      <c r="D504" s="2">
        <v>34681</v>
      </c>
      <c r="E504" s="1" t="s">
        <v>1097</v>
      </c>
      <c r="F504" s="1" t="s">
        <v>13</v>
      </c>
    </row>
    <row r="505" spans="1:6" ht="30" customHeight="1" x14ac:dyDescent="0.25">
      <c r="A505" s="1" t="s">
        <v>1098</v>
      </c>
      <c r="B505" s="1" t="str">
        <f>"9780203977446"</f>
        <v>9780203977446</v>
      </c>
      <c r="C505" s="1" t="s">
        <v>68</v>
      </c>
      <c r="D505" s="2">
        <v>34319</v>
      </c>
      <c r="E505" s="1" t="s">
        <v>1099</v>
      </c>
      <c r="F505" s="1" t="s">
        <v>13</v>
      </c>
    </row>
    <row r="506" spans="1:6" ht="30" customHeight="1" x14ac:dyDescent="0.25">
      <c r="A506" s="1" t="s">
        <v>1100</v>
      </c>
      <c r="B506" s="1" t="str">
        <f>"9780203977521"</f>
        <v>9780203977521</v>
      </c>
      <c r="C506" s="1" t="s">
        <v>68</v>
      </c>
      <c r="D506" s="2">
        <v>41773</v>
      </c>
      <c r="E506" s="1" t="s">
        <v>1101</v>
      </c>
      <c r="F506" s="1" t="s">
        <v>13</v>
      </c>
    </row>
    <row r="507" spans="1:6" ht="30" customHeight="1" x14ac:dyDescent="0.25">
      <c r="A507" s="1" t="s">
        <v>1102</v>
      </c>
      <c r="B507" s="1" t="str">
        <f>"9780203977576"</f>
        <v>9780203977576</v>
      </c>
      <c r="C507" s="1" t="s">
        <v>68</v>
      </c>
      <c r="D507" s="2">
        <v>35432</v>
      </c>
      <c r="E507" s="1" t="s">
        <v>1103</v>
      </c>
      <c r="F507" s="1" t="s">
        <v>13</v>
      </c>
    </row>
    <row r="508" spans="1:6" ht="30" customHeight="1" x14ac:dyDescent="0.25">
      <c r="A508" s="1" t="s">
        <v>1104</v>
      </c>
      <c r="B508" s="1" t="str">
        <f>"9780203980651"</f>
        <v>9780203980651</v>
      </c>
      <c r="C508" s="1" t="s">
        <v>68</v>
      </c>
      <c r="D508" s="2">
        <v>35908</v>
      </c>
      <c r="E508" s="1" t="s">
        <v>1105</v>
      </c>
      <c r="F508" s="1" t="s">
        <v>30</v>
      </c>
    </row>
    <row r="509" spans="1:6" ht="30" customHeight="1" x14ac:dyDescent="0.25">
      <c r="A509" s="1" t="s">
        <v>1106</v>
      </c>
      <c r="B509" s="1" t="str">
        <f>"9780203983256"</f>
        <v>9780203983256</v>
      </c>
      <c r="C509" s="1" t="s">
        <v>68</v>
      </c>
      <c r="D509" s="2">
        <v>36412</v>
      </c>
      <c r="E509" s="1" t="s">
        <v>1107</v>
      </c>
      <c r="F509" s="1" t="s">
        <v>33</v>
      </c>
    </row>
    <row r="510" spans="1:6" ht="30" customHeight="1" x14ac:dyDescent="0.25">
      <c r="A510" s="1" t="s">
        <v>1108</v>
      </c>
      <c r="B510" s="1" t="str">
        <f>"9780203991299"</f>
        <v>9780203991299</v>
      </c>
      <c r="C510" s="1" t="s">
        <v>68</v>
      </c>
      <c r="D510" s="2">
        <v>33521</v>
      </c>
      <c r="E510" s="1" t="s">
        <v>1109</v>
      </c>
      <c r="F510" s="1" t="s">
        <v>13</v>
      </c>
    </row>
    <row r="511" spans="1:6" ht="30" customHeight="1" x14ac:dyDescent="0.25">
      <c r="A511" s="1" t="s">
        <v>1110</v>
      </c>
      <c r="B511" s="1" t="str">
        <f>"9780203995761"</f>
        <v>9780203995761</v>
      </c>
      <c r="C511" s="1" t="s">
        <v>68</v>
      </c>
      <c r="D511" s="2">
        <v>36867</v>
      </c>
      <c r="E511" s="1" t="s">
        <v>1111</v>
      </c>
      <c r="F511" s="1" t="s">
        <v>126</v>
      </c>
    </row>
    <row r="512" spans="1:6" ht="30" customHeight="1" x14ac:dyDescent="0.25">
      <c r="A512" s="1" t="s">
        <v>1112</v>
      </c>
      <c r="B512" s="1" t="str">
        <f>"9780203997253"</f>
        <v>9780203997253</v>
      </c>
      <c r="C512" s="1" t="s">
        <v>68</v>
      </c>
      <c r="D512" s="2">
        <v>38348</v>
      </c>
      <c r="E512" s="1" t="s">
        <v>1113</v>
      </c>
      <c r="F512" s="1" t="s">
        <v>13</v>
      </c>
    </row>
    <row r="513" spans="1:6" ht="30" customHeight="1" x14ac:dyDescent="0.25">
      <c r="A513" s="1" t="s">
        <v>1114</v>
      </c>
      <c r="B513" s="1" t="str">
        <f>"9780203999882"</f>
        <v>9780203999882</v>
      </c>
      <c r="C513" s="1" t="s">
        <v>172</v>
      </c>
      <c r="D513" s="2">
        <v>34424</v>
      </c>
      <c r="E513" s="1" t="s">
        <v>1115</v>
      </c>
      <c r="F513" s="1" t="s">
        <v>137</v>
      </c>
    </row>
    <row r="514" spans="1:6" ht="30" customHeight="1" x14ac:dyDescent="0.25">
      <c r="A514" s="1" t="s">
        <v>1116</v>
      </c>
      <c r="B514" s="1" t="str">
        <f>"9780195186604"</f>
        <v>9780195186604</v>
      </c>
      <c r="C514" s="1" t="s">
        <v>1117</v>
      </c>
      <c r="D514" s="2">
        <v>36526</v>
      </c>
      <c r="E514" s="1" t="s">
        <v>1118</v>
      </c>
      <c r="F514" s="1" t="s">
        <v>13</v>
      </c>
    </row>
    <row r="515" spans="1:6" ht="30" customHeight="1" x14ac:dyDescent="0.25">
      <c r="A515" s="1" t="s">
        <v>1119</v>
      </c>
      <c r="B515" s="1" t="str">
        <f>"9780198026297"</f>
        <v>9780198026297</v>
      </c>
      <c r="C515" s="1" t="s">
        <v>1120</v>
      </c>
      <c r="D515" s="2">
        <v>36104</v>
      </c>
      <c r="E515" s="1" t="s">
        <v>1121</v>
      </c>
      <c r="F515" s="1" t="s">
        <v>13</v>
      </c>
    </row>
    <row r="516" spans="1:6" ht="30" customHeight="1" x14ac:dyDescent="0.25">
      <c r="A516" s="1" t="s">
        <v>1122</v>
      </c>
      <c r="B516" s="1" t="str">
        <f>"9780198023265"</f>
        <v>9780198023265</v>
      </c>
      <c r="C516" s="1" t="s">
        <v>1123</v>
      </c>
      <c r="D516" s="2">
        <v>35264</v>
      </c>
      <c r="E516" s="1" t="s">
        <v>1124</v>
      </c>
      <c r="F516" s="1" t="s">
        <v>13</v>
      </c>
    </row>
    <row r="517" spans="1:6" ht="30" customHeight="1" x14ac:dyDescent="0.25">
      <c r="A517" s="1" t="s">
        <v>1125</v>
      </c>
      <c r="B517" s="1" t="str">
        <f>"9781601298867"</f>
        <v>9781601298867</v>
      </c>
      <c r="C517" s="1" t="s">
        <v>1117</v>
      </c>
      <c r="D517" s="2">
        <v>33848</v>
      </c>
      <c r="E517" s="1" t="s">
        <v>1126</v>
      </c>
      <c r="F517" s="1" t="s">
        <v>1127</v>
      </c>
    </row>
    <row r="518" spans="1:6" ht="30" customHeight="1" x14ac:dyDescent="0.25">
      <c r="A518" s="1" t="s">
        <v>1128</v>
      </c>
      <c r="B518" s="1" t="str">
        <f>"9780198020912"</f>
        <v>9780198020912</v>
      </c>
      <c r="C518" s="1" t="s">
        <v>1120</v>
      </c>
      <c r="D518" s="2">
        <v>32457</v>
      </c>
      <c r="E518" s="1" t="s">
        <v>1129</v>
      </c>
      <c r="F518" s="1" t="s">
        <v>13</v>
      </c>
    </row>
    <row r="519" spans="1:6" ht="30" customHeight="1" x14ac:dyDescent="0.25">
      <c r="A519" s="1" t="s">
        <v>1130</v>
      </c>
      <c r="B519" s="1" t="str">
        <f>"9780198024262"</f>
        <v>9780198024262</v>
      </c>
      <c r="C519" s="1" t="s">
        <v>1123</v>
      </c>
      <c r="D519" s="2">
        <v>34809</v>
      </c>
      <c r="E519" s="1" t="s">
        <v>1131</v>
      </c>
      <c r="F519" s="1" t="s">
        <v>205</v>
      </c>
    </row>
    <row r="520" spans="1:6" ht="30" customHeight="1" x14ac:dyDescent="0.25">
      <c r="A520" s="1" t="s">
        <v>1132</v>
      </c>
      <c r="B520" s="1" t="str">
        <f>"9780198027171"</f>
        <v>9780198027171</v>
      </c>
      <c r="C520" s="1" t="s">
        <v>1123</v>
      </c>
      <c r="D520" s="2">
        <v>35670</v>
      </c>
      <c r="E520" s="1" t="s">
        <v>1133</v>
      </c>
      <c r="F520" s="1" t="s">
        <v>158</v>
      </c>
    </row>
    <row r="521" spans="1:6" ht="30" customHeight="1" x14ac:dyDescent="0.25">
      <c r="A521" s="1" t="s">
        <v>1134</v>
      </c>
      <c r="B521" s="1" t="str">
        <f>"9780198024569"</f>
        <v>9780198024569</v>
      </c>
      <c r="C521" s="1" t="s">
        <v>1120</v>
      </c>
      <c r="D521" s="2">
        <v>34851</v>
      </c>
      <c r="E521" s="1" t="s">
        <v>1135</v>
      </c>
      <c r="F521" s="1" t="s">
        <v>148</v>
      </c>
    </row>
    <row r="522" spans="1:6" ht="30" customHeight="1" x14ac:dyDescent="0.25">
      <c r="A522" s="1" t="s">
        <v>1136</v>
      </c>
      <c r="B522" s="1" t="str">
        <f>"9780198021940"</f>
        <v>9780198021940</v>
      </c>
      <c r="C522" s="1" t="s">
        <v>1117</v>
      </c>
      <c r="D522" s="2">
        <v>34425</v>
      </c>
      <c r="E522" s="1" t="s">
        <v>1137</v>
      </c>
      <c r="F522" s="1" t="s">
        <v>13</v>
      </c>
    </row>
    <row r="523" spans="1:6" ht="30" customHeight="1" x14ac:dyDescent="0.25">
      <c r="A523" s="1" t="s">
        <v>1138</v>
      </c>
      <c r="B523" s="1" t="str">
        <f>"9780198027591"</f>
        <v>9780198027591</v>
      </c>
      <c r="C523" s="1" t="s">
        <v>1123</v>
      </c>
      <c r="D523" s="2">
        <v>36895</v>
      </c>
      <c r="E523" s="1" t="s">
        <v>1139</v>
      </c>
      <c r="F523" s="1" t="s">
        <v>13</v>
      </c>
    </row>
    <row r="524" spans="1:6" ht="30" customHeight="1" x14ac:dyDescent="0.25">
      <c r="A524" s="1" t="s">
        <v>1140</v>
      </c>
      <c r="B524" s="1" t="str">
        <f>"9780195352795"</f>
        <v>9780195352795</v>
      </c>
      <c r="C524" s="1" t="s">
        <v>1120</v>
      </c>
      <c r="D524" s="2">
        <v>36979</v>
      </c>
      <c r="E524" s="1" t="s">
        <v>1141</v>
      </c>
      <c r="F524" s="1" t="s">
        <v>13</v>
      </c>
    </row>
    <row r="525" spans="1:6" ht="30" customHeight="1" x14ac:dyDescent="0.25">
      <c r="A525" s="1" t="s">
        <v>1142</v>
      </c>
      <c r="B525" s="1" t="str">
        <f>"9781602564039"</f>
        <v>9781602564039</v>
      </c>
      <c r="C525" s="1" t="s">
        <v>1123</v>
      </c>
      <c r="D525" s="2">
        <v>37273</v>
      </c>
      <c r="E525" s="1" t="s">
        <v>1143</v>
      </c>
      <c r="F525" s="1" t="s">
        <v>21</v>
      </c>
    </row>
    <row r="526" spans="1:6" ht="30" customHeight="1" x14ac:dyDescent="0.25">
      <c r="A526" s="1" t="s">
        <v>1144</v>
      </c>
      <c r="B526" s="1" t="str">
        <f>"9781602562752"</f>
        <v>9781602562752</v>
      </c>
      <c r="C526" s="1" t="s">
        <v>1117</v>
      </c>
      <c r="D526" s="2">
        <v>36373</v>
      </c>
      <c r="E526" s="1" t="s">
        <v>1145</v>
      </c>
      <c r="F526" s="1" t="s">
        <v>13</v>
      </c>
    </row>
    <row r="527" spans="1:6" ht="30" customHeight="1" x14ac:dyDescent="0.25">
      <c r="A527" s="1" t="s">
        <v>1146</v>
      </c>
      <c r="B527" s="1" t="str">
        <f>"9781602566729"</f>
        <v>9781602566729</v>
      </c>
      <c r="C527" s="1" t="s">
        <v>1123</v>
      </c>
      <c r="D527" s="2">
        <v>37681</v>
      </c>
      <c r="E527" s="1" t="s">
        <v>1147</v>
      </c>
      <c r="F527" s="1" t="s">
        <v>148</v>
      </c>
    </row>
    <row r="528" spans="1:6" ht="30" customHeight="1" x14ac:dyDescent="0.25">
      <c r="A528" s="1" t="s">
        <v>1148</v>
      </c>
      <c r="B528" s="1" t="str">
        <f>"9781601297372"</f>
        <v>9781601297372</v>
      </c>
      <c r="C528" s="1" t="s">
        <v>1123</v>
      </c>
      <c r="D528" s="2">
        <v>34389</v>
      </c>
      <c r="E528" s="1" t="s">
        <v>1149</v>
      </c>
      <c r="F528" s="1" t="s">
        <v>13</v>
      </c>
    </row>
    <row r="529" spans="1:6" ht="30" customHeight="1" x14ac:dyDescent="0.25">
      <c r="A529" s="1" t="s">
        <v>1150</v>
      </c>
      <c r="B529" s="1" t="str">
        <f>"9780195302844"</f>
        <v>9780195302844</v>
      </c>
      <c r="C529" s="1" t="s">
        <v>1117</v>
      </c>
      <c r="D529" s="2">
        <v>36526</v>
      </c>
      <c r="E529" s="1" t="s">
        <v>1151</v>
      </c>
      <c r="F529" s="1" t="s">
        <v>1152</v>
      </c>
    </row>
    <row r="530" spans="1:6" ht="30" customHeight="1" x14ac:dyDescent="0.25">
      <c r="A530" s="1" t="s">
        <v>1153</v>
      </c>
      <c r="B530" s="1" t="str">
        <f>"9780198023869"</f>
        <v>9780198023869</v>
      </c>
      <c r="C530" s="1" t="s">
        <v>1123</v>
      </c>
      <c r="D530" s="2">
        <v>34109</v>
      </c>
      <c r="E530" s="1" t="s">
        <v>1154</v>
      </c>
      <c r="F530" s="1" t="s">
        <v>95</v>
      </c>
    </row>
    <row r="531" spans="1:6" ht="30" customHeight="1" x14ac:dyDescent="0.25">
      <c r="A531" s="1" t="s">
        <v>1155</v>
      </c>
      <c r="B531" s="1" t="str">
        <f>"9781602565937"</f>
        <v>9781602565937</v>
      </c>
      <c r="C531" s="1" t="s">
        <v>1123</v>
      </c>
      <c r="D531" s="2">
        <v>32583</v>
      </c>
      <c r="E531" s="1" t="s">
        <v>1156</v>
      </c>
      <c r="F531" s="1" t="s">
        <v>13</v>
      </c>
    </row>
    <row r="532" spans="1:6" ht="30" customHeight="1" x14ac:dyDescent="0.25">
      <c r="A532" s="1" t="s">
        <v>1157</v>
      </c>
      <c r="B532" s="1" t="str">
        <f>"9780198028970"</f>
        <v>9780198028970</v>
      </c>
      <c r="C532" s="1" t="s">
        <v>1123</v>
      </c>
      <c r="D532" s="2">
        <v>36902</v>
      </c>
      <c r="E532" s="1" t="s">
        <v>1158</v>
      </c>
      <c r="F532" s="1" t="s">
        <v>214</v>
      </c>
    </row>
    <row r="533" spans="1:6" ht="30" customHeight="1" x14ac:dyDescent="0.25">
      <c r="A533" s="1" t="s">
        <v>1159</v>
      </c>
      <c r="B533" s="1" t="str">
        <f>"9780198033318"</f>
        <v>9780198033318</v>
      </c>
      <c r="C533" s="1" t="s">
        <v>1117</v>
      </c>
      <c r="D533" s="2">
        <v>37347</v>
      </c>
      <c r="E533" s="1" t="s">
        <v>1160</v>
      </c>
      <c r="F533" s="1" t="s">
        <v>158</v>
      </c>
    </row>
    <row r="534" spans="1:6" ht="30" customHeight="1" x14ac:dyDescent="0.25">
      <c r="A534" s="1" t="s">
        <v>1161</v>
      </c>
      <c r="B534" s="1" t="str">
        <f>"9781602563094"</f>
        <v>9781602563094</v>
      </c>
      <c r="C534" s="1" t="s">
        <v>1123</v>
      </c>
      <c r="D534" s="2">
        <v>35957</v>
      </c>
      <c r="E534" s="1" t="s">
        <v>1162</v>
      </c>
      <c r="F534" s="1" t="s">
        <v>13</v>
      </c>
    </row>
    <row r="535" spans="1:6" ht="30" customHeight="1" x14ac:dyDescent="0.25">
      <c r="A535" s="1" t="s">
        <v>1163</v>
      </c>
      <c r="B535" s="1" t="str">
        <f>"9781602566033"</f>
        <v>9781602566033</v>
      </c>
      <c r="C535" s="1" t="s">
        <v>1117</v>
      </c>
      <c r="D535" s="2">
        <v>34335</v>
      </c>
      <c r="E535" s="1" t="s">
        <v>1164</v>
      </c>
      <c r="F535" s="1" t="s">
        <v>13</v>
      </c>
    </row>
    <row r="536" spans="1:6" ht="30" customHeight="1" x14ac:dyDescent="0.25">
      <c r="A536" s="1" t="s">
        <v>1165</v>
      </c>
      <c r="B536" s="1" t="str">
        <f>"9780195362657"</f>
        <v>9780195362657</v>
      </c>
      <c r="C536" s="1" t="s">
        <v>1123</v>
      </c>
      <c r="D536" s="2">
        <v>35068</v>
      </c>
      <c r="E536" s="1" t="s">
        <v>1166</v>
      </c>
      <c r="F536" s="1" t="s">
        <v>13</v>
      </c>
    </row>
    <row r="537" spans="1:6" ht="30" customHeight="1" x14ac:dyDescent="0.25">
      <c r="A537" s="1" t="s">
        <v>1167</v>
      </c>
      <c r="B537" s="1" t="str">
        <f>"9780195358223"</f>
        <v>9780195358223</v>
      </c>
      <c r="C537" s="1" t="s">
        <v>1123</v>
      </c>
      <c r="D537" s="2">
        <v>35075</v>
      </c>
      <c r="E537" s="1" t="s">
        <v>1168</v>
      </c>
      <c r="F537" s="1" t="s">
        <v>13</v>
      </c>
    </row>
    <row r="538" spans="1:6" ht="30" customHeight="1" x14ac:dyDescent="0.25">
      <c r="A538" s="1" t="s">
        <v>1169</v>
      </c>
      <c r="B538" s="1" t="str">
        <f>"9780198032991"</f>
        <v>9780198032991</v>
      </c>
      <c r="C538" s="1" t="s">
        <v>1123</v>
      </c>
      <c r="D538" s="2">
        <v>38071</v>
      </c>
      <c r="E538" s="1" t="s">
        <v>1170</v>
      </c>
      <c r="F538" s="1" t="s">
        <v>13</v>
      </c>
    </row>
    <row r="539" spans="1:6" ht="30" customHeight="1" x14ac:dyDescent="0.25">
      <c r="A539" s="1" t="s">
        <v>1171</v>
      </c>
      <c r="B539" s="1" t="str">
        <f>"9781601299321"</f>
        <v>9781601299321</v>
      </c>
      <c r="C539" s="1" t="s">
        <v>1123</v>
      </c>
      <c r="D539" s="2">
        <v>34431</v>
      </c>
      <c r="E539" s="1" t="s">
        <v>1172</v>
      </c>
      <c r="F539" s="1" t="s">
        <v>13</v>
      </c>
    </row>
    <row r="540" spans="1:6" ht="30" customHeight="1" x14ac:dyDescent="0.25">
      <c r="A540" s="1" t="s">
        <v>1173</v>
      </c>
      <c r="B540" s="1" t="str">
        <f>"9781602566071"</f>
        <v>9781602566071</v>
      </c>
      <c r="C540" s="1" t="s">
        <v>1123</v>
      </c>
      <c r="D540" s="2">
        <v>33444</v>
      </c>
      <c r="E540" s="1" t="s">
        <v>1174</v>
      </c>
      <c r="F540" s="1" t="s">
        <v>1175</v>
      </c>
    </row>
    <row r="541" spans="1:6" ht="30" customHeight="1" x14ac:dyDescent="0.25">
      <c r="A541" s="1" t="s">
        <v>1176</v>
      </c>
      <c r="B541" s="1" t="str">
        <f>"9781602561076"</f>
        <v>9781602561076</v>
      </c>
      <c r="C541" s="1" t="s">
        <v>1117</v>
      </c>
      <c r="D541" s="2">
        <v>36312</v>
      </c>
      <c r="E541" s="1" t="s">
        <v>1177</v>
      </c>
      <c r="F541" s="1" t="s">
        <v>13</v>
      </c>
    </row>
    <row r="542" spans="1:6" ht="30" customHeight="1" x14ac:dyDescent="0.25">
      <c r="A542" s="1" t="s">
        <v>1178</v>
      </c>
      <c r="B542" s="1" t="str">
        <f>"9781602561502"</f>
        <v>9781602561502</v>
      </c>
      <c r="C542" s="1" t="s">
        <v>1117</v>
      </c>
      <c r="D542" s="2">
        <v>35827</v>
      </c>
      <c r="E542" s="1" t="s">
        <v>1179</v>
      </c>
      <c r="F542" s="1" t="s">
        <v>13</v>
      </c>
    </row>
    <row r="543" spans="1:6" ht="30" customHeight="1" x14ac:dyDescent="0.25">
      <c r="A543" s="1" t="s">
        <v>1180</v>
      </c>
      <c r="B543" s="1" t="str">
        <f>"9780203993989"</f>
        <v>9780203993989</v>
      </c>
      <c r="C543" s="1" t="s">
        <v>68</v>
      </c>
      <c r="D543" s="2">
        <v>37343</v>
      </c>
      <c r="E543" s="1" t="s">
        <v>1181</v>
      </c>
      <c r="F543" s="1" t="s">
        <v>237</v>
      </c>
    </row>
    <row r="544" spans="1:6" ht="30" customHeight="1" x14ac:dyDescent="0.25">
      <c r="A544" s="1" t="s">
        <v>1182</v>
      </c>
      <c r="B544" s="1" t="str">
        <f>"9780203989326"</f>
        <v>9780203989326</v>
      </c>
      <c r="C544" s="1" t="s">
        <v>93</v>
      </c>
      <c r="D544" s="2">
        <v>37652</v>
      </c>
      <c r="E544" s="1" t="s">
        <v>1183</v>
      </c>
      <c r="F544" s="1" t="s">
        <v>13</v>
      </c>
    </row>
    <row r="545" spans="1:6" ht="30" customHeight="1" x14ac:dyDescent="0.25">
      <c r="A545" s="1" t="s">
        <v>1184</v>
      </c>
      <c r="B545" s="1" t="str">
        <f>"9780203016367"</f>
        <v>9780203016367</v>
      </c>
      <c r="C545" s="1" t="s">
        <v>172</v>
      </c>
      <c r="D545" s="2">
        <v>36312</v>
      </c>
      <c r="E545" s="1" t="s">
        <v>1185</v>
      </c>
      <c r="F545" s="1" t="s">
        <v>13</v>
      </c>
    </row>
    <row r="546" spans="1:6" ht="30" customHeight="1" x14ac:dyDescent="0.25">
      <c r="A546" s="1" t="s">
        <v>1186</v>
      </c>
      <c r="B546" s="1" t="str">
        <f>"9780585394015"</f>
        <v>9780585394015</v>
      </c>
      <c r="C546" s="1" t="s">
        <v>11</v>
      </c>
      <c r="D546" s="2">
        <v>37180</v>
      </c>
      <c r="E546" s="1" t="s">
        <v>1187</v>
      </c>
      <c r="F546" s="1" t="s">
        <v>33</v>
      </c>
    </row>
    <row r="547" spans="1:6" ht="30" customHeight="1" x14ac:dyDescent="0.25">
      <c r="A547" s="1" t="s">
        <v>1188</v>
      </c>
      <c r="B547" s="1" t="str">
        <f>"9780585397665"</f>
        <v>9780585397665</v>
      </c>
      <c r="C547" s="1" t="s">
        <v>644</v>
      </c>
      <c r="D547" s="2">
        <v>37096</v>
      </c>
      <c r="E547" s="1" t="s">
        <v>1189</v>
      </c>
      <c r="F547" s="1" t="s">
        <v>13</v>
      </c>
    </row>
    <row r="548" spans="1:6" ht="30" customHeight="1" x14ac:dyDescent="0.25">
      <c r="A548" s="1" t="s">
        <v>1190</v>
      </c>
      <c r="B548" s="1" t="str">
        <f>"9781444307535"</f>
        <v>9781444307535</v>
      </c>
      <c r="C548" s="1" t="s">
        <v>644</v>
      </c>
      <c r="D548" s="2">
        <v>36857</v>
      </c>
      <c r="E548" s="1" t="s">
        <v>1191</v>
      </c>
      <c r="F548" s="1" t="s">
        <v>13</v>
      </c>
    </row>
    <row r="549" spans="1:6" ht="30" customHeight="1" x14ac:dyDescent="0.25">
      <c r="A549" s="1" t="s">
        <v>1192</v>
      </c>
      <c r="B549" s="1" t="str">
        <f>"9780470693148"</f>
        <v>9780470693148</v>
      </c>
      <c r="C549" s="1" t="s">
        <v>65</v>
      </c>
      <c r="D549" s="2">
        <v>41456</v>
      </c>
      <c r="E549" s="1" t="s">
        <v>1193</v>
      </c>
      <c r="F549" s="1" t="s">
        <v>176</v>
      </c>
    </row>
    <row r="550" spans="1:6" ht="30" customHeight="1" x14ac:dyDescent="0.25">
      <c r="A550" s="1" t="s">
        <v>1194</v>
      </c>
      <c r="B550" s="1" t="str">
        <f>"9780203028445"</f>
        <v>9780203028445</v>
      </c>
      <c r="C550" s="1" t="s">
        <v>68</v>
      </c>
      <c r="D550" s="2">
        <v>38511</v>
      </c>
      <c r="E550" s="1" t="s">
        <v>1195</v>
      </c>
      <c r="F550" s="1" t="s">
        <v>13</v>
      </c>
    </row>
    <row r="551" spans="1:6" ht="30" customHeight="1" x14ac:dyDescent="0.25">
      <c r="A551" s="1" t="s">
        <v>1196</v>
      </c>
      <c r="B551" s="1" t="str">
        <f>"9780203992043"</f>
        <v>9780203992043</v>
      </c>
      <c r="C551" s="1" t="s">
        <v>68</v>
      </c>
      <c r="D551" s="2">
        <v>36913</v>
      </c>
      <c r="E551" s="1" t="s">
        <v>1197</v>
      </c>
      <c r="F551" s="1" t="s">
        <v>13</v>
      </c>
    </row>
    <row r="552" spans="1:6" ht="30" customHeight="1" x14ac:dyDescent="0.25">
      <c r="A552" s="1" t="s">
        <v>1198</v>
      </c>
      <c r="B552" s="1" t="str">
        <f>"9781405153010"</f>
        <v>9781405153010</v>
      </c>
      <c r="C552" s="1" t="s">
        <v>65</v>
      </c>
      <c r="D552" s="2">
        <v>39553</v>
      </c>
      <c r="E552" s="1" t="s">
        <v>1199</v>
      </c>
      <c r="F552" s="1" t="s">
        <v>137</v>
      </c>
    </row>
    <row r="553" spans="1:6" ht="30" customHeight="1" x14ac:dyDescent="0.25">
      <c r="A553" s="1" t="s">
        <v>1200</v>
      </c>
      <c r="B553" s="1" t="str">
        <f>"9780511141010"</f>
        <v>9780511141010</v>
      </c>
      <c r="C553" s="1" t="s">
        <v>25</v>
      </c>
      <c r="D553" s="2">
        <v>37000</v>
      </c>
      <c r="E553" s="1" t="s">
        <v>1201</v>
      </c>
      <c r="F553" s="1" t="s">
        <v>148</v>
      </c>
    </row>
    <row r="554" spans="1:6" ht="30" customHeight="1" x14ac:dyDescent="0.25">
      <c r="A554" s="1" t="s">
        <v>1202</v>
      </c>
      <c r="B554" s="1" t="str">
        <f>"9780511140969"</f>
        <v>9780511140969</v>
      </c>
      <c r="C554" s="1" t="s">
        <v>25</v>
      </c>
      <c r="D554" s="2">
        <v>38113</v>
      </c>
      <c r="E554" s="1" t="s">
        <v>1203</v>
      </c>
      <c r="F554" s="1" t="s">
        <v>70</v>
      </c>
    </row>
    <row r="555" spans="1:6" ht="30" customHeight="1" x14ac:dyDescent="0.25">
      <c r="A555" s="1" t="s">
        <v>1204</v>
      </c>
      <c r="B555" s="1" t="str">
        <f>"9789047403272"</f>
        <v>9789047403272</v>
      </c>
      <c r="C555" s="1" t="s">
        <v>906</v>
      </c>
      <c r="D555" s="2">
        <v>35796</v>
      </c>
      <c r="E555" s="1" t="s">
        <v>1205</v>
      </c>
      <c r="F555" s="1" t="s">
        <v>13</v>
      </c>
    </row>
    <row r="556" spans="1:6" ht="30" customHeight="1" x14ac:dyDescent="0.25">
      <c r="A556" s="1" t="s">
        <v>1206</v>
      </c>
      <c r="B556" s="1" t="str">
        <f>"9789047402916"</f>
        <v>9789047402916</v>
      </c>
      <c r="C556" s="1" t="s">
        <v>906</v>
      </c>
      <c r="D556" s="2">
        <v>37987</v>
      </c>
      <c r="E556" s="1" t="s">
        <v>1207</v>
      </c>
      <c r="F556" s="1" t="s">
        <v>13</v>
      </c>
    </row>
    <row r="557" spans="1:6" ht="30" customHeight="1" x14ac:dyDescent="0.25">
      <c r="A557" s="1" t="s">
        <v>1208</v>
      </c>
      <c r="B557" s="1" t="str">
        <f>"9781845447564"</f>
        <v>9781845447564</v>
      </c>
      <c r="C557" s="1" t="s">
        <v>971</v>
      </c>
      <c r="D557" s="2">
        <v>38604</v>
      </c>
      <c r="E557" s="1" t="s">
        <v>1209</v>
      </c>
      <c r="F557" s="1" t="s">
        <v>13</v>
      </c>
    </row>
    <row r="558" spans="1:6" ht="30" customHeight="1" x14ac:dyDescent="0.25">
      <c r="A558" s="1" t="s">
        <v>1210</v>
      </c>
      <c r="B558" s="1" t="str">
        <f>"9781845444266"</f>
        <v>9781845444266</v>
      </c>
      <c r="C558" s="1" t="s">
        <v>971</v>
      </c>
      <c r="D558" s="2">
        <v>38548</v>
      </c>
      <c r="E558" s="1" t="s">
        <v>1211</v>
      </c>
      <c r="F558" s="1" t="s">
        <v>95</v>
      </c>
    </row>
    <row r="559" spans="1:6" ht="30" customHeight="1" x14ac:dyDescent="0.25">
      <c r="A559" s="1" t="s">
        <v>1212</v>
      </c>
      <c r="B559" s="1" t="str">
        <f>"9781845447502"</f>
        <v>9781845447502</v>
      </c>
      <c r="C559" s="1" t="s">
        <v>971</v>
      </c>
      <c r="D559" s="2">
        <v>38625</v>
      </c>
      <c r="E559" s="1" t="s">
        <v>1213</v>
      </c>
      <c r="F559" s="1" t="s">
        <v>95</v>
      </c>
    </row>
    <row r="560" spans="1:6" ht="30" customHeight="1" x14ac:dyDescent="0.25">
      <c r="A560" s="1" t="s">
        <v>1214</v>
      </c>
      <c r="B560" s="1" t="str">
        <f>"9781845448264"</f>
        <v>9781845448264</v>
      </c>
      <c r="C560" s="1" t="s">
        <v>971</v>
      </c>
      <c r="D560" s="2">
        <v>38632</v>
      </c>
      <c r="E560" s="1" t="s">
        <v>1215</v>
      </c>
      <c r="F560" s="1" t="s">
        <v>13</v>
      </c>
    </row>
    <row r="561" spans="1:6" ht="30" customHeight="1" x14ac:dyDescent="0.25">
      <c r="A561" s="1" t="s">
        <v>1216</v>
      </c>
      <c r="B561" s="1" t="str">
        <f>"9781845448561"</f>
        <v>9781845448561</v>
      </c>
      <c r="C561" s="1" t="s">
        <v>971</v>
      </c>
      <c r="D561" s="2">
        <v>38667</v>
      </c>
      <c r="E561" s="1" t="s">
        <v>1217</v>
      </c>
      <c r="F561" s="1" t="s">
        <v>1218</v>
      </c>
    </row>
    <row r="562" spans="1:6" ht="30" customHeight="1" x14ac:dyDescent="0.25">
      <c r="A562" s="1" t="s">
        <v>1219</v>
      </c>
      <c r="B562" s="1" t="str">
        <f>"9781845444433"</f>
        <v>9781845444433</v>
      </c>
      <c r="C562" s="1" t="s">
        <v>971</v>
      </c>
      <c r="D562" s="2">
        <v>38541</v>
      </c>
      <c r="E562" s="1" t="s">
        <v>1220</v>
      </c>
      <c r="F562" s="1" t="s">
        <v>30</v>
      </c>
    </row>
    <row r="563" spans="1:6" ht="30" customHeight="1" x14ac:dyDescent="0.25">
      <c r="A563" s="1" t="s">
        <v>1221</v>
      </c>
      <c r="B563" s="1" t="str">
        <f>"9780203995938"</f>
        <v>9780203995938</v>
      </c>
      <c r="C563" s="1" t="s">
        <v>68</v>
      </c>
      <c r="D563" s="2">
        <v>41773</v>
      </c>
      <c r="E563" s="1" t="s">
        <v>1222</v>
      </c>
      <c r="F563" s="1" t="s">
        <v>33</v>
      </c>
    </row>
    <row r="564" spans="1:6" ht="30" customHeight="1" x14ac:dyDescent="0.25">
      <c r="A564" s="1" t="s">
        <v>1223</v>
      </c>
      <c r="B564" s="1" t="str">
        <f>"9780203340110"</f>
        <v>9780203340110</v>
      </c>
      <c r="C564" s="1" t="s">
        <v>68</v>
      </c>
      <c r="D564" s="2">
        <v>38078</v>
      </c>
      <c r="E564" s="1" t="s">
        <v>1224</v>
      </c>
      <c r="F564" s="1" t="s">
        <v>13</v>
      </c>
    </row>
    <row r="565" spans="1:6" ht="30" customHeight="1" x14ac:dyDescent="0.25">
      <c r="A565" s="1" t="s">
        <v>1225</v>
      </c>
      <c r="B565" s="1" t="str">
        <f>"9781859590133"</f>
        <v>9781859590133</v>
      </c>
      <c r="C565" s="1" t="s">
        <v>1024</v>
      </c>
      <c r="D565" s="2">
        <v>38790</v>
      </c>
      <c r="E565" s="1" t="s">
        <v>1226</v>
      </c>
      <c r="F565" s="1" t="s">
        <v>13</v>
      </c>
    </row>
    <row r="566" spans="1:6" ht="30" customHeight="1" x14ac:dyDescent="0.25">
      <c r="A566" s="1" t="s">
        <v>1227</v>
      </c>
      <c r="B566" s="1" t="str">
        <f>"9781412931885"</f>
        <v>9781412931885</v>
      </c>
      <c r="C566" s="1" t="s">
        <v>1228</v>
      </c>
      <c r="D566" s="2">
        <v>38127</v>
      </c>
      <c r="E566" s="1" t="s">
        <v>1229</v>
      </c>
      <c r="F566" s="1" t="s">
        <v>13</v>
      </c>
    </row>
    <row r="567" spans="1:6" ht="30" customHeight="1" x14ac:dyDescent="0.25">
      <c r="A567" s="1" t="s">
        <v>1230</v>
      </c>
      <c r="B567" s="1" t="str">
        <f>"9781412932806"</f>
        <v>9781412932806</v>
      </c>
      <c r="C567" s="1" t="s">
        <v>1228</v>
      </c>
      <c r="D567" s="2">
        <v>37861</v>
      </c>
      <c r="E567" s="1" t="s">
        <v>1231</v>
      </c>
      <c r="F567" s="1" t="s">
        <v>30</v>
      </c>
    </row>
    <row r="568" spans="1:6" ht="30" customHeight="1" x14ac:dyDescent="0.25">
      <c r="A568" s="1" t="s">
        <v>1232</v>
      </c>
      <c r="B568" s="1" t="str">
        <f>"9781412933421"</f>
        <v>9781412933421</v>
      </c>
      <c r="C568" s="1" t="s">
        <v>1228</v>
      </c>
      <c r="D568" s="2">
        <v>38200</v>
      </c>
      <c r="E568" s="1" t="s">
        <v>1233</v>
      </c>
      <c r="F568" s="1" t="s">
        <v>291</v>
      </c>
    </row>
    <row r="569" spans="1:6" ht="30" customHeight="1" x14ac:dyDescent="0.25">
      <c r="A569" s="1" t="s">
        <v>1234</v>
      </c>
      <c r="B569" s="1" t="str">
        <f>"9781412932783"</f>
        <v>9781412932783</v>
      </c>
      <c r="C569" s="1" t="s">
        <v>1228</v>
      </c>
      <c r="D569" s="2">
        <v>38149</v>
      </c>
      <c r="E569" s="1" t="s">
        <v>1235</v>
      </c>
      <c r="F569" s="1" t="s">
        <v>13</v>
      </c>
    </row>
    <row r="570" spans="1:6" ht="30" customHeight="1" x14ac:dyDescent="0.25">
      <c r="A570" s="1" t="s">
        <v>1236</v>
      </c>
      <c r="B570" s="1" t="str">
        <f>"9781412931878"</f>
        <v>9781412931878</v>
      </c>
      <c r="C570" s="1" t="s">
        <v>1228</v>
      </c>
      <c r="D570" s="2">
        <v>37820</v>
      </c>
      <c r="E570" s="1" t="s">
        <v>1237</v>
      </c>
      <c r="F570" s="1" t="s">
        <v>13</v>
      </c>
    </row>
    <row r="571" spans="1:6" ht="30" customHeight="1" x14ac:dyDescent="0.25">
      <c r="A571" s="1" t="s">
        <v>1238</v>
      </c>
      <c r="B571" s="1" t="str">
        <f>"9781412931953"</f>
        <v>9781412931953</v>
      </c>
      <c r="C571" s="1" t="s">
        <v>1228</v>
      </c>
      <c r="D571" s="2">
        <v>38217</v>
      </c>
      <c r="E571" s="1" t="s">
        <v>1239</v>
      </c>
      <c r="F571" s="1" t="s">
        <v>13</v>
      </c>
    </row>
    <row r="572" spans="1:6" ht="30" customHeight="1" x14ac:dyDescent="0.25">
      <c r="A572" s="1" t="s">
        <v>1240</v>
      </c>
      <c r="B572" s="1" t="str">
        <f>"9781412931892"</f>
        <v>9781412931892</v>
      </c>
      <c r="C572" s="1" t="s">
        <v>1228</v>
      </c>
      <c r="D572" s="2">
        <v>38023</v>
      </c>
      <c r="E572" s="1" t="s">
        <v>1229</v>
      </c>
      <c r="F572" s="1" t="s">
        <v>13</v>
      </c>
    </row>
    <row r="573" spans="1:6" ht="30" customHeight="1" x14ac:dyDescent="0.25">
      <c r="A573" s="1" t="s">
        <v>1241</v>
      </c>
      <c r="B573" s="1" t="str">
        <f>"9781412933438"</f>
        <v>9781412933438</v>
      </c>
      <c r="C573" s="1" t="s">
        <v>1228</v>
      </c>
      <c r="D573" s="2">
        <v>37966</v>
      </c>
      <c r="E573" s="1" t="s">
        <v>1242</v>
      </c>
      <c r="F573" s="1" t="s">
        <v>13</v>
      </c>
    </row>
    <row r="574" spans="1:6" ht="30" customHeight="1" x14ac:dyDescent="0.25">
      <c r="A574" s="1" t="s">
        <v>1243</v>
      </c>
      <c r="B574" s="1" t="str">
        <f>"9781412932943"</f>
        <v>9781412932943</v>
      </c>
      <c r="C574" s="1" t="s">
        <v>1228</v>
      </c>
      <c r="D574" s="2">
        <v>37587</v>
      </c>
      <c r="E574" s="1" t="s">
        <v>1244</v>
      </c>
      <c r="F574" s="1" t="s">
        <v>599</v>
      </c>
    </row>
    <row r="575" spans="1:6" ht="30" customHeight="1" x14ac:dyDescent="0.25">
      <c r="A575" s="1" t="s">
        <v>1245</v>
      </c>
      <c r="B575" s="1" t="str">
        <f>"9781412932738"</f>
        <v>9781412932738</v>
      </c>
      <c r="C575" s="1" t="s">
        <v>1228</v>
      </c>
      <c r="D575" s="2">
        <v>37152</v>
      </c>
      <c r="E575" s="1" t="s">
        <v>1246</v>
      </c>
      <c r="F575" s="1" t="s">
        <v>13</v>
      </c>
    </row>
    <row r="576" spans="1:6" ht="30" customHeight="1" x14ac:dyDescent="0.25">
      <c r="A576" s="1" t="s">
        <v>1247</v>
      </c>
      <c r="B576" s="1" t="str">
        <f>"9781412933667"</f>
        <v>9781412933667</v>
      </c>
      <c r="C576" s="1" t="s">
        <v>1228</v>
      </c>
      <c r="D576" s="2">
        <v>37224</v>
      </c>
      <c r="E576" s="1" t="s">
        <v>1248</v>
      </c>
      <c r="F576" s="1" t="s">
        <v>13</v>
      </c>
    </row>
    <row r="577" spans="1:6" ht="30" customHeight="1" x14ac:dyDescent="0.25">
      <c r="A577" s="1" t="s">
        <v>1249</v>
      </c>
      <c r="B577" s="1" t="str">
        <f>"9781412932967"</f>
        <v>9781412932967</v>
      </c>
      <c r="C577" s="1" t="s">
        <v>1228</v>
      </c>
      <c r="D577" s="2">
        <v>40438</v>
      </c>
      <c r="E577" s="1" t="s">
        <v>1250</v>
      </c>
      <c r="F577" s="1" t="s">
        <v>13</v>
      </c>
    </row>
    <row r="578" spans="1:6" ht="30" customHeight="1" x14ac:dyDescent="0.25">
      <c r="A578" s="1" t="s">
        <v>1251</v>
      </c>
      <c r="B578" s="1" t="str">
        <f>"9781412931755"</f>
        <v>9781412931755</v>
      </c>
      <c r="C578" s="1" t="s">
        <v>1228</v>
      </c>
      <c r="D578" s="2">
        <v>36770</v>
      </c>
      <c r="E578" s="1" t="s">
        <v>1252</v>
      </c>
      <c r="F578" s="1" t="s">
        <v>13</v>
      </c>
    </row>
    <row r="579" spans="1:6" ht="30" customHeight="1" x14ac:dyDescent="0.25">
      <c r="A579" s="1" t="s">
        <v>1253</v>
      </c>
      <c r="B579" s="1" t="str">
        <f>"9781412933704"</f>
        <v>9781412933704</v>
      </c>
      <c r="C579" s="1" t="s">
        <v>1228</v>
      </c>
      <c r="D579" s="2">
        <v>37244</v>
      </c>
      <c r="E579" s="1" t="s">
        <v>1254</v>
      </c>
      <c r="F579" s="1" t="s">
        <v>13</v>
      </c>
    </row>
    <row r="580" spans="1:6" ht="30" customHeight="1" x14ac:dyDescent="0.25">
      <c r="A580" s="1" t="s">
        <v>1255</v>
      </c>
      <c r="B580" s="1" t="str">
        <f>"9781412933308"</f>
        <v>9781412933308</v>
      </c>
      <c r="C580" s="1" t="s">
        <v>1228</v>
      </c>
      <c r="D580" s="2">
        <v>40438</v>
      </c>
      <c r="E580" s="1" t="s">
        <v>1256</v>
      </c>
      <c r="F580" s="1" t="s">
        <v>13</v>
      </c>
    </row>
    <row r="581" spans="1:6" ht="30" customHeight="1" x14ac:dyDescent="0.25">
      <c r="A581" s="1" t="s">
        <v>1257</v>
      </c>
      <c r="B581" s="1" t="str">
        <f>"9781412933100"</f>
        <v>9781412933100</v>
      </c>
      <c r="C581" s="1" t="s">
        <v>1228</v>
      </c>
      <c r="D581" s="2">
        <v>37792</v>
      </c>
      <c r="E581" s="1" t="s">
        <v>1258</v>
      </c>
      <c r="F581" s="1" t="s">
        <v>13</v>
      </c>
    </row>
    <row r="582" spans="1:6" ht="30" customHeight="1" x14ac:dyDescent="0.25">
      <c r="A582" s="1" t="s">
        <v>1259</v>
      </c>
      <c r="B582" s="1" t="str">
        <f>"9781412932301"</f>
        <v>9781412932301</v>
      </c>
      <c r="C582" s="1" t="s">
        <v>1228</v>
      </c>
      <c r="D582" s="2">
        <v>37172</v>
      </c>
      <c r="E582" s="1" t="s">
        <v>1260</v>
      </c>
      <c r="F582" s="1" t="s">
        <v>13</v>
      </c>
    </row>
    <row r="583" spans="1:6" ht="30" customHeight="1" x14ac:dyDescent="0.25">
      <c r="A583" s="1" t="s">
        <v>1261</v>
      </c>
      <c r="B583" s="1" t="str">
        <f>"9781412933360"</f>
        <v>9781412933360</v>
      </c>
      <c r="C583" s="1" t="s">
        <v>1228</v>
      </c>
      <c r="D583" s="2">
        <v>40438</v>
      </c>
      <c r="E583" s="1" t="s">
        <v>1262</v>
      </c>
      <c r="F583" s="1" t="s">
        <v>13</v>
      </c>
    </row>
    <row r="584" spans="1:6" ht="30" customHeight="1" x14ac:dyDescent="0.25">
      <c r="A584" s="1" t="s">
        <v>1263</v>
      </c>
      <c r="B584" s="1" t="str">
        <f>"9781412932141"</f>
        <v>9781412932141</v>
      </c>
      <c r="C584" s="1" t="s">
        <v>1228</v>
      </c>
      <c r="D584" s="2">
        <v>36670</v>
      </c>
      <c r="E584" s="1" t="s">
        <v>1264</v>
      </c>
      <c r="F584" s="1" t="s">
        <v>13</v>
      </c>
    </row>
    <row r="585" spans="1:6" ht="30" customHeight="1" x14ac:dyDescent="0.25">
      <c r="A585" s="1" t="s">
        <v>1265</v>
      </c>
      <c r="B585" s="1" t="str">
        <f>"9781412931298"</f>
        <v>9781412931298</v>
      </c>
      <c r="C585" s="1" t="s">
        <v>1228</v>
      </c>
      <c r="D585" s="2">
        <v>40438</v>
      </c>
      <c r="E585" s="1" t="s">
        <v>1266</v>
      </c>
      <c r="F585" s="1" t="s">
        <v>95</v>
      </c>
    </row>
    <row r="586" spans="1:6" ht="30" customHeight="1" x14ac:dyDescent="0.25">
      <c r="A586" s="1" t="s">
        <v>1267</v>
      </c>
      <c r="B586" s="1" t="str">
        <f>"9781412931939"</f>
        <v>9781412931939</v>
      </c>
      <c r="C586" s="1" t="s">
        <v>1228</v>
      </c>
      <c r="D586" s="2">
        <v>36774</v>
      </c>
      <c r="E586" s="1" t="s">
        <v>1268</v>
      </c>
      <c r="F586" s="1" t="s">
        <v>87</v>
      </c>
    </row>
    <row r="587" spans="1:6" ht="30" customHeight="1" x14ac:dyDescent="0.25">
      <c r="A587" s="1" t="s">
        <v>1269</v>
      </c>
      <c r="B587" s="1" t="str">
        <f>"9781847875136"</f>
        <v>9781847875136</v>
      </c>
      <c r="C587" s="1" t="s">
        <v>1228</v>
      </c>
      <c r="D587" s="2">
        <v>38064</v>
      </c>
      <c r="E587" s="1" t="s">
        <v>1270</v>
      </c>
      <c r="F587" s="1" t="s">
        <v>95</v>
      </c>
    </row>
    <row r="588" spans="1:6" ht="30" customHeight="1" x14ac:dyDescent="0.25">
      <c r="A588" s="1" t="s">
        <v>1271</v>
      </c>
      <c r="B588" s="1" t="str">
        <f>"9781412932066"</f>
        <v>9781412932066</v>
      </c>
      <c r="C588" s="1" t="s">
        <v>1228</v>
      </c>
      <c r="D588" s="2">
        <v>40438</v>
      </c>
      <c r="E588" s="1" t="s">
        <v>1272</v>
      </c>
      <c r="F588" s="1" t="s">
        <v>126</v>
      </c>
    </row>
    <row r="589" spans="1:6" ht="30" customHeight="1" x14ac:dyDescent="0.25">
      <c r="A589" s="1" t="s">
        <v>1273</v>
      </c>
      <c r="B589" s="1" t="str">
        <f>"9781412932103"</f>
        <v>9781412932103</v>
      </c>
      <c r="C589" s="1" t="s">
        <v>1228</v>
      </c>
      <c r="D589" s="2">
        <v>38160</v>
      </c>
      <c r="E589" s="1" t="s">
        <v>1274</v>
      </c>
      <c r="F589" s="1" t="s">
        <v>13</v>
      </c>
    </row>
    <row r="590" spans="1:6" ht="30" customHeight="1" x14ac:dyDescent="0.25">
      <c r="A590" s="1" t="s">
        <v>1275</v>
      </c>
      <c r="B590" s="1" t="str">
        <f>"9781412932974"</f>
        <v>9781412932974</v>
      </c>
      <c r="C590" s="1" t="s">
        <v>1228</v>
      </c>
      <c r="D590" s="2">
        <v>40438</v>
      </c>
      <c r="E590" s="1" t="s">
        <v>1276</v>
      </c>
      <c r="F590" s="1" t="s">
        <v>205</v>
      </c>
    </row>
    <row r="591" spans="1:6" ht="30" customHeight="1" x14ac:dyDescent="0.25">
      <c r="A591" s="1" t="s">
        <v>1277</v>
      </c>
      <c r="B591" s="1" t="str">
        <f>"9781412932356"</f>
        <v>9781412932356</v>
      </c>
      <c r="C591" s="1" t="s">
        <v>1228</v>
      </c>
      <c r="D591" s="2">
        <v>40438</v>
      </c>
      <c r="E591" s="1" t="s">
        <v>1278</v>
      </c>
      <c r="F591" s="1" t="s">
        <v>13</v>
      </c>
    </row>
    <row r="592" spans="1:6" ht="30" customHeight="1" x14ac:dyDescent="0.25">
      <c r="A592" s="1" t="s">
        <v>1279</v>
      </c>
      <c r="B592" s="1" t="str">
        <f>"9781412932455"</f>
        <v>9781412932455</v>
      </c>
      <c r="C592" s="1" t="s">
        <v>1228</v>
      </c>
      <c r="D592" s="2">
        <v>37785</v>
      </c>
      <c r="E592" s="1" t="s">
        <v>1280</v>
      </c>
      <c r="F592" s="1" t="s">
        <v>13</v>
      </c>
    </row>
    <row r="593" spans="1:6" ht="30" customHeight="1" x14ac:dyDescent="0.25">
      <c r="A593" s="1" t="s">
        <v>1281</v>
      </c>
      <c r="B593" s="1" t="str">
        <f>"9781412931465"</f>
        <v>9781412931465</v>
      </c>
      <c r="C593" s="1" t="s">
        <v>1228</v>
      </c>
      <c r="D593" s="2">
        <v>40438</v>
      </c>
      <c r="E593" s="1" t="s">
        <v>1282</v>
      </c>
      <c r="F593" s="1" t="s">
        <v>95</v>
      </c>
    </row>
    <row r="594" spans="1:6" ht="30" customHeight="1" x14ac:dyDescent="0.25">
      <c r="A594" s="1" t="s">
        <v>1283</v>
      </c>
      <c r="B594" s="1" t="str">
        <f>"9781446232347"</f>
        <v>9781446232347</v>
      </c>
      <c r="C594" s="1" t="s">
        <v>1228</v>
      </c>
      <c r="D594" s="2">
        <v>38139</v>
      </c>
      <c r="E594" s="1" t="s">
        <v>1284</v>
      </c>
      <c r="F594" s="1" t="s">
        <v>13</v>
      </c>
    </row>
    <row r="595" spans="1:6" ht="30" customHeight="1" x14ac:dyDescent="0.25">
      <c r="A595" s="1" t="s">
        <v>1285</v>
      </c>
      <c r="B595" s="1" t="str">
        <f>"9780520932210"</f>
        <v>9780520932210</v>
      </c>
      <c r="C595" s="1" t="s">
        <v>818</v>
      </c>
      <c r="D595" s="2">
        <v>38786</v>
      </c>
      <c r="E595" s="1" t="s">
        <v>1286</v>
      </c>
      <c r="F595" s="1" t="s">
        <v>13</v>
      </c>
    </row>
    <row r="596" spans="1:6" ht="30" customHeight="1" x14ac:dyDescent="0.25">
      <c r="A596" s="1" t="s">
        <v>1287</v>
      </c>
      <c r="B596" s="1" t="str">
        <f>"9780511163678"</f>
        <v>9780511163678</v>
      </c>
      <c r="C596" s="1" t="s">
        <v>25</v>
      </c>
      <c r="D596" s="2">
        <v>37994</v>
      </c>
      <c r="E596" s="1" t="s">
        <v>1288</v>
      </c>
      <c r="F596" s="1" t="s">
        <v>13</v>
      </c>
    </row>
    <row r="597" spans="1:6" ht="30" customHeight="1" x14ac:dyDescent="0.25">
      <c r="A597" s="1" t="s">
        <v>1289</v>
      </c>
      <c r="B597" s="1" t="str">
        <f>"9780511163814"</f>
        <v>9780511163814</v>
      </c>
      <c r="C597" s="1" t="s">
        <v>25</v>
      </c>
      <c r="D597" s="2">
        <v>37942</v>
      </c>
      <c r="E597" s="1" t="s">
        <v>1290</v>
      </c>
      <c r="F597" s="1" t="s">
        <v>599</v>
      </c>
    </row>
    <row r="598" spans="1:6" ht="30" customHeight="1" x14ac:dyDescent="0.25">
      <c r="A598" s="1" t="s">
        <v>1291</v>
      </c>
      <c r="B598" s="1" t="str">
        <f>"9780511163906"</f>
        <v>9780511163906</v>
      </c>
      <c r="C598" s="1" t="s">
        <v>1292</v>
      </c>
      <c r="D598" s="2">
        <v>37865</v>
      </c>
      <c r="E598" s="1" t="s">
        <v>1293</v>
      </c>
      <c r="F598" s="1" t="s">
        <v>13</v>
      </c>
    </row>
    <row r="599" spans="1:6" ht="30" customHeight="1" x14ac:dyDescent="0.25">
      <c r="A599" s="1" t="s">
        <v>1294</v>
      </c>
      <c r="B599" s="1" t="str">
        <f>"9780511163920"</f>
        <v>9780511163920</v>
      </c>
      <c r="C599" s="1" t="s">
        <v>1292</v>
      </c>
      <c r="D599" s="2">
        <v>37630</v>
      </c>
      <c r="E599" s="1" t="s">
        <v>1295</v>
      </c>
      <c r="F599" s="1" t="s">
        <v>13</v>
      </c>
    </row>
    <row r="600" spans="1:6" ht="30" customHeight="1" x14ac:dyDescent="0.25">
      <c r="A600" s="1" t="s">
        <v>1296</v>
      </c>
      <c r="B600" s="1" t="str">
        <f>"9781859590232"</f>
        <v>9781859590232</v>
      </c>
      <c r="C600" s="1" t="s">
        <v>1024</v>
      </c>
      <c r="D600" s="2">
        <v>38353</v>
      </c>
      <c r="E600" s="1" t="s">
        <v>1297</v>
      </c>
      <c r="F600" s="1" t="s">
        <v>13</v>
      </c>
    </row>
    <row r="601" spans="1:6" ht="30" customHeight="1" x14ac:dyDescent="0.25">
      <c r="A601" s="1" t="s">
        <v>1298</v>
      </c>
      <c r="B601" s="1" t="str">
        <f>"9781859591512"</f>
        <v>9781859591512</v>
      </c>
      <c r="C601" s="1" t="s">
        <v>1024</v>
      </c>
      <c r="D601" s="2">
        <v>38353</v>
      </c>
      <c r="E601" s="1" t="s">
        <v>1299</v>
      </c>
      <c r="F601" s="1" t="s">
        <v>13</v>
      </c>
    </row>
    <row r="602" spans="1:6" ht="30" customHeight="1" x14ac:dyDescent="0.25">
      <c r="A602" s="1" t="s">
        <v>1300</v>
      </c>
      <c r="B602" s="1" t="str">
        <f>"9781859591598"</f>
        <v>9781859591598</v>
      </c>
      <c r="C602" s="1" t="s">
        <v>1024</v>
      </c>
      <c r="D602" s="2">
        <v>38718</v>
      </c>
      <c r="E602" s="1" t="s">
        <v>1301</v>
      </c>
      <c r="F602" s="1" t="s">
        <v>1302</v>
      </c>
    </row>
    <row r="603" spans="1:6" ht="30" customHeight="1" x14ac:dyDescent="0.25">
      <c r="A603" s="1" t="s">
        <v>1303</v>
      </c>
      <c r="B603" s="1" t="str">
        <f>"9780253111173"</f>
        <v>9780253111173</v>
      </c>
      <c r="C603" s="1" t="s">
        <v>19</v>
      </c>
      <c r="D603" s="2">
        <v>38301</v>
      </c>
      <c r="E603" s="1" t="s">
        <v>1304</v>
      </c>
      <c r="F603" s="1" t="s">
        <v>13</v>
      </c>
    </row>
    <row r="604" spans="1:6" ht="30" customHeight="1" x14ac:dyDescent="0.25">
      <c r="A604" s="1" t="s">
        <v>1305</v>
      </c>
      <c r="B604" s="1" t="str">
        <f>"9780511187155"</f>
        <v>9780511187155</v>
      </c>
      <c r="C604" s="1" t="s">
        <v>25</v>
      </c>
      <c r="D604" s="2">
        <v>38057</v>
      </c>
      <c r="E604" s="1" t="s">
        <v>1306</v>
      </c>
      <c r="F604" s="1" t="s">
        <v>13</v>
      </c>
    </row>
    <row r="605" spans="1:6" ht="30" customHeight="1" x14ac:dyDescent="0.25">
      <c r="A605" s="1" t="s">
        <v>1307</v>
      </c>
      <c r="B605" s="1" t="str">
        <f>"9780511187827"</f>
        <v>9780511187827</v>
      </c>
      <c r="C605" s="1" t="s">
        <v>25</v>
      </c>
      <c r="D605" s="2">
        <v>38075</v>
      </c>
      <c r="E605" s="1" t="s">
        <v>1308</v>
      </c>
      <c r="F605" s="1" t="s">
        <v>63</v>
      </c>
    </row>
    <row r="606" spans="1:6" ht="30" customHeight="1" x14ac:dyDescent="0.25">
      <c r="A606" s="1" t="s">
        <v>1309</v>
      </c>
      <c r="B606" s="1" t="str">
        <f>"9780511187186"</f>
        <v>9780511187186</v>
      </c>
      <c r="C606" s="1" t="s">
        <v>25</v>
      </c>
      <c r="D606" s="2">
        <v>38043</v>
      </c>
      <c r="E606" s="1" t="s">
        <v>1310</v>
      </c>
      <c r="F606" s="1" t="s">
        <v>13</v>
      </c>
    </row>
    <row r="607" spans="1:6" ht="30" customHeight="1" x14ac:dyDescent="0.25">
      <c r="A607" s="1" t="s">
        <v>1311</v>
      </c>
      <c r="B607" s="1" t="str">
        <f>"9780511187223"</f>
        <v>9780511187223</v>
      </c>
      <c r="C607" s="1" t="s">
        <v>25</v>
      </c>
      <c r="D607" s="2">
        <v>37977</v>
      </c>
      <c r="E607" s="1" t="s">
        <v>1312</v>
      </c>
      <c r="F607" s="1" t="s">
        <v>13</v>
      </c>
    </row>
    <row r="608" spans="1:6" ht="30" customHeight="1" x14ac:dyDescent="0.25">
      <c r="A608" s="1" t="s">
        <v>1313</v>
      </c>
      <c r="B608" s="1" t="str">
        <f>"9780511187353"</f>
        <v>9780511187353</v>
      </c>
      <c r="C608" s="1" t="s">
        <v>25</v>
      </c>
      <c r="D608" s="2">
        <v>38050</v>
      </c>
      <c r="E608" s="1" t="s">
        <v>1314</v>
      </c>
      <c r="F608" s="1" t="s">
        <v>13</v>
      </c>
    </row>
    <row r="609" spans="1:6" ht="30" customHeight="1" x14ac:dyDescent="0.25">
      <c r="A609" s="1" t="s">
        <v>1315</v>
      </c>
      <c r="B609" s="1" t="str">
        <f>"9780511187360"</f>
        <v>9780511187360</v>
      </c>
      <c r="C609" s="1" t="s">
        <v>25</v>
      </c>
      <c r="D609" s="2">
        <v>38071</v>
      </c>
      <c r="E609" s="1" t="s">
        <v>1316</v>
      </c>
      <c r="F609" s="1" t="s">
        <v>30</v>
      </c>
    </row>
    <row r="610" spans="1:6" ht="30" customHeight="1" x14ac:dyDescent="0.25">
      <c r="A610" s="1" t="s">
        <v>1317</v>
      </c>
      <c r="B610" s="1" t="str">
        <f>"9780511187599"</f>
        <v>9780511187599</v>
      </c>
      <c r="C610" s="1" t="s">
        <v>25</v>
      </c>
      <c r="D610" s="2">
        <v>37629</v>
      </c>
      <c r="E610" s="1" t="s">
        <v>1318</v>
      </c>
      <c r="F610" s="1" t="s">
        <v>1319</v>
      </c>
    </row>
    <row r="611" spans="1:6" ht="30" customHeight="1" x14ac:dyDescent="0.25">
      <c r="A611" s="1" t="s">
        <v>1320</v>
      </c>
      <c r="B611" s="1" t="str">
        <f>"9780511187612"</f>
        <v>9780511187612</v>
      </c>
      <c r="C611" s="1" t="s">
        <v>1292</v>
      </c>
      <c r="D611" s="2">
        <v>38050</v>
      </c>
      <c r="E611" s="1" t="s">
        <v>1321</v>
      </c>
      <c r="F611" s="1" t="s">
        <v>13</v>
      </c>
    </row>
    <row r="612" spans="1:6" ht="30" customHeight="1" x14ac:dyDescent="0.25">
      <c r="A612" s="1" t="s">
        <v>1322</v>
      </c>
      <c r="B612" s="1" t="str">
        <f>"9781410613738"</f>
        <v>9781410613738</v>
      </c>
      <c r="C612" s="1" t="s">
        <v>68</v>
      </c>
      <c r="D612" s="2">
        <v>38828</v>
      </c>
      <c r="E612" s="1" t="s">
        <v>1323</v>
      </c>
      <c r="F612" s="1" t="s">
        <v>205</v>
      </c>
    </row>
    <row r="613" spans="1:6" ht="30" customHeight="1" x14ac:dyDescent="0.25">
      <c r="A613" s="1" t="s">
        <v>1324</v>
      </c>
      <c r="B613" s="1" t="str">
        <f>"9780511163913"</f>
        <v>9780511163913</v>
      </c>
      <c r="C613" s="1" t="s">
        <v>1292</v>
      </c>
      <c r="D613" s="2">
        <v>37629</v>
      </c>
      <c r="E613" s="1" t="s">
        <v>1325</v>
      </c>
      <c r="F613" s="1" t="s">
        <v>13</v>
      </c>
    </row>
    <row r="614" spans="1:6" ht="30" customHeight="1" x14ac:dyDescent="0.25">
      <c r="A614" s="1" t="s">
        <v>1326</v>
      </c>
      <c r="B614" s="1" t="str">
        <f>"9781845448813"</f>
        <v>9781845448813</v>
      </c>
      <c r="C614" s="1" t="s">
        <v>971</v>
      </c>
      <c r="D614" s="2">
        <v>38751</v>
      </c>
      <c r="E614" s="1" t="s">
        <v>1327</v>
      </c>
      <c r="F614" s="1" t="s">
        <v>95</v>
      </c>
    </row>
    <row r="615" spans="1:6" ht="30" customHeight="1" x14ac:dyDescent="0.25">
      <c r="A615" s="1" t="s">
        <v>1328</v>
      </c>
      <c r="B615" s="1" t="str">
        <f>"9781845449193"</f>
        <v>9781845449193</v>
      </c>
      <c r="C615" s="1" t="s">
        <v>971</v>
      </c>
      <c r="D615" s="2">
        <v>38751</v>
      </c>
      <c r="E615" s="1" t="s">
        <v>1329</v>
      </c>
      <c r="F615" s="1" t="s">
        <v>30</v>
      </c>
    </row>
    <row r="616" spans="1:6" ht="30" customHeight="1" x14ac:dyDescent="0.25">
      <c r="A616" s="1" t="s">
        <v>1330</v>
      </c>
      <c r="B616" s="1" t="str">
        <f>"9781904602491"</f>
        <v>9781904602491</v>
      </c>
      <c r="C616" s="1" t="s">
        <v>1331</v>
      </c>
      <c r="D616" s="2">
        <v>36526</v>
      </c>
      <c r="E616" s="1" t="s">
        <v>1332</v>
      </c>
      <c r="F616" s="1" t="s">
        <v>1333</v>
      </c>
    </row>
    <row r="617" spans="1:6" ht="30" customHeight="1" x14ac:dyDescent="0.25">
      <c r="A617" s="1" t="s">
        <v>1334</v>
      </c>
      <c r="B617" s="1" t="str">
        <f>"9780511157073"</f>
        <v>9780511157073</v>
      </c>
      <c r="C617" s="1" t="s">
        <v>25</v>
      </c>
      <c r="D617" s="2">
        <v>37315</v>
      </c>
      <c r="E617" s="1" t="s">
        <v>1335</v>
      </c>
      <c r="F617" s="1" t="s">
        <v>205</v>
      </c>
    </row>
    <row r="618" spans="1:6" ht="30" customHeight="1" x14ac:dyDescent="0.25">
      <c r="A618" s="1" t="s">
        <v>1336</v>
      </c>
      <c r="B618" s="1" t="str">
        <f>"9780203970058"</f>
        <v>9780203970058</v>
      </c>
      <c r="C618" s="1" t="s">
        <v>93</v>
      </c>
      <c r="D618" s="2">
        <v>41787</v>
      </c>
      <c r="E618" s="1" t="s">
        <v>1337</v>
      </c>
      <c r="F618" s="1" t="s">
        <v>1338</v>
      </c>
    </row>
    <row r="619" spans="1:6" ht="30" customHeight="1" x14ac:dyDescent="0.25">
      <c r="A619" s="1" t="s">
        <v>1339</v>
      </c>
      <c r="B619" s="1" t="str">
        <f>"9781552501924"</f>
        <v>9781552501924</v>
      </c>
      <c r="C619" s="1" t="s">
        <v>1340</v>
      </c>
      <c r="D619" s="2">
        <v>38412</v>
      </c>
      <c r="E619" s="1" t="s">
        <v>1341</v>
      </c>
      <c r="F619" s="1" t="s">
        <v>95</v>
      </c>
    </row>
    <row r="620" spans="1:6" ht="30" customHeight="1" x14ac:dyDescent="0.25">
      <c r="A620" s="1" t="s">
        <v>1342</v>
      </c>
      <c r="B620" s="1" t="str">
        <f>"9781552501948"</f>
        <v>9781552501948</v>
      </c>
      <c r="C620" s="1" t="s">
        <v>1340</v>
      </c>
      <c r="D620" s="2">
        <v>37622</v>
      </c>
      <c r="E620" s="1" t="s">
        <v>1343</v>
      </c>
      <c r="F620" s="1" t="s">
        <v>1344</v>
      </c>
    </row>
    <row r="621" spans="1:6" ht="30" customHeight="1" x14ac:dyDescent="0.25">
      <c r="A621" s="1" t="s">
        <v>1345</v>
      </c>
      <c r="B621" s="1" t="str">
        <f>"9781552501931"</f>
        <v>9781552501931</v>
      </c>
      <c r="C621" s="1" t="s">
        <v>1340</v>
      </c>
      <c r="D621" s="2">
        <v>38352</v>
      </c>
      <c r="E621" s="1" t="s">
        <v>1346</v>
      </c>
      <c r="F621" s="1" t="s">
        <v>95</v>
      </c>
    </row>
    <row r="622" spans="1:6" ht="30" customHeight="1" x14ac:dyDescent="0.25">
      <c r="A622" s="1" t="s">
        <v>1347</v>
      </c>
      <c r="B622" s="1" t="str">
        <f>"9781552501955"</f>
        <v>9781552501955</v>
      </c>
      <c r="C622" s="1" t="s">
        <v>1340</v>
      </c>
      <c r="D622" s="2">
        <v>37622</v>
      </c>
      <c r="E622" s="1" t="s">
        <v>1348</v>
      </c>
      <c r="F622" s="1" t="s">
        <v>1349</v>
      </c>
    </row>
    <row r="623" spans="1:6" ht="30" customHeight="1" x14ac:dyDescent="0.25">
      <c r="A623" s="1" t="s">
        <v>1350</v>
      </c>
      <c r="B623" s="1" t="str">
        <f>"9781552501962"</f>
        <v>9781552501962</v>
      </c>
      <c r="C623" s="1" t="s">
        <v>1340</v>
      </c>
      <c r="D623" s="2">
        <v>38353</v>
      </c>
      <c r="E623" s="1" t="s">
        <v>1348</v>
      </c>
      <c r="F623" s="1" t="s">
        <v>1351</v>
      </c>
    </row>
    <row r="624" spans="1:6" ht="30" customHeight="1" x14ac:dyDescent="0.25">
      <c r="A624" s="1" t="s">
        <v>1352</v>
      </c>
      <c r="B624" s="1" t="str">
        <f>"9789812569202"</f>
        <v>9789812569202</v>
      </c>
      <c r="C624" s="1" t="s">
        <v>881</v>
      </c>
      <c r="D624" s="2">
        <v>38687</v>
      </c>
      <c r="E624" s="1" t="s">
        <v>1353</v>
      </c>
      <c r="F624" s="1" t="s">
        <v>13</v>
      </c>
    </row>
    <row r="625" spans="1:6" ht="30" customHeight="1" x14ac:dyDescent="0.25">
      <c r="A625" s="1" t="s">
        <v>1354</v>
      </c>
      <c r="B625" s="1" t="str">
        <f>"9789812569219"</f>
        <v>9789812569219</v>
      </c>
      <c r="C625" s="1" t="s">
        <v>881</v>
      </c>
      <c r="D625" s="2">
        <v>38507</v>
      </c>
      <c r="E625" s="1" t="s">
        <v>1355</v>
      </c>
      <c r="F625" s="1" t="s">
        <v>13</v>
      </c>
    </row>
    <row r="626" spans="1:6" ht="30" customHeight="1" x14ac:dyDescent="0.25">
      <c r="A626" s="1" t="s">
        <v>1356</v>
      </c>
      <c r="B626" s="1" t="str">
        <f>"9789812569264"</f>
        <v>9789812569264</v>
      </c>
      <c r="C626" s="1" t="s">
        <v>881</v>
      </c>
      <c r="D626" s="2">
        <v>38687</v>
      </c>
      <c r="E626" s="1" t="s">
        <v>1357</v>
      </c>
      <c r="F626" s="1" t="s">
        <v>1358</v>
      </c>
    </row>
    <row r="627" spans="1:6" ht="30" customHeight="1" x14ac:dyDescent="0.25">
      <c r="A627" s="1" t="s">
        <v>1359</v>
      </c>
      <c r="B627" s="1" t="str">
        <f>"9780511193521"</f>
        <v>9780511193521</v>
      </c>
      <c r="C627" s="1" t="s">
        <v>25</v>
      </c>
      <c r="D627" s="2">
        <v>38127</v>
      </c>
      <c r="E627" s="1" t="s">
        <v>1360</v>
      </c>
      <c r="F627" s="1" t="s">
        <v>13</v>
      </c>
    </row>
    <row r="628" spans="1:6" ht="30" customHeight="1" x14ac:dyDescent="0.25">
      <c r="A628" s="1" t="s">
        <v>1361</v>
      </c>
      <c r="B628" s="1" t="str">
        <f>"9780511193484"</f>
        <v>9780511193484</v>
      </c>
      <c r="C628" s="1" t="s">
        <v>25</v>
      </c>
      <c r="D628" s="2">
        <v>37196</v>
      </c>
      <c r="E628" s="1" t="s">
        <v>1316</v>
      </c>
      <c r="F628" s="1" t="s">
        <v>95</v>
      </c>
    </row>
    <row r="629" spans="1:6" ht="30" customHeight="1" x14ac:dyDescent="0.25">
      <c r="A629" s="1" t="s">
        <v>1362</v>
      </c>
      <c r="B629" s="1" t="str">
        <f>"9780511193675"</f>
        <v>9780511193675</v>
      </c>
      <c r="C629" s="1" t="s">
        <v>25</v>
      </c>
      <c r="D629" s="2">
        <v>38134</v>
      </c>
      <c r="E629" s="1" t="s">
        <v>1363</v>
      </c>
      <c r="F629" s="1" t="s">
        <v>137</v>
      </c>
    </row>
    <row r="630" spans="1:6" ht="30" customHeight="1" x14ac:dyDescent="0.25">
      <c r="A630" s="1" t="s">
        <v>1364</v>
      </c>
      <c r="B630" s="1" t="str">
        <f>"9780511193736"</f>
        <v>9780511193736</v>
      </c>
      <c r="C630" s="1" t="s">
        <v>25</v>
      </c>
      <c r="D630" s="2">
        <v>38138</v>
      </c>
      <c r="E630" s="1" t="s">
        <v>1365</v>
      </c>
      <c r="F630" s="1" t="s">
        <v>13</v>
      </c>
    </row>
    <row r="631" spans="1:6" ht="30" customHeight="1" x14ac:dyDescent="0.25">
      <c r="A631" s="1" t="s">
        <v>1366</v>
      </c>
      <c r="B631" s="1" t="str">
        <f>"9780511193934"</f>
        <v>9780511193934</v>
      </c>
      <c r="C631" s="1" t="s">
        <v>25</v>
      </c>
      <c r="D631" s="2">
        <v>38078</v>
      </c>
      <c r="E631" s="1" t="s">
        <v>1367</v>
      </c>
      <c r="F631" s="1" t="s">
        <v>268</v>
      </c>
    </row>
    <row r="632" spans="1:6" ht="30" customHeight="1" x14ac:dyDescent="0.25">
      <c r="A632" s="1" t="s">
        <v>1368</v>
      </c>
      <c r="B632" s="1" t="str">
        <f>"9780511194061"</f>
        <v>9780511194061</v>
      </c>
      <c r="C632" s="1" t="s">
        <v>25</v>
      </c>
      <c r="D632" s="2">
        <v>38099</v>
      </c>
      <c r="E632" s="1" t="s">
        <v>1369</v>
      </c>
      <c r="F632" s="1" t="s">
        <v>13</v>
      </c>
    </row>
    <row r="633" spans="1:6" ht="30" customHeight="1" x14ac:dyDescent="0.25">
      <c r="A633" s="1" t="s">
        <v>1370</v>
      </c>
      <c r="B633" s="1" t="str">
        <f>"9780511194085"</f>
        <v>9780511194085</v>
      </c>
      <c r="C633" s="1" t="s">
        <v>1292</v>
      </c>
      <c r="D633" s="2">
        <v>37266</v>
      </c>
      <c r="E633" s="1" t="s">
        <v>1371</v>
      </c>
      <c r="F633" s="1" t="s">
        <v>1372</v>
      </c>
    </row>
    <row r="634" spans="1:6" ht="30" customHeight="1" x14ac:dyDescent="0.25">
      <c r="A634" s="1" t="s">
        <v>1373</v>
      </c>
      <c r="B634" s="1" t="str">
        <f>"9780511194092"</f>
        <v>9780511194092</v>
      </c>
      <c r="C634" s="1" t="s">
        <v>1292</v>
      </c>
      <c r="D634" s="2">
        <v>37627</v>
      </c>
      <c r="E634" s="1" t="s">
        <v>1374</v>
      </c>
      <c r="F634" s="1" t="s">
        <v>367</v>
      </c>
    </row>
    <row r="635" spans="1:6" ht="30" customHeight="1" x14ac:dyDescent="0.25">
      <c r="A635" s="1" t="s">
        <v>1375</v>
      </c>
      <c r="B635" s="1" t="str">
        <f>"9780511201073"</f>
        <v>9780511201073</v>
      </c>
      <c r="C635" s="1" t="s">
        <v>25</v>
      </c>
      <c r="D635" s="2">
        <v>37987</v>
      </c>
      <c r="E635" s="1" t="s">
        <v>1376</v>
      </c>
      <c r="F635" s="1" t="s">
        <v>13</v>
      </c>
    </row>
    <row r="636" spans="1:6" ht="30" customHeight="1" x14ac:dyDescent="0.25">
      <c r="A636" s="1" t="s">
        <v>1377</v>
      </c>
      <c r="B636" s="1" t="str">
        <f>"9780511194115"</f>
        <v>9780511194115</v>
      </c>
      <c r="C636" s="1" t="s">
        <v>1292</v>
      </c>
      <c r="D636" s="2">
        <v>38050</v>
      </c>
      <c r="E636" s="1" t="s">
        <v>1378</v>
      </c>
      <c r="F636" s="1" t="s">
        <v>13</v>
      </c>
    </row>
    <row r="637" spans="1:6" ht="30" customHeight="1" x14ac:dyDescent="0.25">
      <c r="A637" s="1" t="s">
        <v>1379</v>
      </c>
      <c r="B637" s="1" t="str">
        <f>"9780511219030"</f>
        <v>9780511219030</v>
      </c>
      <c r="C637" s="1" t="s">
        <v>25</v>
      </c>
      <c r="D637" s="2">
        <v>38866</v>
      </c>
      <c r="E637" s="1" t="s">
        <v>1380</v>
      </c>
      <c r="F637" s="1" t="s">
        <v>95</v>
      </c>
    </row>
    <row r="638" spans="1:6" ht="30" customHeight="1" x14ac:dyDescent="0.25">
      <c r="A638" s="1" t="s">
        <v>1381</v>
      </c>
      <c r="B638" s="1" t="str">
        <f>"9780511219061"</f>
        <v>9780511219061</v>
      </c>
      <c r="C638" s="1" t="s">
        <v>25</v>
      </c>
      <c r="D638" s="2">
        <v>38869</v>
      </c>
      <c r="E638" s="1" t="s">
        <v>1382</v>
      </c>
      <c r="F638" s="1" t="s">
        <v>13</v>
      </c>
    </row>
    <row r="639" spans="1:6" ht="30" customHeight="1" x14ac:dyDescent="0.25">
      <c r="A639" s="1" t="s">
        <v>1383</v>
      </c>
      <c r="B639" s="1" t="str">
        <f>"9780511219184"</f>
        <v>9780511219184</v>
      </c>
      <c r="C639" s="1" t="s">
        <v>25</v>
      </c>
      <c r="D639" s="2">
        <v>38869</v>
      </c>
      <c r="E639" s="1" t="s">
        <v>1384</v>
      </c>
      <c r="F639" s="1" t="s">
        <v>30</v>
      </c>
    </row>
    <row r="640" spans="1:6" ht="30" customHeight="1" x14ac:dyDescent="0.25">
      <c r="A640" s="1" t="s">
        <v>1385</v>
      </c>
      <c r="B640" s="1" t="str">
        <f>"9780511219337"</f>
        <v>9780511219337</v>
      </c>
      <c r="C640" s="1" t="s">
        <v>25</v>
      </c>
      <c r="D640" s="2">
        <v>38838</v>
      </c>
      <c r="E640" s="1" t="s">
        <v>1386</v>
      </c>
      <c r="F640" s="1" t="s">
        <v>13</v>
      </c>
    </row>
    <row r="641" spans="1:6" ht="30" customHeight="1" x14ac:dyDescent="0.25">
      <c r="A641" s="1" t="s">
        <v>1387</v>
      </c>
      <c r="B641" s="1" t="str">
        <f>"9780511219511"</f>
        <v>9780511219511</v>
      </c>
      <c r="C641" s="1" t="s">
        <v>25</v>
      </c>
      <c r="D641" s="2">
        <v>38838</v>
      </c>
      <c r="E641" s="1" t="s">
        <v>1388</v>
      </c>
      <c r="F641" s="1" t="s">
        <v>13</v>
      </c>
    </row>
    <row r="642" spans="1:6" ht="30" customHeight="1" x14ac:dyDescent="0.25">
      <c r="A642" s="1" t="s">
        <v>1389</v>
      </c>
      <c r="B642" s="1" t="str">
        <f>"9781607501022"</f>
        <v>9781607501022</v>
      </c>
      <c r="C642" s="1" t="s">
        <v>1390</v>
      </c>
      <c r="D642" s="2">
        <v>38269</v>
      </c>
      <c r="E642" s="1" t="s">
        <v>1391</v>
      </c>
      <c r="F642" s="1" t="s">
        <v>148</v>
      </c>
    </row>
    <row r="643" spans="1:6" ht="30" customHeight="1" x14ac:dyDescent="0.25">
      <c r="A643" s="1" t="s">
        <v>1392</v>
      </c>
      <c r="B643" s="1" t="str">
        <f>"9781607501039"</f>
        <v>9781607501039</v>
      </c>
      <c r="C643" s="1" t="s">
        <v>1390</v>
      </c>
      <c r="D643" s="2">
        <v>38231</v>
      </c>
      <c r="E643" s="1" t="s">
        <v>1393</v>
      </c>
      <c r="F643" s="1" t="s">
        <v>13</v>
      </c>
    </row>
    <row r="644" spans="1:6" ht="30" customHeight="1" x14ac:dyDescent="0.25">
      <c r="A644" s="1" t="s">
        <v>1394</v>
      </c>
      <c r="B644" s="1" t="str">
        <f>"9781607501046"</f>
        <v>9781607501046</v>
      </c>
      <c r="C644" s="1" t="s">
        <v>1390</v>
      </c>
      <c r="D644" s="2">
        <v>38229</v>
      </c>
      <c r="E644" s="1" t="s">
        <v>1395</v>
      </c>
      <c r="F644" s="1" t="s">
        <v>33</v>
      </c>
    </row>
    <row r="645" spans="1:6" ht="30" customHeight="1" x14ac:dyDescent="0.25">
      <c r="A645" s="1" t="s">
        <v>1396</v>
      </c>
      <c r="B645" s="1" t="str">
        <f>"9781607501053"</f>
        <v>9781607501053</v>
      </c>
      <c r="C645" s="1" t="s">
        <v>1390</v>
      </c>
      <c r="D645" s="2">
        <v>38229</v>
      </c>
      <c r="E645" s="1" t="s">
        <v>1397</v>
      </c>
      <c r="F645" s="1" t="s">
        <v>13</v>
      </c>
    </row>
    <row r="646" spans="1:6" ht="30" customHeight="1" x14ac:dyDescent="0.25">
      <c r="A646" s="1" t="s">
        <v>1398</v>
      </c>
      <c r="B646" s="1" t="str">
        <f>"9781607501077"</f>
        <v>9781607501077</v>
      </c>
      <c r="C646" s="1" t="s">
        <v>1390</v>
      </c>
      <c r="D646" s="2">
        <v>38408</v>
      </c>
      <c r="E646" s="1" t="s">
        <v>1399</v>
      </c>
      <c r="F646" s="1" t="s">
        <v>1400</v>
      </c>
    </row>
    <row r="647" spans="1:6" ht="30" customHeight="1" x14ac:dyDescent="0.25">
      <c r="A647" s="1" t="s">
        <v>1401</v>
      </c>
      <c r="B647" s="1" t="str">
        <f>"9781607501084"</f>
        <v>9781607501084</v>
      </c>
      <c r="C647" s="1" t="s">
        <v>1390</v>
      </c>
      <c r="D647" s="2">
        <v>38307</v>
      </c>
      <c r="E647" s="1" t="s">
        <v>1402</v>
      </c>
      <c r="F647" s="1" t="s">
        <v>13</v>
      </c>
    </row>
    <row r="648" spans="1:6" ht="30" customHeight="1" x14ac:dyDescent="0.25">
      <c r="A648" s="1" t="s">
        <v>1403</v>
      </c>
      <c r="B648" s="1" t="str">
        <f>"9781607501091"</f>
        <v>9781607501091</v>
      </c>
      <c r="C648" s="1" t="s">
        <v>1390</v>
      </c>
      <c r="D648" s="2">
        <v>38408</v>
      </c>
      <c r="E648" s="1" t="s">
        <v>1404</v>
      </c>
      <c r="F648" s="1" t="s">
        <v>1405</v>
      </c>
    </row>
    <row r="649" spans="1:6" ht="30" customHeight="1" x14ac:dyDescent="0.25">
      <c r="A649" s="1" t="s">
        <v>1406</v>
      </c>
      <c r="B649" s="1" t="str">
        <f>"9781607501107"</f>
        <v>9781607501107</v>
      </c>
      <c r="C649" s="1" t="s">
        <v>1390</v>
      </c>
      <c r="D649" s="2">
        <v>38365</v>
      </c>
      <c r="E649" s="1" t="s">
        <v>1407</v>
      </c>
      <c r="F649" s="1" t="s">
        <v>13</v>
      </c>
    </row>
    <row r="650" spans="1:6" ht="30" customHeight="1" x14ac:dyDescent="0.25">
      <c r="A650" s="1" t="s">
        <v>1408</v>
      </c>
      <c r="B650" s="1" t="str">
        <f>"9781607501145"</f>
        <v>9781607501145</v>
      </c>
      <c r="C650" s="1" t="s">
        <v>1390</v>
      </c>
      <c r="D650" s="2">
        <v>38441</v>
      </c>
      <c r="E650" s="1" t="s">
        <v>1409</v>
      </c>
      <c r="F650" s="1" t="s">
        <v>158</v>
      </c>
    </row>
    <row r="651" spans="1:6" ht="30" customHeight="1" x14ac:dyDescent="0.25">
      <c r="A651" s="1" t="s">
        <v>1410</v>
      </c>
      <c r="B651" s="1" t="str">
        <f>"9781607501169"</f>
        <v>9781607501169</v>
      </c>
      <c r="C651" s="1" t="s">
        <v>1390</v>
      </c>
      <c r="D651" s="2">
        <v>38499</v>
      </c>
      <c r="E651" s="1" t="s">
        <v>1411</v>
      </c>
      <c r="F651" s="1" t="s">
        <v>13</v>
      </c>
    </row>
    <row r="652" spans="1:6" ht="30" customHeight="1" x14ac:dyDescent="0.25">
      <c r="A652" s="1" t="s">
        <v>1412</v>
      </c>
      <c r="B652" s="1" t="str">
        <f>"9781607501183"</f>
        <v>9781607501183</v>
      </c>
      <c r="C652" s="1" t="s">
        <v>1390</v>
      </c>
      <c r="D652" s="2">
        <v>38547</v>
      </c>
      <c r="E652" s="1" t="s">
        <v>1413</v>
      </c>
      <c r="F652" s="1" t="s">
        <v>13</v>
      </c>
    </row>
    <row r="653" spans="1:6" ht="30" customHeight="1" x14ac:dyDescent="0.25">
      <c r="A653" s="1" t="s">
        <v>1414</v>
      </c>
      <c r="B653" s="1" t="str">
        <f>"9781607501190"</f>
        <v>9781607501190</v>
      </c>
      <c r="C653" s="1" t="s">
        <v>1390</v>
      </c>
      <c r="D653" s="2">
        <v>38499</v>
      </c>
      <c r="E653" s="1" t="s">
        <v>1415</v>
      </c>
      <c r="F653" s="1" t="s">
        <v>13</v>
      </c>
    </row>
    <row r="654" spans="1:6" ht="30" customHeight="1" x14ac:dyDescent="0.25">
      <c r="A654" s="1" t="s">
        <v>1416</v>
      </c>
      <c r="B654" s="1" t="str">
        <f>"9781607501251"</f>
        <v>9781607501251</v>
      </c>
      <c r="C654" s="1" t="s">
        <v>1390</v>
      </c>
      <c r="D654" s="2">
        <v>38580</v>
      </c>
      <c r="E654" s="1" t="s">
        <v>1417</v>
      </c>
      <c r="F654" s="1" t="s">
        <v>148</v>
      </c>
    </row>
    <row r="655" spans="1:6" ht="30" customHeight="1" x14ac:dyDescent="0.25">
      <c r="A655" s="1" t="s">
        <v>1418</v>
      </c>
      <c r="B655" s="1" t="str">
        <f>"9781607501305"</f>
        <v>9781607501305</v>
      </c>
      <c r="C655" s="1" t="s">
        <v>1390</v>
      </c>
      <c r="D655" s="2">
        <v>38604</v>
      </c>
      <c r="E655" s="1" t="s">
        <v>1419</v>
      </c>
      <c r="F655" s="1" t="s">
        <v>13</v>
      </c>
    </row>
    <row r="656" spans="1:6" ht="30" customHeight="1" x14ac:dyDescent="0.25">
      <c r="A656" s="1" t="s">
        <v>1420</v>
      </c>
      <c r="B656" s="1" t="str">
        <f>"9781607501329"</f>
        <v>9781607501329</v>
      </c>
      <c r="C656" s="1" t="s">
        <v>1390</v>
      </c>
      <c r="D656" s="2">
        <v>38664</v>
      </c>
      <c r="E656" s="1" t="s">
        <v>1421</v>
      </c>
      <c r="F656" s="1" t="s">
        <v>13</v>
      </c>
    </row>
    <row r="657" spans="1:6" ht="30" customHeight="1" x14ac:dyDescent="0.25">
      <c r="A657" s="1" t="s">
        <v>1422</v>
      </c>
      <c r="B657" s="1" t="str">
        <f>"9781607501350"</f>
        <v>9781607501350</v>
      </c>
      <c r="C657" s="1" t="s">
        <v>1390</v>
      </c>
      <c r="D657" s="2">
        <v>38580</v>
      </c>
      <c r="E657" s="1" t="s">
        <v>1423</v>
      </c>
      <c r="F657" s="1" t="s">
        <v>13</v>
      </c>
    </row>
    <row r="658" spans="1:6" ht="30" customHeight="1" x14ac:dyDescent="0.25">
      <c r="A658" s="1" t="s">
        <v>1424</v>
      </c>
      <c r="B658" s="1" t="str">
        <f>"9781607501398"</f>
        <v>9781607501398</v>
      </c>
      <c r="C658" s="1" t="s">
        <v>1390</v>
      </c>
      <c r="D658" s="2">
        <v>38622</v>
      </c>
      <c r="E658" s="1" t="s">
        <v>1425</v>
      </c>
      <c r="F658" s="1" t="s">
        <v>70</v>
      </c>
    </row>
    <row r="659" spans="1:6" ht="30" customHeight="1" x14ac:dyDescent="0.25">
      <c r="A659" s="1" t="s">
        <v>1426</v>
      </c>
      <c r="B659" s="1" t="str">
        <f>"9781607501459"</f>
        <v>9781607501459</v>
      </c>
      <c r="C659" s="1" t="s">
        <v>1390</v>
      </c>
      <c r="D659" s="2">
        <v>38685</v>
      </c>
      <c r="E659" s="1" t="s">
        <v>1427</v>
      </c>
      <c r="F659" s="1" t="s">
        <v>13</v>
      </c>
    </row>
    <row r="660" spans="1:6" ht="30" customHeight="1" x14ac:dyDescent="0.25">
      <c r="A660" s="1" t="s">
        <v>1428</v>
      </c>
      <c r="B660" s="1" t="str">
        <f>"9781607501480"</f>
        <v>9781607501480</v>
      </c>
      <c r="C660" s="1" t="s">
        <v>1390</v>
      </c>
      <c r="D660" s="2">
        <v>38684</v>
      </c>
      <c r="E660" s="1" t="s">
        <v>1429</v>
      </c>
      <c r="F660" s="1" t="s">
        <v>13</v>
      </c>
    </row>
    <row r="661" spans="1:6" ht="30" customHeight="1" x14ac:dyDescent="0.25">
      <c r="A661" s="1" t="s">
        <v>1430</v>
      </c>
      <c r="B661" s="1" t="str">
        <f>"9781607501589"</f>
        <v>9781607501589</v>
      </c>
      <c r="C661" s="1" t="s">
        <v>1390</v>
      </c>
      <c r="D661" s="2">
        <v>38721</v>
      </c>
      <c r="E661" s="1" t="s">
        <v>1407</v>
      </c>
      <c r="F661" s="1" t="s">
        <v>13</v>
      </c>
    </row>
    <row r="662" spans="1:6" ht="30" customHeight="1" x14ac:dyDescent="0.25">
      <c r="A662" s="1" t="s">
        <v>1431</v>
      </c>
      <c r="B662" s="1" t="str">
        <f>"9781607501596"</f>
        <v>9781607501596</v>
      </c>
      <c r="C662" s="1" t="s">
        <v>1390</v>
      </c>
      <c r="D662" s="2">
        <v>38734</v>
      </c>
      <c r="E662" s="1" t="s">
        <v>1432</v>
      </c>
      <c r="F662" s="1" t="s">
        <v>87</v>
      </c>
    </row>
    <row r="663" spans="1:6" ht="30" customHeight="1" x14ac:dyDescent="0.25">
      <c r="A663" s="1" t="s">
        <v>1433</v>
      </c>
      <c r="B663" s="1" t="str">
        <f>"9781607501619"</f>
        <v>9781607501619</v>
      </c>
      <c r="C663" s="1" t="s">
        <v>1390</v>
      </c>
      <c r="D663" s="2">
        <v>38785</v>
      </c>
      <c r="E663" s="1" t="s">
        <v>1434</v>
      </c>
      <c r="F663" s="1" t="s">
        <v>13</v>
      </c>
    </row>
    <row r="664" spans="1:6" ht="30" customHeight="1" x14ac:dyDescent="0.25">
      <c r="A664" s="1" t="s">
        <v>1435</v>
      </c>
      <c r="B664" s="1" t="str">
        <f>"9780511218910"</f>
        <v>9780511218910</v>
      </c>
      <c r="C664" s="1" t="s">
        <v>25</v>
      </c>
      <c r="D664" s="2">
        <v>38673</v>
      </c>
      <c r="E664" s="1" t="s">
        <v>1436</v>
      </c>
      <c r="F664" s="1" t="s">
        <v>13</v>
      </c>
    </row>
    <row r="665" spans="1:6" ht="30" customHeight="1" x14ac:dyDescent="0.25">
      <c r="A665" s="1" t="s">
        <v>1437</v>
      </c>
      <c r="B665" s="1" t="str">
        <f>"9780511210310"</f>
        <v>9780511210310</v>
      </c>
      <c r="C665" s="1" t="s">
        <v>25</v>
      </c>
      <c r="D665" s="2">
        <v>38096</v>
      </c>
      <c r="E665" s="1" t="s">
        <v>1438</v>
      </c>
      <c r="F665" s="1" t="s">
        <v>650</v>
      </c>
    </row>
    <row r="666" spans="1:6" ht="30" customHeight="1" x14ac:dyDescent="0.25">
      <c r="A666" s="1" t="s">
        <v>1439</v>
      </c>
      <c r="B666" s="1" t="str">
        <f>"9780511211782"</f>
        <v>9780511211782</v>
      </c>
      <c r="C666" s="1" t="s">
        <v>25</v>
      </c>
      <c r="D666" s="2">
        <v>38099</v>
      </c>
      <c r="E666" s="1" t="s">
        <v>1440</v>
      </c>
      <c r="F666" s="1" t="s">
        <v>70</v>
      </c>
    </row>
    <row r="667" spans="1:6" ht="30" customHeight="1" x14ac:dyDescent="0.25">
      <c r="A667" s="1" t="s">
        <v>1441</v>
      </c>
      <c r="B667" s="1" t="str">
        <f>"9780511211812"</f>
        <v>9780511211812</v>
      </c>
      <c r="C667" s="1" t="s">
        <v>25</v>
      </c>
      <c r="D667" s="2">
        <v>38134</v>
      </c>
      <c r="E667" s="1" t="s">
        <v>1442</v>
      </c>
      <c r="F667" s="1" t="s">
        <v>1443</v>
      </c>
    </row>
    <row r="668" spans="1:6" ht="30" customHeight="1" x14ac:dyDescent="0.25">
      <c r="A668" s="1" t="s">
        <v>1444</v>
      </c>
      <c r="B668" s="1" t="str">
        <f>"9780511210419"</f>
        <v>9780511210419</v>
      </c>
      <c r="C668" s="1" t="s">
        <v>25</v>
      </c>
      <c r="D668" s="2">
        <v>38169</v>
      </c>
      <c r="E668" s="1" t="s">
        <v>1445</v>
      </c>
      <c r="F668" s="1" t="s">
        <v>13</v>
      </c>
    </row>
    <row r="669" spans="1:6" ht="30" customHeight="1" x14ac:dyDescent="0.25">
      <c r="A669" s="1" t="s">
        <v>1446</v>
      </c>
      <c r="B669" s="1" t="str">
        <f>"9780511210815"</f>
        <v>9780511210815</v>
      </c>
      <c r="C669" s="1" t="s">
        <v>25</v>
      </c>
      <c r="D669" s="2">
        <v>38139</v>
      </c>
      <c r="E669" s="1" t="s">
        <v>1447</v>
      </c>
      <c r="F669" s="1" t="s">
        <v>70</v>
      </c>
    </row>
    <row r="670" spans="1:6" ht="30" customHeight="1" x14ac:dyDescent="0.25">
      <c r="A670" s="1" t="s">
        <v>1448</v>
      </c>
      <c r="B670" s="1" t="str">
        <f>"9780511210464"</f>
        <v>9780511210464</v>
      </c>
      <c r="C670" s="1" t="s">
        <v>1292</v>
      </c>
      <c r="D670" s="2">
        <v>38155</v>
      </c>
      <c r="E670" s="1" t="s">
        <v>1449</v>
      </c>
      <c r="F670" s="1" t="s">
        <v>13</v>
      </c>
    </row>
    <row r="671" spans="1:6" ht="30" customHeight="1" x14ac:dyDescent="0.25">
      <c r="A671" s="1" t="s">
        <v>1450</v>
      </c>
      <c r="B671" s="1" t="str">
        <f>"9780511210471"</f>
        <v>9780511210471</v>
      </c>
      <c r="C671" s="1" t="s">
        <v>1292</v>
      </c>
      <c r="D671" s="2">
        <v>38155</v>
      </c>
      <c r="E671" s="1" t="s">
        <v>1451</v>
      </c>
      <c r="F671" s="1" t="s">
        <v>13</v>
      </c>
    </row>
    <row r="672" spans="1:6" ht="30" customHeight="1" x14ac:dyDescent="0.25">
      <c r="A672" s="1" t="s">
        <v>1452</v>
      </c>
      <c r="B672" s="1" t="str">
        <f>"9780511210488"</f>
        <v>9780511210488</v>
      </c>
      <c r="C672" s="1" t="s">
        <v>1292</v>
      </c>
      <c r="D672" s="2">
        <v>38169</v>
      </c>
      <c r="E672" s="1" t="s">
        <v>1453</v>
      </c>
      <c r="F672" s="1" t="s">
        <v>13</v>
      </c>
    </row>
    <row r="673" spans="1:6" ht="30" customHeight="1" x14ac:dyDescent="0.25">
      <c r="A673" s="1" t="s">
        <v>1454</v>
      </c>
      <c r="B673" s="1" t="str">
        <f>"9780511210495"</f>
        <v>9780511210495</v>
      </c>
      <c r="C673" s="1" t="s">
        <v>1292</v>
      </c>
      <c r="D673" s="2">
        <v>38162</v>
      </c>
      <c r="E673" s="1" t="s">
        <v>1455</v>
      </c>
      <c r="F673" s="1" t="s">
        <v>13</v>
      </c>
    </row>
    <row r="674" spans="1:6" ht="30" customHeight="1" x14ac:dyDescent="0.25">
      <c r="A674" s="1" t="s">
        <v>1456</v>
      </c>
      <c r="B674" s="1" t="str">
        <f>"9781552502525"</f>
        <v>9781552502525</v>
      </c>
      <c r="C674" s="1" t="s">
        <v>1340</v>
      </c>
      <c r="D674" s="2">
        <v>36892</v>
      </c>
      <c r="E674" s="1" t="s">
        <v>1457</v>
      </c>
      <c r="F674" s="1" t="s">
        <v>30</v>
      </c>
    </row>
    <row r="675" spans="1:6" ht="30" customHeight="1" x14ac:dyDescent="0.25">
      <c r="A675" s="1" t="s">
        <v>1458</v>
      </c>
      <c r="B675" s="1" t="str">
        <f>"9781552501306"</f>
        <v>9781552501306</v>
      </c>
      <c r="C675" s="1" t="s">
        <v>1340</v>
      </c>
      <c r="D675" s="2">
        <v>37894</v>
      </c>
      <c r="E675" s="1" t="s">
        <v>1459</v>
      </c>
      <c r="F675" s="1" t="s">
        <v>95</v>
      </c>
    </row>
    <row r="676" spans="1:6" ht="30" customHeight="1" x14ac:dyDescent="0.25">
      <c r="A676" s="1" t="s">
        <v>1460</v>
      </c>
      <c r="B676" s="1" t="str">
        <f>"9781552500699"</f>
        <v>9781552500699</v>
      </c>
      <c r="C676" s="1" t="s">
        <v>1340</v>
      </c>
      <c r="D676" s="2">
        <v>37622</v>
      </c>
      <c r="E676" s="1" t="s">
        <v>1461</v>
      </c>
      <c r="F676" s="1" t="s">
        <v>95</v>
      </c>
    </row>
    <row r="677" spans="1:6" ht="30" customHeight="1" x14ac:dyDescent="0.25">
      <c r="A677" s="1" t="s">
        <v>1462</v>
      </c>
      <c r="B677" s="1" t="str">
        <f>"9780520941328"</f>
        <v>9780520941328</v>
      </c>
      <c r="C677" s="1" t="s">
        <v>818</v>
      </c>
      <c r="D677" s="2">
        <v>38951</v>
      </c>
      <c r="E677" s="1" t="s">
        <v>1463</v>
      </c>
      <c r="F677" s="1" t="s">
        <v>438</v>
      </c>
    </row>
    <row r="678" spans="1:6" ht="30" customHeight="1" x14ac:dyDescent="0.25">
      <c r="A678" s="1" t="s">
        <v>1464</v>
      </c>
      <c r="B678" s="1" t="str">
        <f>"9781601293992"</f>
        <v>9781601293992</v>
      </c>
      <c r="C678" s="1" t="s">
        <v>1390</v>
      </c>
      <c r="D678" s="2">
        <v>37519</v>
      </c>
      <c r="E678" s="1" t="s">
        <v>1465</v>
      </c>
      <c r="F678" s="1" t="s">
        <v>1466</v>
      </c>
    </row>
    <row r="679" spans="1:6" ht="30" customHeight="1" x14ac:dyDescent="0.25">
      <c r="A679" s="1" t="s">
        <v>1467</v>
      </c>
      <c r="B679" s="1" t="str">
        <f>"9781601294036"</f>
        <v>9781601294036</v>
      </c>
      <c r="C679" s="1" t="s">
        <v>1390</v>
      </c>
      <c r="D679" s="2">
        <v>37516</v>
      </c>
      <c r="E679" s="1" t="s">
        <v>1468</v>
      </c>
      <c r="F679" s="1" t="s">
        <v>1469</v>
      </c>
    </row>
    <row r="680" spans="1:6" ht="30" customHeight="1" x14ac:dyDescent="0.25">
      <c r="A680" s="1" t="s">
        <v>1470</v>
      </c>
      <c r="B680" s="1" t="str">
        <f>"9781601294074"</f>
        <v>9781601294074</v>
      </c>
      <c r="C680" s="1" t="s">
        <v>1390</v>
      </c>
      <c r="D680" s="2">
        <v>37621</v>
      </c>
      <c r="E680" s="1" t="s">
        <v>1471</v>
      </c>
      <c r="F680" s="1" t="s">
        <v>13</v>
      </c>
    </row>
    <row r="681" spans="1:6" ht="30" customHeight="1" x14ac:dyDescent="0.25">
      <c r="A681" s="1" t="s">
        <v>1472</v>
      </c>
      <c r="B681" s="1" t="str">
        <f>"9781601294111"</f>
        <v>9781601294111</v>
      </c>
      <c r="C681" s="1" t="s">
        <v>1390</v>
      </c>
      <c r="D681" s="2">
        <v>38057</v>
      </c>
      <c r="E681" s="1" t="s">
        <v>1473</v>
      </c>
      <c r="F681" s="1" t="s">
        <v>13</v>
      </c>
    </row>
    <row r="682" spans="1:6" ht="30" customHeight="1" x14ac:dyDescent="0.25">
      <c r="A682" s="1" t="s">
        <v>1474</v>
      </c>
      <c r="B682" s="1" t="str">
        <f>"9781601294166"</f>
        <v>9781601294166</v>
      </c>
      <c r="C682" s="1" t="s">
        <v>1390</v>
      </c>
      <c r="D682" s="2">
        <v>38096</v>
      </c>
      <c r="E682" s="1" t="s">
        <v>1475</v>
      </c>
      <c r="F682" s="1" t="s">
        <v>13</v>
      </c>
    </row>
    <row r="683" spans="1:6" ht="30" customHeight="1" x14ac:dyDescent="0.25">
      <c r="A683" s="1" t="s">
        <v>1476</v>
      </c>
      <c r="B683" s="1" t="str">
        <f>"9781601294197"</f>
        <v>9781601294197</v>
      </c>
      <c r="C683" s="1" t="s">
        <v>1390</v>
      </c>
      <c r="D683" s="2">
        <v>37524</v>
      </c>
      <c r="E683" s="1" t="s">
        <v>1477</v>
      </c>
      <c r="F683" s="1" t="s">
        <v>13</v>
      </c>
    </row>
    <row r="684" spans="1:6" ht="30" customHeight="1" x14ac:dyDescent="0.25">
      <c r="A684" s="1" t="s">
        <v>1478</v>
      </c>
      <c r="B684" s="1" t="str">
        <f>"9781601294203"</f>
        <v>9781601294203</v>
      </c>
      <c r="C684" s="1" t="s">
        <v>1390</v>
      </c>
      <c r="D684" s="2">
        <v>37466</v>
      </c>
      <c r="E684" s="1" t="s">
        <v>1479</v>
      </c>
      <c r="F684" s="1" t="s">
        <v>137</v>
      </c>
    </row>
    <row r="685" spans="1:6" ht="30" customHeight="1" x14ac:dyDescent="0.25">
      <c r="A685" s="1" t="s">
        <v>1480</v>
      </c>
      <c r="B685" s="1" t="str">
        <f>"9781601294241"</f>
        <v>9781601294241</v>
      </c>
      <c r="C685" s="1" t="s">
        <v>1390</v>
      </c>
      <c r="D685" s="2">
        <v>38057</v>
      </c>
      <c r="E685" s="1" t="s">
        <v>1481</v>
      </c>
      <c r="F685" s="1" t="s">
        <v>205</v>
      </c>
    </row>
    <row r="686" spans="1:6" ht="30" customHeight="1" x14ac:dyDescent="0.25">
      <c r="A686" s="1" t="s">
        <v>1482</v>
      </c>
      <c r="B686" s="1" t="str">
        <f>"9781601294272"</f>
        <v>9781601294272</v>
      </c>
      <c r="C686" s="1" t="s">
        <v>1390</v>
      </c>
      <c r="D686" s="2">
        <v>37684</v>
      </c>
      <c r="E686" s="1" t="s">
        <v>1483</v>
      </c>
      <c r="F686" s="1" t="s">
        <v>13</v>
      </c>
    </row>
    <row r="687" spans="1:6" ht="30" customHeight="1" x14ac:dyDescent="0.25">
      <c r="A687" s="1" t="s">
        <v>1484</v>
      </c>
      <c r="B687" s="1" t="str">
        <f>"9781601294296"</f>
        <v>9781601294296</v>
      </c>
      <c r="C687" s="1" t="s">
        <v>1390</v>
      </c>
      <c r="D687" s="2">
        <v>37329</v>
      </c>
      <c r="E687" s="1" t="s">
        <v>1485</v>
      </c>
      <c r="F687" s="1" t="s">
        <v>13</v>
      </c>
    </row>
    <row r="688" spans="1:6" ht="30" customHeight="1" x14ac:dyDescent="0.25">
      <c r="A688" s="1" t="s">
        <v>1486</v>
      </c>
      <c r="B688" s="1" t="str">
        <f>"9781601294302"</f>
        <v>9781601294302</v>
      </c>
      <c r="C688" s="1" t="s">
        <v>1390</v>
      </c>
      <c r="D688" s="2">
        <v>37621</v>
      </c>
      <c r="E688" s="1" t="s">
        <v>1487</v>
      </c>
      <c r="F688" s="1" t="s">
        <v>63</v>
      </c>
    </row>
    <row r="689" spans="1:6" ht="30" customHeight="1" x14ac:dyDescent="0.25">
      <c r="A689" s="1" t="s">
        <v>1488</v>
      </c>
      <c r="B689" s="1" t="str">
        <f>"9781601294333"</f>
        <v>9781601294333</v>
      </c>
      <c r="C689" s="1" t="s">
        <v>1390</v>
      </c>
      <c r="D689" s="2">
        <v>37466</v>
      </c>
      <c r="E689" s="1" t="s">
        <v>1489</v>
      </c>
      <c r="F689" s="1" t="s">
        <v>114</v>
      </c>
    </row>
    <row r="690" spans="1:6" ht="30" customHeight="1" x14ac:dyDescent="0.25">
      <c r="A690" s="1" t="s">
        <v>1490</v>
      </c>
      <c r="B690" s="1" t="str">
        <f>"9781601294463"</f>
        <v>9781601294463</v>
      </c>
      <c r="C690" s="1" t="s">
        <v>1390</v>
      </c>
      <c r="D690" s="2">
        <v>37265</v>
      </c>
      <c r="E690" s="1" t="s">
        <v>1491</v>
      </c>
      <c r="F690" s="1" t="s">
        <v>13</v>
      </c>
    </row>
    <row r="691" spans="1:6" ht="30" customHeight="1" x14ac:dyDescent="0.25">
      <c r="A691" s="1" t="s">
        <v>1492</v>
      </c>
      <c r="B691" s="1" t="str">
        <f>"9781601294494"</f>
        <v>9781601294494</v>
      </c>
      <c r="C691" s="1" t="s">
        <v>1390</v>
      </c>
      <c r="D691" s="2">
        <v>37760</v>
      </c>
      <c r="E691" s="1" t="s">
        <v>1493</v>
      </c>
      <c r="F691" s="1" t="s">
        <v>13</v>
      </c>
    </row>
    <row r="692" spans="1:6" ht="30" customHeight="1" x14ac:dyDescent="0.25">
      <c r="A692" s="1" t="s">
        <v>1494</v>
      </c>
      <c r="B692" s="1" t="str">
        <f>"9781601294517"</f>
        <v>9781601294517</v>
      </c>
      <c r="C692" s="1" t="s">
        <v>1390</v>
      </c>
      <c r="D692" s="2">
        <v>37322</v>
      </c>
      <c r="E692" s="1" t="s">
        <v>1495</v>
      </c>
      <c r="F692" s="1" t="s">
        <v>13</v>
      </c>
    </row>
    <row r="693" spans="1:6" ht="30" customHeight="1" x14ac:dyDescent="0.25">
      <c r="A693" s="1" t="s">
        <v>1496</v>
      </c>
      <c r="B693" s="1" t="str">
        <f>"9781601294531"</f>
        <v>9781601294531</v>
      </c>
      <c r="C693" s="1" t="s">
        <v>1390</v>
      </c>
      <c r="D693" s="2">
        <v>38147</v>
      </c>
      <c r="E693" s="1" t="s">
        <v>1497</v>
      </c>
      <c r="F693" s="1" t="s">
        <v>599</v>
      </c>
    </row>
    <row r="694" spans="1:6" ht="30" customHeight="1" x14ac:dyDescent="0.25">
      <c r="A694" s="1" t="s">
        <v>1498</v>
      </c>
      <c r="B694" s="1" t="str">
        <f>"9781601294548"</f>
        <v>9781601294548</v>
      </c>
      <c r="C694" s="1" t="s">
        <v>1390</v>
      </c>
      <c r="D694" s="2">
        <v>37533</v>
      </c>
      <c r="E694" s="1" t="s">
        <v>1499</v>
      </c>
      <c r="F694" s="1" t="s">
        <v>95</v>
      </c>
    </row>
    <row r="695" spans="1:6" ht="30" customHeight="1" x14ac:dyDescent="0.25">
      <c r="A695" s="1" t="s">
        <v>1500</v>
      </c>
      <c r="B695" s="1" t="str">
        <f>"9781601294579"</f>
        <v>9781601294579</v>
      </c>
      <c r="C695" s="1" t="s">
        <v>1390</v>
      </c>
      <c r="D695" s="2">
        <v>37602</v>
      </c>
      <c r="E695" s="1" t="s">
        <v>1501</v>
      </c>
      <c r="F695" s="1" t="s">
        <v>13</v>
      </c>
    </row>
    <row r="696" spans="1:6" ht="30" customHeight="1" x14ac:dyDescent="0.25">
      <c r="A696" s="1" t="s">
        <v>1502</v>
      </c>
      <c r="B696" s="1" t="str">
        <f>"9781601294678"</f>
        <v>9781601294678</v>
      </c>
      <c r="C696" s="1" t="s">
        <v>1390</v>
      </c>
      <c r="D696" s="2">
        <v>37484</v>
      </c>
      <c r="E696" s="1" t="s">
        <v>1503</v>
      </c>
      <c r="F696" s="1" t="s">
        <v>54</v>
      </c>
    </row>
    <row r="697" spans="1:6" ht="30" customHeight="1" x14ac:dyDescent="0.25">
      <c r="A697" s="1" t="s">
        <v>1504</v>
      </c>
      <c r="B697" s="1" t="str">
        <f>"9781601294722"</f>
        <v>9781601294722</v>
      </c>
      <c r="C697" s="1" t="s">
        <v>1390</v>
      </c>
      <c r="D697" s="2">
        <v>37544</v>
      </c>
      <c r="E697" s="1" t="s">
        <v>1505</v>
      </c>
      <c r="F697" s="1" t="s">
        <v>349</v>
      </c>
    </row>
    <row r="698" spans="1:6" ht="30" customHeight="1" x14ac:dyDescent="0.25">
      <c r="A698" s="1" t="s">
        <v>1506</v>
      </c>
      <c r="B698" s="1" t="str">
        <f>"9781601294739"</f>
        <v>9781601294739</v>
      </c>
      <c r="C698" s="1" t="s">
        <v>1390</v>
      </c>
      <c r="D698" s="2">
        <v>38023</v>
      </c>
      <c r="E698" s="1" t="s">
        <v>1507</v>
      </c>
      <c r="F698" s="1" t="s">
        <v>148</v>
      </c>
    </row>
    <row r="699" spans="1:6" ht="30" customHeight="1" x14ac:dyDescent="0.25">
      <c r="A699" s="1" t="s">
        <v>1508</v>
      </c>
      <c r="B699" s="1" t="str">
        <f>"9780815797944"</f>
        <v>9780815797944</v>
      </c>
      <c r="C699" s="1" t="s">
        <v>1509</v>
      </c>
      <c r="D699" s="2">
        <v>38677</v>
      </c>
      <c r="E699" s="1" t="s">
        <v>1510</v>
      </c>
      <c r="F699" s="1" t="s">
        <v>95</v>
      </c>
    </row>
    <row r="700" spans="1:6" ht="30" customHeight="1" x14ac:dyDescent="0.25">
      <c r="A700" s="1" t="s">
        <v>1511</v>
      </c>
      <c r="B700" s="1" t="str">
        <f>"9781607501763"</f>
        <v>9781607501763</v>
      </c>
      <c r="C700" s="1" t="s">
        <v>1390</v>
      </c>
      <c r="D700" s="2">
        <v>38868</v>
      </c>
      <c r="E700" s="1" t="s">
        <v>1512</v>
      </c>
      <c r="F700" s="1" t="s">
        <v>13</v>
      </c>
    </row>
    <row r="701" spans="1:6" ht="30" customHeight="1" x14ac:dyDescent="0.25">
      <c r="A701" s="1" t="s">
        <v>1513</v>
      </c>
      <c r="B701" s="1" t="str">
        <f>"9781607501770"</f>
        <v>9781607501770</v>
      </c>
      <c r="C701" s="1" t="s">
        <v>1390</v>
      </c>
      <c r="D701" s="2">
        <v>38869</v>
      </c>
      <c r="E701" s="1" t="s">
        <v>1514</v>
      </c>
      <c r="F701" s="1" t="s">
        <v>126</v>
      </c>
    </row>
    <row r="702" spans="1:6" ht="30" customHeight="1" x14ac:dyDescent="0.25">
      <c r="A702" s="1" t="s">
        <v>1515</v>
      </c>
      <c r="B702" s="1" t="str">
        <f>"9781607501787"</f>
        <v>9781607501787</v>
      </c>
      <c r="C702" s="1" t="s">
        <v>1390</v>
      </c>
      <c r="D702" s="2">
        <v>38881</v>
      </c>
      <c r="E702" s="1" t="s">
        <v>1516</v>
      </c>
      <c r="F702" s="1" t="s">
        <v>1517</v>
      </c>
    </row>
    <row r="703" spans="1:6" ht="30" customHeight="1" x14ac:dyDescent="0.25">
      <c r="A703" s="1" t="s">
        <v>1518</v>
      </c>
      <c r="B703" s="1" t="str">
        <f>"9781607501794"</f>
        <v>9781607501794</v>
      </c>
      <c r="C703" s="1" t="s">
        <v>1390</v>
      </c>
      <c r="D703" s="2">
        <v>38929</v>
      </c>
      <c r="E703" s="1" t="s">
        <v>1519</v>
      </c>
      <c r="F703" s="1" t="s">
        <v>13</v>
      </c>
    </row>
    <row r="704" spans="1:6" ht="30" customHeight="1" x14ac:dyDescent="0.25">
      <c r="A704" s="1" t="s">
        <v>1520</v>
      </c>
      <c r="B704" s="1" t="str">
        <f>"9781607501848"</f>
        <v>9781607501848</v>
      </c>
      <c r="C704" s="1" t="s">
        <v>1390</v>
      </c>
      <c r="D704" s="2">
        <v>38888</v>
      </c>
      <c r="E704" s="1" t="s">
        <v>1521</v>
      </c>
      <c r="F704" s="1" t="s">
        <v>13</v>
      </c>
    </row>
    <row r="705" spans="1:6" ht="30" customHeight="1" x14ac:dyDescent="0.25">
      <c r="A705" s="1" t="s">
        <v>1522</v>
      </c>
      <c r="B705" s="1" t="str">
        <f>"9780511224249"</f>
        <v>9780511224249</v>
      </c>
      <c r="C705" s="1" t="s">
        <v>25</v>
      </c>
      <c r="D705" s="2">
        <v>38323</v>
      </c>
      <c r="E705" s="1" t="s">
        <v>1523</v>
      </c>
      <c r="F705" s="1" t="s">
        <v>268</v>
      </c>
    </row>
    <row r="706" spans="1:6" ht="30" customHeight="1" x14ac:dyDescent="0.25">
      <c r="A706" s="1" t="s">
        <v>1524</v>
      </c>
      <c r="B706" s="1" t="str">
        <f>"9780253111494"</f>
        <v>9780253111494</v>
      </c>
      <c r="C706" s="1" t="s">
        <v>19</v>
      </c>
      <c r="D706" s="2">
        <v>38645</v>
      </c>
      <c r="E706" s="1" t="s">
        <v>1525</v>
      </c>
      <c r="F706" s="1" t="s">
        <v>95</v>
      </c>
    </row>
    <row r="707" spans="1:6" ht="30" customHeight="1" x14ac:dyDescent="0.25">
      <c r="A707" s="1" t="s">
        <v>1526</v>
      </c>
      <c r="B707" s="1" t="str">
        <f>"9780313003158"</f>
        <v>9780313003158</v>
      </c>
      <c r="C707" s="1" t="s">
        <v>1527</v>
      </c>
      <c r="D707" s="2">
        <v>36860</v>
      </c>
      <c r="E707" s="1" t="s">
        <v>1528</v>
      </c>
      <c r="F707" s="1" t="s">
        <v>13</v>
      </c>
    </row>
    <row r="708" spans="1:6" ht="30" customHeight="1" x14ac:dyDescent="0.25">
      <c r="A708" s="1" t="s">
        <v>1529</v>
      </c>
      <c r="B708" s="1" t="str">
        <f>"9780313001697"</f>
        <v>9780313001697</v>
      </c>
      <c r="C708" s="1" t="s">
        <v>1527</v>
      </c>
      <c r="D708" s="2">
        <v>36615</v>
      </c>
      <c r="E708" s="1" t="s">
        <v>1530</v>
      </c>
      <c r="F708" s="1" t="s">
        <v>205</v>
      </c>
    </row>
    <row r="709" spans="1:6" ht="30" customHeight="1" x14ac:dyDescent="0.25">
      <c r="A709" s="1" t="s">
        <v>1531</v>
      </c>
      <c r="B709" s="1" t="str">
        <f>"9781567508161"</f>
        <v>9781567508161</v>
      </c>
      <c r="C709" s="1" t="s">
        <v>1527</v>
      </c>
      <c r="D709" s="2">
        <v>36098</v>
      </c>
      <c r="E709" s="1" t="s">
        <v>1532</v>
      </c>
      <c r="F709" s="1" t="s">
        <v>13</v>
      </c>
    </row>
    <row r="710" spans="1:6" ht="30" customHeight="1" x14ac:dyDescent="0.25">
      <c r="A710" s="1" t="s">
        <v>1533</v>
      </c>
      <c r="B710" s="1" t="str">
        <f>"9781567507096"</f>
        <v>9781567507096</v>
      </c>
      <c r="C710" s="1" t="s">
        <v>1527</v>
      </c>
      <c r="D710" s="2">
        <v>36584</v>
      </c>
      <c r="E710" s="1" t="s">
        <v>1534</v>
      </c>
      <c r="F710" s="1" t="s">
        <v>13</v>
      </c>
    </row>
    <row r="711" spans="1:6" ht="30" customHeight="1" x14ac:dyDescent="0.25">
      <c r="A711" s="1" t="s">
        <v>1535</v>
      </c>
      <c r="B711" s="1" t="str">
        <f>"9781567507133"</f>
        <v>9781567507133</v>
      </c>
      <c r="C711" s="1" t="s">
        <v>1527</v>
      </c>
      <c r="D711" s="2">
        <v>36219</v>
      </c>
      <c r="E711" s="1" t="s">
        <v>1536</v>
      </c>
      <c r="F711" s="1" t="s">
        <v>13</v>
      </c>
    </row>
    <row r="712" spans="1:6" ht="30" customHeight="1" x14ac:dyDescent="0.25">
      <c r="A712" s="1" t="s">
        <v>1537</v>
      </c>
      <c r="B712" s="1" t="str">
        <f>"9780313001468"</f>
        <v>9780313001468</v>
      </c>
      <c r="C712" s="1" t="s">
        <v>1527</v>
      </c>
      <c r="D712" s="2">
        <v>36555</v>
      </c>
      <c r="E712" s="1" t="s">
        <v>1538</v>
      </c>
      <c r="F712" s="1" t="s">
        <v>13</v>
      </c>
    </row>
    <row r="713" spans="1:6" ht="30" customHeight="1" x14ac:dyDescent="0.25">
      <c r="A713" s="1" t="s">
        <v>1539</v>
      </c>
      <c r="B713" s="1" t="str">
        <f>"9780080454207"</f>
        <v>9780080454207</v>
      </c>
      <c r="C713" s="1" t="s">
        <v>900</v>
      </c>
      <c r="D713" s="2">
        <v>38603</v>
      </c>
      <c r="E713" s="1" t="s">
        <v>1540</v>
      </c>
      <c r="F713" s="1" t="s">
        <v>13</v>
      </c>
    </row>
    <row r="714" spans="1:6" ht="30" customHeight="1" x14ac:dyDescent="0.25">
      <c r="A714" s="1" t="s">
        <v>1541</v>
      </c>
      <c r="B714" s="1" t="str">
        <f>"9780080458243"</f>
        <v>9780080458243</v>
      </c>
      <c r="C714" s="1" t="s">
        <v>900</v>
      </c>
      <c r="D714" s="2">
        <v>38819</v>
      </c>
      <c r="E714" s="1" t="s">
        <v>1542</v>
      </c>
      <c r="F714" s="1" t="s">
        <v>13</v>
      </c>
    </row>
    <row r="715" spans="1:6" ht="30" customHeight="1" x14ac:dyDescent="0.25">
      <c r="A715" s="1" t="s">
        <v>1543</v>
      </c>
      <c r="B715" s="1" t="str">
        <f>"9780080461182"</f>
        <v>9780080461182</v>
      </c>
      <c r="C715" s="1" t="s">
        <v>900</v>
      </c>
      <c r="D715" s="2">
        <v>38645</v>
      </c>
      <c r="E715" s="1" t="s">
        <v>1544</v>
      </c>
      <c r="F715" s="1" t="s">
        <v>13</v>
      </c>
    </row>
    <row r="716" spans="1:6" ht="30" customHeight="1" x14ac:dyDescent="0.25">
      <c r="A716" s="1" t="s">
        <v>1545</v>
      </c>
      <c r="B716" s="1" t="str">
        <f>"9780080461922"</f>
        <v>9780080461922</v>
      </c>
      <c r="C716" s="1" t="s">
        <v>900</v>
      </c>
      <c r="D716" s="2">
        <v>38743</v>
      </c>
      <c r="E716" s="1" t="s">
        <v>1546</v>
      </c>
      <c r="F716" s="1" t="s">
        <v>13</v>
      </c>
    </row>
    <row r="717" spans="1:6" ht="30" customHeight="1" x14ac:dyDescent="0.25">
      <c r="A717" s="1" t="s">
        <v>1547</v>
      </c>
      <c r="B717" s="1" t="str">
        <f>"9780080454108"</f>
        <v>9780080454108</v>
      </c>
      <c r="C717" s="1" t="s">
        <v>900</v>
      </c>
      <c r="D717" s="2">
        <v>38624</v>
      </c>
      <c r="E717" s="1" t="s">
        <v>1548</v>
      </c>
      <c r="F717" s="1" t="s">
        <v>13</v>
      </c>
    </row>
    <row r="718" spans="1:6" ht="30" customHeight="1" x14ac:dyDescent="0.25">
      <c r="A718" s="1" t="s">
        <v>1549</v>
      </c>
      <c r="B718" s="1" t="str">
        <f>"9780080454191"</f>
        <v>9780080454191</v>
      </c>
      <c r="C718" s="1" t="s">
        <v>900</v>
      </c>
      <c r="D718" s="2">
        <v>38386</v>
      </c>
      <c r="E718" s="1" t="s">
        <v>1550</v>
      </c>
      <c r="F718" s="1" t="s">
        <v>148</v>
      </c>
    </row>
    <row r="719" spans="1:6" ht="30" customHeight="1" x14ac:dyDescent="0.25">
      <c r="A719" s="1" t="s">
        <v>1551</v>
      </c>
      <c r="B719" s="1" t="str">
        <f>"9780080454221"</f>
        <v>9780080454221</v>
      </c>
      <c r="C719" s="1" t="s">
        <v>900</v>
      </c>
      <c r="D719" s="2">
        <v>38535</v>
      </c>
      <c r="E719" s="1" t="s">
        <v>1552</v>
      </c>
      <c r="F719" s="1" t="s">
        <v>1553</v>
      </c>
    </row>
    <row r="720" spans="1:6" ht="30" customHeight="1" x14ac:dyDescent="0.25">
      <c r="A720" s="1" t="s">
        <v>1554</v>
      </c>
      <c r="B720" s="1" t="str">
        <f>"9780080454382"</f>
        <v>9780080454382</v>
      </c>
      <c r="C720" s="1" t="s">
        <v>900</v>
      </c>
      <c r="D720" s="2">
        <v>38509</v>
      </c>
      <c r="E720" s="1" t="s">
        <v>1555</v>
      </c>
      <c r="F720" s="1" t="s">
        <v>13</v>
      </c>
    </row>
    <row r="721" spans="1:6" ht="30" customHeight="1" x14ac:dyDescent="0.25">
      <c r="A721" s="1" t="s">
        <v>1556</v>
      </c>
      <c r="B721" s="1" t="str">
        <f>"9780080454818"</f>
        <v>9780080454818</v>
      </c>
      <c r="C721" s="1" t="s">
        <v>900</v>
      </c>
      <c r="D721" s="2">
        <v>38700</v>
      </c>
      <c r="E721" s="1" t="s">
        <v>1557</v>
      </c>
      <c r="F721" s="1" t="s">
        <v>13</v>
      </c>
    </row>
    <row r="722" spans="1:6" ht="30" customHeight="1" x14ac:dyDescent="0.25">
      <c r="A722" s="1" t="s">
        <v>1558</v>
      </c>
      <c r="B722" s="1" t="str">
        <f>"9780080455099"</f>
        <v>9780080455099</v>
      </c>
      <c r="C722" s="1" t="s">
        <v>68</v>
      </c>
      <c r="D722" s="2">
        <v>38594</v>
      </c>
      <c r="E722" s="1" t="s">
        <v>1559</v>
      </c>
      <c r="F722" s="1" t="s">
        <v>1560</v>
      </c>
    </row>
    <row r="723" spans="1:6" ht="30" customHeight="1" x14ac:dyDescent="0.25">
      <c r="A723" s="1" t="s">
        <v>1561</v>
      </c>
      <c r="B723" s="1" t="str">
        <f>"9780080458267"</f>
        <v>9780080458267</v>
      </c>
      <c r="C723" s="1" t="s">
        <v>900</v>
      </c>
      <c r="D723" s="2">
        <v>38580</v>
      </c>
      <c r="E723" s="1" t="s">
        <v>1562</v>
      </c>
      <c r="F723" s="1" t="s">
        <v>1563</v>
      </c>
    </row>
    <row r="724" spans="1:6" ht="30" customHeight="1" x14ac:dyDescent="0.25">
      <c r="A724" s="1" t="s">
        <v>1564</v>
      </c>
      <c r="B724" s="1" t="str">
        <f>"9780080458946"</f>
        <v>9780080458946</v>
      </c>
      <c r="C724" s="1" t="s">
        <v>900</v>
      </c>
      <c r="D724" s="2">
        <v>38671</v>
      </c>
      <c r="E724" s="1" t="s">
        <v>1565</v>
      </c>
      <c r="F724" s="1" t="s">
        <v>13</v>
      </c>
    </row>
    <row r="725" spans="1:6" ht="30" customHeight="1" x14ac:dyDescent="0.25">
      <c r="A725" s="1" t="s">
        <v>1566</v>
      </c>
      <c r="B725" s="1" t="str">
        <f>"9780080459370"</f>
        <v>9780080459370</v>
      </c>
      <c r="C725" s="1" t="s">
        <v>900</v>
      </c>
      <c r="D725" s="2">
        <v>38953</v>
      </c>
      <c r="E725" s="1" t="s">
        <v>1567</v>
      </c>
      <c r="F725" s="1" t="s">
        <v>1568</v>
      </c>
    </row>
    <row r="726" spans="1:6" ht="30" customHeight="1" x14ac:dyDescent="0.25">
      <c r="A726" s="1" t="s">
        <v>1569</v>
      </c>
      <c r="B726" s="1" t="str">
        <f>"9780080459578"</f>
        <v>9780080459578</v>
      </c>
      <c r="C726" s="1" t="s">
        <v>900</v>
      </c>
      <c r="D726" s="2">
        <v>38492</v>
      </c>
      <c r="E726" s="1" t="s">
        <v>1570</v>
      </c>
      <c r="F726" s="1" t="s">
        <v>349</v>
      </c>
    </row>
    <row r="727" spans="1:6" ht="30" customHeight="1" x14ac:dyDescent="0.25">
      <c r="A727" s="1" t="s">
        <v>1571</v>
      </c>
      <c r="B727" s="1" t="str">
        <f>"9780080459998"</f>
        <v>9780080459998</v>
      </c>
      <c r="C727" s="1" t="s">
        <v>900</v>
      </c>
      <c r="D727" s="2">
        <v>40661</v>
      </c>
      <c r="E727" s="1" t="s">
        <v>1572</v>
      </c>
      <c r="F727" s="1" t="s">
        <v>95</v>
      </c>
    </row>
    <row r="728" spans="1:6" ht="30" customHeight="1" x14ac:dyDescent="0.25">
      <c r="A728" s="1" t="s">
        <v>1573</v>
      </c>
      <c r="B728" s="1" t="str">
        <f>"9780080460956"</f>
        <v>9780080460956</v>
      </c>
      <c r="C728" s="1" t="s">
        <v>900</v>
      </c>
      <c r="D728" s="2">
        <v>38693</v>
      </c>
      <c r="E728" s="1" t="s">
        <v>1574</v>
      </c>
      <c r="F728" s="1" t="s">
        <v>13</v>
      </c>
    </row>
    <row r="729" spans="1:6" ht="30" customHeight="1" x14ac:dyDescent="0.25">
      <c r="A729" s="1" t="s">
        <v>1575</v>
      </c>
      <c r="B729" s="1" t="str">
        <f>"9780198025634"</f>
        <v>9780198025634</v>
      </c>
      <c r="C729" s="1" t="s">
        <v>1120</v>
      </c>
      <c r="D729" s="2">
        <v>35404</v>
      </c>
      <c r="E729" s="1" t="s">
        <v>1576</v>
      </c>
      <c r="F729" s="1" t="s">
        <v>33</v>
      </c>
    </row>
    <row r="730" spans="1:6" ht="30" customHeight="1" x14ac:dyDescent="0.25">
      <c r="A730" s="1" t="s">
        <v>1577</v>
      </c>
      <c r="B730" s="1" t="str">
        <f>"9780198039235"</f>
        <v>9780198039235</v>
      </c>
      <c r="C730" s="1" t="s">
        <v>1117</v>
      </c>
      <c r="D730" s="2">
        <v>38353</v>
      </c>
      <c r="E730" s="1" t="s">
        <v>1578</v>
      </c>
      <c r="F730" s="1" t="s">
        <v>13</v>
      </c>
    </row>
    <row r="731" spans="1:6" ht="30" customHeight="1" x14ac:dyDescent="0.25">
      <c r="A731" s="1" t="s">
        <v>1579</v>
      </c>
      <c r="B731" s="1" t="str">
        <f>"9781601296740"</f>
        <v>9781601296740</v>
      </c>
      <c r="C731" s="1" t="s">
        <v>1117</v>
      </c>
      <c r="D731" s="2">
        <v>32143</v>
      </c>
      <c r="E731" s="1" t="s">
        <v>1580</v>
      </c>
      <c r="F731" s="1" t="s">
        <v>95</v>
      </c>
    </row>
    <row r="732" spans="1:6" ht="30" customHeight="1" x14ac:dyDescent="0.25">
      <c r="A732" s="1" t="s">
        <v>1581</v>
      </c>
      <c r="B732" s="1" t="str">
        <f>"9780195351873"</f>
        <v>9780195351873</v>
      </c>
      <c r="C732" s="1" t="s">
        <v>1123</v>
      </c>
      <c r="D732" s="2">
        <v>36300</v>
      </c>
      <c r="E732" s="1" t="s">
        <v>1582</v>
      </c>
      <c r="F732" s="1" t="s">
        <v>95</v>
      </c>
    </row>
    <row r="733" spans="1:6" ht="30" customHeight="1" x14ac:dyDescent="0.25">
      <c r="A733" s="1" t="s">
        <v>1583</v>
      </c>
      <c r="B733" s="1" t="str">
        <f>"9780198028444"</f>
        <v>9780198028444</v>
      </c>
      <c r="C733" s="1" t="s">
        <v>1123</v>
      </c>
      <c r="D733" s="2">
        <v>36027</v>
      </c>
      <c r="E733" s="1" t="s">
        <v>1584</v>
      </c>
      <c r="F733" s="1" t="s">
        <v>13</v>
      </c>
    </row>
    <row r="734" spans="1:6" ht="30" customHeight="1" x14ac:dyDescent="0.25">
      <c r="A734" s="1" t="s">
        <v>1585</v>
      </c>
      <c r="B734" s="1" t="str">
        <f>"9780195355369"</f>
        <v>9780195355369</v>
      </c>
      <c r="C734" s="1" t="s">
        <v>1123</v>
      </c>
      <c r="D734" s="2">
        <v>35908</v>
      </c>
      <c r="E734" s="1" t="s">
        <v>1586</v>
      </c>
      <c r="F734" s="1" t="s">
        <v>13</v>
      </c>
    </row>
    <row r="735" spans="1:6" ht="30" customHeight="1" x14ac:dyDescent="0.25">
      <c r="A735" s="1" t="s">
        <v>1587</v>
      </c>
      <c r="B735" s="1" t="str">
        <f>"9780195364712"</f>
        <v>9780195364712</v>
      </c>
      <c r="C735" s="1" t="s">
        <v>1123</v>
      </c>
      <c r="D735" s="2">
        <v>32079</v>
      </c>
      <c r="E735" s="1" t="s">
        <v>1588</v>
      </c>
      <c r="F735" s="1" t="s">
        <v>13</v>
      </c>
    </row>
    <row r="736" spans="1:6" ht="30" customHeight="1" x14ac:dyDescent="0.25">
      <c r="A736" s="1" t="s">
        <v>1589</v>
      </c>
      <c r="B736" s="1" t="str">
        <f>"9781601296634"</f>
        <v>9781601296634</v>
      </c>
      <c r="C736" s="1" t="s">
        <v>1117</v>
      </c>
      <c r="D736" s="2">
        <v>32143</v>
      </c>
      <c r="E736" s="1" t="s">
        <v>1590</v>
      </c>
      <c r="F736" s="1" t="s">
        <v>87</v>
      </c>
    </row>
    <row r="737" spans="1:6" ht="30" customHeight="1" x14ac:dyDescent="0.25">
      <c r="A737" s="1" t="s">
        <v>1591</v>
      </c>
      <c r="B737" s="1" t="str">
        <f>"9780195350869"</f>
        <v>9780195350869</v>
      </c>
      <c r="C737" s="1" t="s">
        <v>1120</v>
      </c>
      <c r="D737" s="2">
        <v>36748</v>
      </c>
      <c r="E737" s="1" t="s">
        <v>1592</v>
      </c>
      <c r="F737" s="1" t="s">
        <v>13</v>
      </c>
    </row>
    <row r="738" spans="1:6" ht="30" customHeight="1" x14ac:dyDescent="0.25">
      <c r="A738" s="1" t="s">
        <v>1593</v>
      </c>
      <c r="B738" s="1" t="str">
        <f>"9781602565845"</f>
        <v>9781602565845</v>
      </c>
      <c r="C738" s="1" t="s">
        <v>1117</v>
      </c>
      <c r="D738" s="2">
        <v>32143</v>
      </c>
      <c r="E738" s="1" t="s">
        <v>1594</v>
      </c>
      <c r="F738" s="1" t="s">
        <v>1595</v>
      </c>
    </row>
    <row r="739" spans="1:6" ht="30" customHeight="1" x14ac:dyDescent="0.25">
      <c r="A739" s="1" t="s">
        <v>1596</v>
      </c>
      <c r="B739" s="1" t="str">
        <f>"9780198027225"</f>
        <v>9780198027225</v>
      </c>
      <c r="C739" s="1" t="s">
        <v>1117</v>
      </c>
      <c r="D739" s="2">
        <v>36526</v>
      </c>
      <c r="E739" s="1" t="s">
        <v>1597</v>
      </c>
      <c r="F739" s="1" t="s">
        <v>13</v>
      </c>
    </row>
    <row r="740" spans="1:6" ht="30" customHeight="1" x14ac:dyDescent="0.25">
      <c r="A740" s="1" t="s">
        <v>1598</v>
      </c>
      <c r="B740" s="1" t="str">
        <f>"9780195359060"</f>
        <v>9780195359060</v>
      </c>
      <c r="C740" s="1" t="s">
        <v>1123</v>
      </c>
      <c r="D740" s="2">
        <v>34746</v>
      </c>
      <c r="E740" s="1" t="s">
        <v>1599</v>
      </c>
      <c r="F740" s="1" t="s">
        <v>237</v>
      </c>
    </row>
    <row r="741" spans="1:6" ht="30" customHeight="1" x14ac:dyDescent="0.25">
      <c r="A741" s="1" t="s">
        <v>1600</v>
      </c>
      <c r="B741" s="1" t="str">
        <f>"9780198028314"</f>
        <v>9780198028314</v>
      </c>
      <c r="C741" s="1" t="s">
        <v>1120</v>
      </c>
      <c r="D741" s="2">
        <v>36244</v>
      </c>
      <c r="E741" s="1" t="s">
        <v>1601</v>
      </c>
      <c r="F741" s="1" t="s">
        <v>13</v>
      </c>
    </row>
    <row r="742" spans="1:6" ht="30" customHeight="1" x14ac:dyDescent="0.25">
      <c r="A742" s="1" t="s">
        <v>1602</v>
      </c>
      <c r="B742" s="1" t="str">
        <f>"9780198038740"</f>
        <v>9780198038740</v>
      </c>
      <c r="C742" s="1" t="s">
        <v>1120</v>
      </c>
      <c r="D742" s="2">
        <v>38750</v>
      </c>
      <c r="E742" s="1" t="s">
        <v>1603</v>
      </c>
      <c r="F742" s="1" t="s">
        <v>30</v>
      </c>
    </row>
    <row r="743" spans="1:6" ht="30" customHeight="1" x14ac:dyDescent="0.25">
      <c r="A743" s="1" t="s">
        <v>1604</v>
      </c>
      <c r="B743" s="1" t="str">
        <f>"9781602566231"</f>
        <v>9781602566231</v>
      </c>
      <c r="C743" s="1" t="s">
        <v>1120</v>
      </c>
      <c r="D743" s="2">
        <v>34753</v>
      </c>
      <c r="E743" s="1" t="s">
        <v>1605</v>
      </c>
      <c r="F743" s="1" t="s">
        <v>650</v>
      </c>
    </row>
    <row r="744" spans="1:6" ht="30" customHeight="1" x14ac:dyDescent="0.25">
      <c r="A744" s="1" t="s">
        <v>1606</v>
      </c>
      <c r="B744" s="1" t="str">
        <f>"9780199763115"</f>
        <v>9780199763115</v>
      </c>
      <c r="C744" s="1" t="s">
        <v>1117</v>
      </c>
      <c r="D744" s="2">
        <v>33038</v>
      </c>
      <c r="E744" s="1" t="s">
        <v>1607</v>
      </c>
      <c r="F744" s="1" t="s">
        <v>650</v>
      </c>
    </row>
    <row r="745" spans="1:6" ht="30" customHeight="1" x14ac:dyDescent="0.25">
      <c r="A745" s="1" t="s">
        <v>1608</v>
      </c>
      <c r="B745" s="1" t="str">
        <f>"9780198028208"</f>
        <v>9780198028208</v>
      </c>
      <c r="C745" s="1" t="s">
        <v>1123</v>
      </c>
      <c r="D745" s="2">
        <v>36727</v>
      </c>
      <c r="E745" s="1" t="s">
        <v>1609</v>
      </c>
      <c r="F745" s="1" t="s">
        <v>760</v>
      </c>
    </row>
    <row r="746" spans="1:6" ht="30" customHeight="1" x14ac:dyDescent="0.25">
      <c r="A746" s="1" t="s">
        <v>1610</v>
      </c>
      <c r="B746" s="1" t="str">
        <f>"9781602565180"</f>
        <v>9781602565180</v>
      </c>
      <c r="C746" s="1" t="s">
        <v>1117</v>
      </c>
      <c r="D746" s="2">
        <v>38353</v>
      </c>
      <c r="E746" s="1" t="s">
        <v>1611</v>
      </c>
      <c r="F746" s="1" t="s">
        <v>13</v>
      </c>
    </row>
    <row r="747" spans="1:6" ht="30" customHeight="1" x14ac:dyDescent="0.25">
      <c r="A747" s="1" t="s">
        <v>1612</v>
      </c>
      <c r="B747" s="1" t="str">
        <f>"9781602560369"</f>
        <v>9781602560369</v>
      </c>
      <c r="C747" s="1" t="s">
        <v>1123</v>
      </c>
      <c r="D747" s="2">
        <v>35971</v>
      </c>
      <c r="E747" s="1" t="s">
        <v>1613</v>
      </c>
      <c r="F747" s="1" t="s">
        <v>13</v>
      </c>
    </row>
    <row r="748" spans="1:6" ht="30" customHeight="1" x14ac:dyDescent="0.25">
      <c r="A748" s="1" t="s">
        <v>1614</v>
      </c>
      <c r="B748" s="1" t="str">
        <f>"9781601297709"</f>
        <v>9781601297709</v>
      </c>
      <c r="C748" s="1" t="s">
        <v>1123</v>
      </c>
      <c r="D748" s="2">
        <v>33689</v>
      </c>
      <c r="E748" s="1" t="s">
        <v>1615</v>
      </c>
      <c r="F748" s="1" t="s">
        <v>13</v>
      </c>
    </row>
    <row r="749" spans="1:6" ht="30" customHeight="1" x14ac:dyDescent="0.25">
      <c r="A749" s="1" t="s">
        <v>1616</v>
      </c>
      <c r="B749" s="1" t="str">
        <f>"9781602562776"</f>
        <v>9781602562776</v>
      </c>
      <c r="C749" s="1" t="s">
        <v>1123</v>
      </c>
      <c r="D749" s="2">
        <v>36629</v>
      </c>
      <c r="E749" s="1" t="s">
        <v>1617</v>
      </c>
      <c r="F749" s="1" t="s">
        <v>13</v>
      </c>
    </row>
    <row r="750" spans="1:6" ht="30" customHeight="1" x14ac:dyDescent="0.25">
      <c r="A750" s="1" t="s">
        <v>1618</v>
      </c>
      <c r="B750" s="1" t="str">
        <f>"9781601297884"</f>
        <v>9781601297884</v>
      </c>
      <c r="C750" s="1" t="s">
        <v>1123</v>
      </c>
      <c r="D750" s="2">
        <v>34508</v>
      </c>
      <c r="E750" s="1" t="s">
        <v>1619</v>
      </c>
      <c r="F750" s="1" t="s">
        <v>13</v>
      </c>
    </row>
    <row r="751" spans="1:6" ht="30" customHeight="1" x14ac:dyDescent="0.25">
      <c r="A751" s="1" t="s">
        <v>1620</v>
      </c>
      <c r="B751" s="1" t="str">
        <f>"9780195351606"</f>
        <v>9780195351606</v>
      </c>
      <c r="C751" s="1" t="s">
        <v>1123</v>
      </c>
      <c r="D751" s="2">
        <v>37644</v>
      </c>
      <c r="E751" s="1" t="s">
        <v>1621</v>
      </c>
      <c r="F751" s="1" t="s">
        <v>13</v>
      </c>
    </row>
    <row r="752" spans="1:6" ht="30" customHeight="1" x14ac:dyDescent="0.25">
      <c r="A752" s="1" t="s">
        <v>1622</v>
      </c>
      <c r="B752" s="1" t="str">
        <f>"9781602562295"</f>
        <v>9781602562295</v>
      </c>
      <c r="C752" s="1" t="s">
        <v>1123</v>
      </c>
      <c r="D752" s="2">
        <v>35901</v>
      </c>
      <c r="E752" s="1" t="s">
        <v>1623</v>
      </c>
      <c r="F752" s="1" t="s">
        <v>13</v>
      </c>
    </row>
    <row r="753" spans="1:6" ht="30" customHeight="1" x14ac:dyDescent="0.25">
      <c r="A753" s="1" t="s">
        <v>1624</v>
      </c>
      <c r="B753" s="1" t="str">
        <f>"9780198030546"</f>
        <v>9780198030546</v>
      </c>
      <c r="C753" s="1" t="s">
        <v>1117</v>
      </c>
      <c r="D753" s="2">
        <v>37987</v>
      </c>
      <c r="E753" s="1" t="s">
        <v>1625</v>
      </c>
      <c r="F753" s="1" t="s">
        <v>13</v>
      </c>
    </row>
    <row r="754" spans="1:6" ht="30" customHeight="1" x14ac:dyDescent="0.25">
      <c r="A754" s="1" t="s">
        <v>1626</v>
      </c>
      <c r="B754" s="1" t="str">
        <f>"9780198030485"</f>
        <v>9780198030485</v>
      </c>
      <c r="C754" s="1" t="s">
        <v>1123</v>
      </c>
      <c r="D754" s="2">
        <v>36958</v>
      </c>
      <c r="E754" s="1" t="s">
        <v>1627</v>
      </c>
      <c r="F754" s="1" t="s">
        <v>13</v>
      </c>
    </row>
    <row r="755" spans="1:6" ht="30" customHeight="1" x14ac:dyDescent="0.25">
      <c r="A755" s="1" t="s">
        <v>1628</v>
      </c>
      <c r="B755" s="1" t="str">
        <f>"9780198029694"</f>
        <v>9780198029694</v>
      </c>
      <c r="C755" s="1" t="s">
        <v>1123</v>
      </c>
      <c r="D755" s="2">
        <v>36538</v>
      </c>
      <c r="E755" s="1" t="s">
        <v>1629</v>
      </c>
      <c r="F755" s="1" t="s">
        <v>13</v>
      </c>
    </row>
    <row r="756" spans="1:6" ht="30" customHeight="1" x14ac:dyDescent="0.25">
      <c r="A756" s="1" t="s">
        <v>1630</v>
      </c>
      <c r="B756" s="1" t="str">
        <f>"9780198024699"</f>
        <v>9780198024699</v>
      </c>
      <c r="C756" s="1" t="s">
        <v>1120</v>
      </c>
      <c r="D756" s="2">
        <v>36965</v>
      </c>
      <c r="E756" s="1" t="s">
        <v>1631</v>
      </c>
      <c r="F756" s="1" t="s">
        <v>137</v>
      </c>
    </row>
    <row r="757" spans="1:6" ht="30" customHeight="1" x14ac:dyDescent="0.25">
      <c r="A757" s="1" t="s">
        <v>1632</v>
      </c>
      <c r="B757" s="1" t="str">
        <f>"9781601298645"</f>
        <v>9781601298645</v>
      </c>
      <c r="C757" s="1" t="s">
        <v>1117</v>
      </c>
      <c r="D757" s="2">
        <v>34335</v>
      </c>
      <c r="E757" s="1" t="s">
        <v>1633</v>
      </c>
      <c r="F757" s="1" t="s">
        <v>70</v>
      </c>
    </row>
    <row r="758" spans="1:6" ht="30" customHeight="1" x14ac:dyDescent="0.25">
      <c r="A758" s="1" t="s">
        <v>1634</v>
      </c>
      <c r="B758" s="1" t="str">
        <f>"9780198029717"</f>
        <v>9780198029717</v>
      </c>
      <c r="C758" s="1" t="s">
        <v>1117</v>
      </c>
      <c r="D758" s="2">
        <v>36892</v>
      </c>
      <c r="E758" s="1" t="s">
        <v>1635</v>
      </c>
      <c r="F758" s="1" t="s">
        <v>13</v>
      </c>
    </row>
    <row r="759" spans="1:6" ht="30" customHeight="1" x14ac:dyDescent="0.25">
      <c r="A759" s="1" t="s">
        <v>1636</v>
      </c>
      <c r="B759" s="1" t="str">
        <f>"9780198040804"</f>
        <v>9780198040804</v>
      </c>
      <c r="C759" s="1" t="s">
        <v>1120</v>
      </c>
      <c r="D759" s="2">
        <v>38792</v>
      </c>
      <c r="E759" s="1" t="s">
        <v>1637</v>
      </c>
      <c r="F759" s="1" t="s">
        <v>13</v>
      </c>
    </row>
    <row r="760" spans="1:6" ht="30" customHeight="1" x14ac:dyDescent="0.25">
      <c r="A760" s="1" t="s">
        <v>1638</v>
      </c>
      <c r="B760" s="1" t="str">
        <f>"9781602564060"</f>
        <v>9781602564060</v>
      </c>
      <c r="C760" s="1" t="s">
        <v>1117</v>
      </c>
      <c r="D760" s="2">
        <v>37622</v>
      </c>
      <c r="E760" s="1" t="s">
        <v>1639</v>
      </c>
      <c r="F760" s="1" t="s">
        <v>13</v>
      </c>
    </row>
    <row r="761" spans="1:6" ht="30" customHeight="1" x14ac:dyDescent="0.25">
      <c r="A761" s="1" t="s">
        <v>1640</v>
      </c>
      <c r="B761" s="1" t="str">
        <f>"9780195350937"</f>
        <v>9780195350937</v>
      </c>
      <c r="C761" s="1" t="s">
        <v>1123</v>
      </c>
      <c r="D761" s="2">
        <v>36559</v>
      </c>
      <c r="E761" s="1" t="s">
        <v>1641</v>
      </c>
      <c r="F761" s="1" t="s">
        <v>1642</v>
      </c>
    </row>
    <row r="762" spans="1:6" ht="30" customHeight="1" x14ac:dyDescent="0.25">
      <c r="A762" s="1" t="s">
        <v>1643</v>
      </c>
      <c r="B762" s="1" t="str">
        <f>"9780199720224"</f>
        <v>9780199720224</v>
      </c>
      <c r="C762" s="1" t="s">
        <v>1117</v>
      </c>
      <c r="D762" s="2">
        <v>32982</v>
      </c>
      <c r="E762" s="1" t="s">
        <v>1644</v>
      </c>
      <c r="F762" s="1" t="s">
        <v>13</v>
      </c>
    </row>
    <row r="763" spans="1:6" ht="30" customHeight="1" x14ac:dyDescent="0.25">
      <c r="A763" s="1" t="s">
        <v>1645</v>
      </c>
      <c r="B763" s="1" t="str">
        <f>"9780195364521"</f>
        <v>9780195364521</v>
      </c>
      <c r="C763" s="1" t="s">
        <v>1123</v>
      </c>
      <c r="D763" s="2">
        <v>32184</v>
      </c>
      <c r="E763" s="1" t="s">
        <v>1646</v>
      </c>
      <c r="F763" s="1" t="s">
        <v>21</v>
      </c>
    </row>
    <row r="764" spans="1:6" ht="30" customHeight="1" x14ac:dyDescent="0.25">
      <c r="A764" s="1" t="s">
        <v>1647</v>
      </c>
      <c r="B764" s="1" t="str">
        <f>"9780198038337"</f>
        <v>9780198038337</v>
      </c>
      <c r="C764" s="1" t="s">
        <v>1123</v>
      </c>
      <c r="D764" s="2">
        <v>38421</v>
      </c>
      <c r="E764" s="1" t="s">
        <v>1648</v>
      </c>
      <c r="F764" s="1" t="s">
        <v>21</v>
      </c>
    </row>
    <row r="765" spans="1:6" ht="30" customHeight="1" x14ac:dyDescent="0.25">
      <c r="A765" s="1" t="s">
        <v>1649</v>
      </c>
      <c r="B765" s="1" t="str">
        <f>"9781602562592"</f>
        <v>9781602562592</v>
      </c>
      <c r="C765" s="1" t="s">
        <v>1117</v>
      </c>
      <c r="D765" s="2">
        <v>33290</v>
      </c>
      <c r="E765" s="1" t="s">
        <v>1650</v>
      </c>
      <c r="F765" s="1" t="s">
        <v>13</v>
      </c>
    </row>
    <row r="766" spans="1:6" ht="30" customHeight="1" x14ac:dyDescent="0.25">
      <c r="A766" s="1" t="s">
        <v>1651</v>
      </c>
      <c r="B766" s="1" t="str">
        <f>"9780198020998"</f>
        <v>9780198020998</v>
      </c>
      <c r="C766" s="1" t="s">
        <v>1123</v>
      </c>
      <c r="D766" s="2">
        <v>31897</v>
      </c>
      <c r="E766" s="1" t="s">
        <v>1652</v>
      </c>
      <c r="F766" s="1" t="s">
        <v>13</v>
      </c>
    </row>
    <row r="767" spans="1:6" ht="30" customHeight="1" x14ac:dyDescent="0.25">
      <c r="A767" s="1" t="s">
        <v>1653</v>
      </c>
      <c r="B767" s="1" t="str">
        <f>"9780199724437"</f>
        <v>9780199724437</v>
      </c>
      <c r="C767" s="1" t="s">
        <v>1120</v>
      </c>
      <c r="D767" s="2">
        <v>38750</v>
      </c>
      <c r="E767" s="1" t="s">
        <v>1654</v>
      </c>
      <c r="F767" s="1" t="s">
        <v>1655</v>
      </c>
    </row>
    <row r="768" spans="1:6" ht="30" customHeight="1" x14ac:dyDescent="0.25">
      <c r="A768" s="1" t="s">
        <v>1656</v>
      </c>
      <c r="B768" s="1" t="str">
        <f>"9780198038276"</f>
        <v>9780198038276</v>
      </c>
      <c r="C768" s="1" t="s">
        <v>1123</v>
      </c>
      <c r="D768" s="2">
        <v>38400</v>
      </c>
      <c r="E768" s="1" t="s">
        <v>1657</v>
      </c>
      <c r="F768" s="1" t="s">
        <v>13</v>
      </c>
    </row>
    <row r="769" spans="1:6" ht="30" customHeight="1" x14ac:dyDescent="0.25">
      <c r="A769" s="1" t="s">
        <v>1658</v>
      </c>
      <c r="B769" s="1" t="str">
        <f>"9780198026495"</f>
        <v>9780198026495</v>
      </c>
      <c r="C769" s="1" t="s">
        <v>1120</v>
      </c>
      <c r="D769" s="2">
        <v>36559</v>
      </c>
      <c r="E769" s="1" t="s">
        <v>1659</v>
      </c>
      <c r="F769" s="1" t="s">
        <v>13</v>
      </c>
    </row>
    <row r="770" spans="1:6" ht="30" customHeight="1" x14ac:dyDescent="0.25">
      <c r="A770" s="1" t="s">
        <v>1660</v>
      </c>
      <c r="B770" s="1" t="str">
        <f>"9780198029236"</f>
        <v>9780198029236</v>
      </c>
      <c r="C770" s="1" t="s">
        <v>1123</v>
      </c>
      <c r="D770" s="2">
        <v>36923</v>
      </c>
      <c r="E770" s="1" t="s">
        <v>1661</v>
      </c>
      <c r="F770" s="1" t="s">
        <v>13</v>
      </c>
    </row>
    <row r="771" spans="1:6" ht="30" customHeight="1" x14ac:dyDescent="0.25">
      <c r="A771" s="1" t="s">
        <v>1662</v>
      </c>
      <c r="B771" s="1" t="str">
        <f>"9781601299475"</f>
        <v>9781601299475</v>
      </c>
      <c r="C771" s="1" t="s">
        <v>1117</v>
      </c>
      <c r="D771" s="2">
        <v>35431</v>
      </c>
      <c r="E771" s="1" t="s">
        <v>1663</v>
      </c>
      <c r="F771" s="1" t="s">
        <v>13</v>
      </c>
    </row>
    <row r="772" spans="1:6" ht="30" customHeight="1" x14ac:dyDescent="0.25">
      <c r="A772" s="1" t="s">
        <v>1664</v>
      </c>
      <c r="B772" s="1" t="str">
        <f>"9780198039785"</f>
        <v>9780198039785</v>
      </c>
      <c r="C772" s="1" t="s">
        <v>1123</v>
      </c>
      <c r="D772" s="2">
        <v>38596</v>
      </c>
      <c r="E772" s="1" t="s">
        <v>1665</v>
      </c>
      <c r="F772" s="1" t="s">
        <v>13</v>
      </c>
    </row>
    <row r="773" spans="1:6" ht="30" customHeight="1" x14ac:dyDescent="0.25">
      <c r="A773" s="1" t="s">
        <v>1666</v>
      </c>
      <c r="B773" s="1" t="str">
        <f>"9781602563759"</f>
        <v>9781602563759</v>
      </c>
      <c r="C773" s="1" t="s">
        <v>1117</v>
      </c>
      <c r="D773" s="2">
        <v>36526</v>
      </c>
      <c r="E773" s="1" t="s">
        <v>1667</v>
      </c>
      <c r="F773" s="1" t="s">
        <v>13</v>
      </c>
    </row>
    <row r="774" spans="1:6" ht="30" customHeight="1" x14ac:dyDescent="0.25">
      <c r="A774" s="1" t="s">
        <v>1668</v>
      </c>
      <c r="B774" s="1" t="str">
        <f>"9780198030478"</f>
        <v>9780198030478</v>
      </c>
      <c r="C774" s="1" t="s">
        <v>1123</v>
      </c>
      <c r="D774" s="2">
        <v>37105</v>
      </c>
      <c r="E774" s="1" t="s">
        <v>1669</v>
      </c>
      <c r="F774" s="1" t="s">
        <v>13</v>
      </c>
    </row>
    <row r="775" spans="1:6" ht="30" customHeight="1" x14ac:dyDescent="0.25">
      <c r="A775" s="1" t="s">
        <v>1670</v>
      </c>
      <c r="B775" s="1" t="str">
        <f>"9781588905840"</f>
        <v>9781588905840</v>
      </c>
      <c r="C775" s="1" t="s">
        <v>1671</v>
      </c>
      <c r="D775" s="2">
        <v>40544</v>
      </c>
      <c r="E775" s="1" t="s">
        <v>1672</v>
      </c>
      <c r="F775" s="1" t="s">
        <v>13</v>
      </c>
    </row>
    <row r="776" spans="1:6" ht="30" customHeight="1" x14ac:dyDescent="0.25">
      <c r="A776" s="1" t="s">
        <v>1673</v>
      </c>
      <c r="B776" s="1" t="str">
        <f>"9781588905857"</f>
        <v>9781588905857</v>
      </c>
      <c r="C776" s="1" t="s">
        <v>1671</v>
      </c>
      <c r="D776" s="2">
        <v>38894</v>
      </c>
      <c r="E776" s="1" t="s">
        <v>1674</v>
      </c>
      <c r="F776" s="1" t="s">
        <v>13</v>
      </c>
    </row>
    <row r="777" spans="1:6" ht="30" customHeight="1" x14ac:dyDescent="0.25">
      <c r="A777" s="1" t="s">
        <v>1675</v>
      </c>
      <c r="B777" s="1" t="str">
        <f>"9781588905864"</f>
        <v>9781588905864</v>
      </c>
      <c r="C777" s="1" t="s">
        <v>1671</v>
      </c>
      <c r="D777" s="2">
        <v>40544</v>
      </c>
      <c r="E777" s="1" t="s">
        <v>1676</v>
      </c>
      <c r="F777" s="1" t="s">
        <v>13</v>
      </c>
    </row>
    <row r="778" spans="1:6" ht="30" customHeight="1" x14ac:dyDescent="0.25">
      <c r="A778" s="1" t="s">
        <v>1677</v>
      </c>
      <c r="B778" s="1" t="str">
        <f>"9781588905871"</f>
        <v>9781588905871</v>
      </c>
      <c r="C778" s="1" t="s">
        <v>1671</v>
      </c>
      <c r="D778" s="2">
        <v>40544</v>
      </c>
      <c r="E778" s="1" t="s">
        <v>1678</v>
      </c>
      <c r="F778" s="1" t="s">
        <v>13</v>
      </c>
    </row>
    <row r="779" spans="1:6" ht="30" customHeight="1" x14ac:dyDescent="0.25">
      <c r="A779" s="1" t="s">
        <v>1679</v>
      </c>
      <c r="B779" s="1" t="str">
        <f>"9781588905888"</f>
        <v>9781588905888</v>
      </c>
      <c r="C779" s="1" t="s">
        <v>1671</v>
      </c>
      <c r="D779" s="2">
        <v>40544</v>
      </c>
      <c r="E779" s="1" t="s">
        <v>1680</v>
      </c>
      <c r="F779" s="1" t="s">
        <v>13</v>
      </c>
    </row>
    <row r="780" spans="1:6" ht="30" customHeight="1" x14ac:dyDescent="0.25">
      <c r="A780" s="1" t="s">
        <v>1681</v>
      </c>
      <c r="B780" s="1" t="str">
        <f>"9781588905895"</f>
        <v>9781588905895</v>
      </c>
      <c r="C780" s="1" t="s">
        <v>1671</v>
      </c>
      <c r="D780" s="2">
        <v>40544</v>
      </c>
      <c r="E780" s="1" t="s">
        <v>1682</v>
      </c>
      <c r="F780" s="1" t="s">
        <v>13</v>
      </c>
    </row>
    <row r="781" spans="1:6" ht="30" customHeight="1" x14ac:dyDescent="0.25">
      <c r="A781" s="1" t="s">
        <v>1683</v>
      </c>
      <c r="B781" s="1" t="str">
        <f>"9781588905901"</f>
        <v>9781588905901</v>
      </c>
      <c r="C781" s="1" t="s">
        <v>1671</v>
      </c>
      <c r="D781" s="2">
        <v>40544</v>
      </c>
      <c r="E781" s="1" t="s">
        <v>1684</v>
      </c>
      <c r="F781" s="1" t="s">
        <v>13</v>
      </c>
    </row>
    <row r="782" spans="1:6" ht="30" customHeight="1" x14ac:dyDescent="0.25">
      <c r="A782" s="1" t="s">
        <v>1685</v>
      </c>
      <c r="B782" s="1" t="str">
        <f>"9781588905918"</f>
        <v>9781588905918</v>
      </c>
      <c r="C782" s="1" t="s">
        <v>1671</v>
      </c>
      <c r="D782" s="2">
        <v>38300</v>
      </c>
      <c r="E782" s="1" t="s">
        <v>1686</v>
      </c>
      <c r="F782" s="1" t="s">
        <v>13</v>
      </c>
    </row>
    <row r="783" spans="1:6" ht="30" customHeight="1" x14ac:dyDescent="0.25">
      <c r="A783" s="1" t="s">
        <v>1687</v>
      </c>
      <c r="B783" s="1" t="str">
        <f>"9781588905925"</f>
        <v>9781588905925</v>
      </c>
      <c r="C783" s="1" t="s">
        <v>1671</v>
      </c>
      <c r="D783" s="2">
        <v>37257</v>
      </c>
      <c r="E783" s="1" t="s">
        <v>1688</v>
      </c>
      <c r="F783" s="1" t="s">
        <v>13</v>
      </c>
    </row>
    <row r="784" spans="1:6" ht="30" customHeight="1" x14ac:dyDescent="0.25">
      <c r="A784" s="1" t="s">
        <v>1689</v>
      </c>
      <c r="B784" s="1" t="str">
        <f>"9780198041016"</f>
        <v>9780198041016</v>
      </c>
      <c r="C784" s="1" t="s">
        <v>1120</v>
      </c>
      <c r="D784" s="2">
        <v>38799</v>
      </c>
      <c r="E784" s="1" t="s">
        <v>1690</v>
      </c>
      <c r="F784" s="1" t="s">
        <v>13</v>
      </c>
    </row>
    <row r="785" spans="1:6" ht="30" customHeight="1" x14ac:dyDescent="0.25">
      <c r="A785" s="1" t="s">
        <v>1691</v>
      </c>
      <c r="B785" s="1" t="str">
        <f>"9780198024743"</f>
        <v>9780198024743</v>
      </c>
      <c r="C785" s="1" t="s">
        <v>1123</v>
      </c>
      <c r="D785" s="2">
        <v>35775</v>
      </c>
      <c r="E785" s="1" t="s">
        <v>1692</v>
      </c>
      <c r="F785" s="1" t="s">
        <v>1693</v>
      </c>
    </row>
    <row r="786" spans="1:6" ht="30" customHeight="1" x14ac:dyDescent="0.25">
      <c r="A786" s="1" t="s">
        <v>1694</v>
      </c>
      <c r="B786" s="1" t="str">
        <f>"9781602561199"</f>
        <v>9781602561199</v>
      </c>
      <c r="C786" s="1" t="s">
        <v>1117</v>
      </c>
      <c r="D786" s="2">
        <v>38353</v>
      </c>
      <c r="E786" s="1" t="s">
        <v>1695</v>
      </c>
      <c r="F786" s="1" t="s">
        <v>268</v>
      </c>
    </row>
    <row r="787" spans="1:6" ht="30" customHeight="1" x14ac:dyDescent="0.25">
      <c r="A787" s="1" t="s">
        <v>1696</v>
      </c>
      <c r="B787" s="1" t="str">
        <f>"9780198028697"</f>
        <v>9780198028697</v>
      </c>
      <c r="C787" s="1" t="s">
        <v>1117</v>
      </c>
      <c r="D787" s="2">
        <v>36161</v>
      </c>
      <c r="E787" s="1" t="s">
        <v>1697</v>
      </c>
      <c r="F787" s="1" t="s">
        <v>13</v>
      </c>
    </row>
    <row r="788" spans="1:6" ht="30" customHeight="1" x14ac:dyDescent="0.25">
      <c r="A788" s="1" t="s">
        <v>1698</v>
      </c>
      <c r="B788" s="1" t="str">
        <f>"9780198024668"</f>
        <v>9780198024668</v>
      </c>
      <c r="C788" s="1" t="s">
        <v>1117</v>
      </c>
      <c r="D788" s="2">
        <v>36161</v>
      </c>
      <c r="E788" s="1" t="s">
        <v>1699</v>
      </c>
      <c r="F788" s="1" t="s">
        <v>13</v>
      </c>
    </row>
    <row r="789" spans="1:6" ht="30" customHeight="1" x14ac:dyDescent="0.25">
      <c r="A789" s="1" t="s">
        <v>1700</v>
      </c>
      <c r="B789" s="1" t="str">
        <f>"9780198039297"</f>
        <v>9780198039297</v>
      </c>
      <c r="C789" s="1" t="s">
        <v>1120</v>
      </c>
      <c r="D789" s="2">
        <v>38278</v>
      </c>
      <c r="E789" s="1" t="s">
        <v>1701</v>
      </c>
      <c r="F789" s="1" t="s">
        <v>21</v>
      </c>
    </row>
    <row r="790" spans="1:6" ht="30" customHeight="1" x14ac:dyDescent="0.25">
      <c r="A790" s="1" t="s">
        <v>1702</v>
      </c>
      <c r="B790" s="1" t="str">
        <f>"9781602566774"</f>
        <v>9781602566774</v>
      </c>
      <c r="C790" s="1" t="s">
        <v>1117</v>
      </c>
      <c r="D790" s="2">
        <v>38353</v>
      </c>
      <c r="E790" s="1" t="s">
        <v>1703</v>
      </c>
      <c r="F790" s="1" t="s">
        <v>13</v>
      </c>
    </row>
    <row r="791" spans="1:6" ht="30" customHeight="1" x14ac:dyDescent="0.25">
      <c r="A791" s="1" t="s">
        <v>1704</v>
      </c>
      <c r="B791" s="1" t="str">
        <f>"9780198041764"</f>
        <v>9780198041764</v>
      </c>
      <c r="C791" s="1" t="s">
        <v>1123</v>
      </c>
      <c r="D791" s="2">
        <v>38862</v>
      </c>
      <c r="E791" s="1" t="s">
        <v>1705</v>
      </c>
      <c r="F791" s="1" t="s">
        <v>13</v>
      </c>
    </row>
    <row r="792" spans="1:6" ht="30" customHeight="1" x14ac:dyDescent="0.25">
      <c r="A792" s="1" t="s">
        <v>1706</v>
      </c>
      <c r="B792" s="1" t="str">
        <f>"9780198041771"</f>
        <v>9780198041771</v>
      </c>
      <c r="C792" s="1" t="s">
        <v>1123</v>
      </c>
      <c r="D792" s="2">
        <v>38862</v>
      </c>
      <c r="E792" s="1" t="s">
        <v>1707</v>
      </c>
      <c r="F792" s="1" t="s">
        <v>13</v>
      </c>
    </row>
    <row r="793" spans="1:6" ht="30" customHeight="1" x14ac:dyDescent="0.25">
      <c r="A793" s="1" t="s">
        <v>1708</v>
      </c>
      <c r="B793" s="1" t="str">
        <f>"9780198024316"</f>
        <v>9780198024316</v>
      </c>
      <c r="C793" s="1" t="s">
        <v>1123</v>
      </c>
      <c r="D793" s="2">
        <v>36349</v>
      </c>
      <c r="E793" s="1" t="s">
        <v>1709</v>
      </c>
      <c r="F793" s="1" t="s">
        <v>13</v>
      </c>
    </row>
    <row r="794" spans="1:6" ht="30" customHeight="1" x14ac:dyDescent="0.25">
      <c r="A794" s="1" t="s">
        <v>1710</v>
      </c>
      <c r="B794" s="1" t="str">
        <f>"9780195360523"</f>
        <v>9780195360523</v>
      </c>
      <c r="C794" s="1" t="s">
        <v>1123</v>
      </c>
      <c r="D794" s="2">
        <v>34907</v>
      </c>
      <c r="E794" s="1" t="s">
        <v>1711</v>
      </c>
      <c r="F794" s="1" t="s">
        <v>1712</v>
      </c>
    </row>
    <row r="795" spans="1:6" ht="30" customHeight="1" x14ac:dyDescent="0.25">
      <c r="A795" s="1" t="s">
        <v>1713</v>
      </c>
      <c r="B795" s="1" t="str">
        <f>"9780198029168"</f>
        <v>9780198029168</v>
      </c>
      <c r="C795" s="1" t="s">
        <v>1123</v>
      </c>
      <c r="D795" s="2">
        <v>36552</v>
      </c>
      <c r="E795" s="1" t="s">
        <v>1714</v>
      </c>
      <c r="F795" s="1" t="s">
        <v>13</v>
      </c>
    </row>
    <row r="796" spans="1:6" ht="30" customHeight="1" x14ac:dyDescent="0.25">
      <c r="A796" s="1" t="s">
        <v>1715</v>
      </c>
      <c r="B796" s="1" t="str">
        <f>"9781602565067"</f>
        <v>9781602565067</v>
      </c>
      <c r="C796" s="1" t="s">
        <v>1117</v>
      </c>
      <c r="D796" s="2">
        <v>38353</v>
      </c>
      <c r="E796" s="1" t="s">
        <v>1716</v>
      </c>
      <c r="F796" s="1" t="s">
        <v>13</v>
      </c>
    </row>
    <row r="797" spans="1:6" ht="30" customHeight="1" x14ac:dyDescent="0.25">
      <c r="A797" s="1" t="s">
        <v>1717</v>
      </c>
      <c r="B797" s="1" t="str">
        <f>"9780195346701"</f>
        <v>9780195346701</v>
      </c>
      <c r="C797" s="1" t="s">
        <v>1120</v>
      </c>
      <c r="D797" s="2">
        <v>38652</v>
      </c>
      <c r="E797" s="1" t="s">
        <v>1718</v>
      </c>
      <c r="F797" s="1" t="s">
        <v>1719</v>
      </c>
    </row>
    <row r="798" spans="1:6" ht="30" customHeight="1" x14ac:dyDescent="0.25">
      <c r="A798" s="1" t="s">
        <v>1720</v>
      </c>
      <c r="B798" s="1" t="str">
        <f>"9780195352184"</f>
        <v>9780195352184</v>
      </c>
      <c r="C798" s="1" t="s">
        <v>1123</v>
      </c>
      <c r="D798" s="2">
        <v>36944</v>
      </c>
      <c r="E798" s="1" t="s">
        <v>1721</v>
      </c>
      <c r="F798" s="1" t="s">
        <v>13</v>
      </c>
    </row>
    <row r="799" spans="1:6" ht="30" customHeight="1" x14ac:dyDescent="0.25">
      <c r="A799" s="1" t="s">
        <v>1722</v>
      </c>
      <c r="B799" s="1" t="str">
        <f>"9780195351934"</f>
        <v>9780195351934</v>
      </c>
      <c r="C799" s="1" t="s">
        <v>1123</v>
      </c>
      <c r="D799" s="2">
        <v>36405</v>
      </c>
      <c r="E799" s="1" t="s">
        <v>1723</v>
      </c>
      <c r="F799" s="1" t="s">
        <v>13</v>
      </c>
    </row>
    <row r="800" spans="1:6" ht="30" customHeight="1" x14ac:dyDescent="0.25">
      <c r="A800" s="1" t="s">
        <v>1724</v>
      </c>
      <c r="B800" s="1" t="str">
        <f>"9780191513084"</f>
        <v>9780191513084</v>
      </c>
      <c r="C800" s="1" t="s">
        <v>1117</v>
      </c>
      <c r="D800" s="2">
        <v>38624</v>
      </c>
      <c r="E800" s="1" t="s">
        <v>1725</v>
      </c>
      <c r="F800" s="1" t="s">
        <v>95</v>
      </c>
    </row>
    <row r="801" spans="1:6" ht="30" customHeight="1" x14ac:dyDescent="0.25">
      <c r="A801" s="1" t="s">
        <v>1726</v>
      </c>
      <c r="B801" s="1" t="str">
        <f>"9781601296870"</f>
        <v>9781601296870</v>
      </c>
      <c r="C801" s="1" t="s">
        <v>1117</v>
      </c>
      <c r="D801" s="2">
        <v>34335</v>
      </c>
      <c r="E801" s="1" t="s">
        <v>1727</v>
      </c>
      <c r="F801" s="1" t="s">
        <v>148</v>
      </c>
    </row>
    <row r="802" spans="1:6" ht="30" customHeight="1" x14ac:dyDescent="0.25">
      <c r="A802" s="1" t="s">
        <v>1728</v>
      </c>
      <c r="B802" s="1" t="str">
        <f>"9780198023449"</f>
        <v>9780198023449</v>
      </c>
      <c r="C802" s="1" t="s">
        <v>1120</v>
      </c>
      <c r="D802" s="2">
        <v>34928</v>
      </c>
      <c r="E802" s="1" t="s">
        <v>1729</v>
      </c>
      <c r="F802" s="1" t="s">
        <v>104</v>
      </c>
    </row>
    <row r="803" spans="1:6" ht="30" customHeight="1" x14ac:dyDescent="0.25">
      <c r="A803" s="1" t="s">
        <v>1730</v>
      </c>
      <c r="B803" s="1" t="str">
        <f>"9780195352511"</f>
        <v>9780195352511</v>
      </c>
      <c r="C803" s="1" t="s">
        <v>1123</v>
      </c>
      <c r="D803" s="2">
        <v>36895</v>
      </c>
      <c r="E803" s="1" t="s">
        <v>1731</v>
      </c>
      <c r="F803" s="1" t="s">
        <v>13</v>
      </c>
    </row>
    <row r="804" spans="1:6" ht="30" customHeight="1" x14ac:dyDescent="0.25">
      <c r="A804" s="1" t="s">
        <v>1732</v>
      </c>
      <c r="B804" s="1" t="str">
        <f>"9780198029939"</f>
        <v>9780198029939</v>
      </c>
      <c r="C804" s="1" t="s">
        <v>1123</v>
      </c>
      <c r="D804" s="2">
        <v>36377</v>
      </c>
      <c r="E804" s="1" t="s">
        <v>1733</v>
      </c>
      <c r="F804" s="1" t="s">
        <v>13</v>
      </c>
    </row>
    <row r="805" spans="1:6" ht="30" customHeight="1" x14ac:dyDescent="0.25">
      <c r="A805" s="1" t="s">
        <v>1734</v>
      </c>
      <c r="B805" s="1" t="str">
        <f>"9780198029724"</f>
        <v>9780198029724</v>
      </c>
      <c r="C805" s="1" t="s">
        <v>1117</v>
      </c>
      <c r="D805" s="2">
        <v>36892</v>
      </c>
      <c r="E805" s="1" t="s">
        <v>1735</v>
      </c>
      <c r="F805" s="1" t="s">
        <v>1372</v>
      </c>
    </row>
    <row r="806" spans="1:6" ht="30" customHeight="1" x14ac:dyDescent="0.25">
      <c r="A806" s="1" t="s">
        <v>1736</v>
      </c>
      <c r="B806" s="1" t="str">
        <f>"9780198022800"</f>
        <v>9780198022800</v>
      </c>
      <c r="C806" s="1" t="s">
        <v>1120</v>
      </c>
      <c r="D806" s="2">
        <v>34200</v>
      </c>
      <c r="E806" s="1" t="s">
        <v>1737</v>
      </c>
      <c r="F806" s="1" t="s">
        <v>13</v>
      </c>
    </row>
    <row r="807" spans="1:6" ht="30" customHeight="1" x14ac:dyDescent="0.25">
      <c r="A807" s="1" t="s">
        <v>1738</v>
      </c>
      <c r="B807" s="1" t="str">
        <f>"9780198025122"</f>
        <v>9780198025122</v>
      </c>
      <c r="C807" s="1" t="s">
        <v>1123</v>
      </c>
      <c r="D807" s="2">
        <v>35124</v>
      </c>
      <c r="E807" s="1" t="s">
        <v>1739</v>
      </c>
      <c r="F807" s="1" t="s">
        <v>13</v>
      </c>
    </row>
    <row r="808" spans="1:6" ht="30" customHeight="1" x14ac:dyDescent="0.25">
      <c r="A808" s="1" t="s">
        <v>1740</v>
      </c>
      <c r="B808" s="1" t="str">
        <f>"9781602560826"</f>
        <v>9781602560826</v>
      </c>
      <c r="C808" s="1" t="s">
        <v>1123</v>
      </c>
      <c r="D808" s="2">
        <v>35579</v>
      </c>
      <c r="E808" s="1" t="s">
        <v>1741</v>
      </c>
      <c r="F808" s="1" t="s">
        <v>13</v>
      </c>
    </row>
    <row r="809" spans="1:6" ht="30" customHeight="1" x14ac:dyDescent="0.25">
      <c r="A809" s="1" t="s">
        <v>1742</v>
      </c>
      <c r="B809" s="1" t="str">
        <f>"9780198028475"</f>
        <v>9780198028475</v>
      </c>
      <c r="C809" s="1" t="s">
        <v>1123</v>
      </c>
      <c r="D809" s="2">
        <v>36356</v>
      </c>
      <c r="E809" s="1" t="s">
        <v>1743</v>
      </c>
      <c r="F809" s="1" t="s">
        <v>13</v>
      </c>
    </row>
    <row r="810" spans="1:6" ht="30" customHeight="1" x14ac:dyDescent="0.25">
      <c r="A810" s="1" t="s">
        <v>1744</v>
      </c>
      <c r="B810" s="1" t="str">
        <f>"9780198038160"</f>
        <v>9780198038160</v>
      </c>
      <c r="C810" s="1" t="s">
        <v>1123</v>
      </c>
      <c r="D810" s="2">
        <v>38967</v>
      </c>
      <c r="E810" s="1" t="s">
        <v>1745</v>
      </c>
      <c r="F810" s="1" t="s">
        <v>13</v>
      </c>
    </row>
    <row r="811" spans="1:6" ht="30" customHeight="1" x14ac:dyDescent="0.25">
      <c r="A811" s="1" t="s">
        <v>1746</v>
      </c>
      <c r="B811" s="1" t="str">
        <f>"9780198038436"</f>
        <v>9780198038436</v>
      </c>
      <c r="C811" s="1" t="s">
        <v>1120</v>
      </c>
      <c r="D811" s="2">
        <v>38666</v>
      </c>
      <c r="E811" s="1" t="s">
        <v>1747</v>
      </c>
      <c r="F811" s="1" t="s">
        <v>33</v>
      </c>
    </row>
    <row r="812" spans="1:6" ht="30" customHeight="1" x14ac:dyDescent="0.25">
      <c r="A812" s="1" t="s">
        <v>1748</v>
      </c>
      <c r="B812" s="1" t="str">
        <f>"9780191517112"</f>
        <v>9780191517112</v>
      </c>
      <c r="C812" s="1" t="s">
        <v>1117</v>
      </c>
      <c r="D812" s="2">
        <v>37987</v>
      </c>
      <c r="E812" s="1" t="s">
        <v>1749</v>
      </c>
      <c r="F812" s="1" t="s">
        <v>1750</v>
      </c>
    </row>
    <row r="813" spans="1:6" ht="30" customHeight="1" x14ac:dyDescent="0.25">
      <c r="A813" s="1" t="s">
        <v>1751</v>
      </c>
      <c r="B813" s="1" t="str">
        <f>"9781602560482"</f>
        <v>9781602560482</v>
      </c>
      <c r="C813" s="1" t="s">
        <v>1117</v>
      </c>
      <c r="D813" s="2">
        <v>35431</v>
      </c>
      <c r="E813" s="1" t="s">
        <v>1752</v>
      </c>
      <c r="F813" s="1" t="s">
        <v>1753</v>
      </c>
    </row>
    <row r="814" spans="1:6" ht="30" customHeight="1" x14ac:dyDescent="0.25">
      <c r="A814" s="1" t="s">
        <v>1754</v>
      </c>
      <c r="B814" s="1" t="str">
        <f>"9780198023579"</f>
        <v>9780198023579</v>
      </c>
      <c r="C814" s="1" t="s">
        <v>1123</v>
      </c>
      <c r="D814" s="2">
        <v>33619</v>
      </c>
      <c r="E814" s="1" t="s">
        <v>1755</v>
      </c>
      <c r="F814" s="1" t="s">
        <v>117</v>
      </c>
    </row>
    <row r="815" spans="1:6" ht="30" customHeight="1" x14ac:dyDescent="0.25">
      <c r="A815" s="1" t="s">
        <v>1756</v>
      </c>
      <c r="B815" s="1" t="str">
        <f>"9780253111555"</f>
        <v>9780253111555</v>
      </c>
      <c r="C815" s="1" t="s">
        <v>19</v>
      </c>
      <c r="D815" s="2">
        <v>38706</v>
      </c>
      <c r="E815" s="1" t="s">
        <v>1757</v>
      </c>
      <c r="F815" s="1" t="s">
        <v>30</v>
      </c>
    </row>
    <row r="816" spans="1:6" ht="30" customHeight="1" x14ac:dyDescent="0.25">
      <c r="A816" s="1" t="s">
        <v>1758</v>
      </c>
      <c r="B816" s="1" t="str">
        <f>"9780080463834"</f>
        <v>9780080463834</v>
      </c>
      <c r="C816" s="1" t="s">
        <v>900</v>
      </c>
      <c r="D816" s="2">
        <v>40661</v>
      </c>
      <c r="E816" s="1" t="s">
        <v>1759</v>
      </c>
      <c r="F816" s="1" t="s">
        <v>359</v>
      </c>
    </row>
    <row r="817" spans="1:6" ht="30" customHeight="1" x14ac:dyDescent="0.25">
      <c r="A817" s="1" t="s">
        <v>1760</v>
      </c>
      <c r="B817" s="1" t="str">
        <f>"9780080463841"</f>
        <v>9780080463841</v>
      </c>
      <c r="C817" s="1" t="s">
        <v>900</v>
      </c>
      <c r="D817" s="2">
        <v>38957</v>
      </c>
      <c r="E817" s="1" t="s">
        <v>1761</v>
      </c>
      <c r="F817" s="1" t="s">
        <v>1762</v>
      </c>
    </row>
    <row r="818" spans="1:6" ht="30" customHeight="1" x14ac:dyDescent="0.25">
      <c r="A818" s="1" t="s">
        <v>1763</v>
      </c>
      <c r="B818" s="1" t="str">
        <f>"9781859865088"</f>
        <v>9781859865088</v>
      </c>
      <c r="C818" s="1" t="s">
        <v>1764</v>
      </c>
      <c r="D818" s="2">
        <v>38958</v>
      </c>
      <c r="E818" s="1" t="s">
        <v>1764</v>
      </c>
      <c r="F818" s="1" t="s">
        <v>13</v>
      </c>
    </row>
    <row r="819" spans="1:6" ht="30" customHeight="1" x14ac:dyDescent="0.25">
      <c r="A819" s="1" t="s">
        <v>1765</v>
      </c>
      <c r="B819" s="1" t="str">
        <f>"9780080464749"</f>
        <v>9780080464749</v>
      </c>
      <c r="C819" s="1" t="s">
        <v>900</v>
      </c>
      <c r="D819" s="2">
        <v>40385</v>
      </c>
      <c r="E819" s="1" t="s">
        <v>1766</v>
      </c>
      <c r="F819" s="1" t="s">
        <v>13</v>
      </c>
    </row>
    <row r="820" spans="1:6" ht="30" customHeight="1" x14ac:dyDescent="0.25">
      <c r="A820" s="1" t="s">
        <v>1767</v>
      </c>
      <c r="B820" s="1" t="str">
        <f>"9781607501923"</f>
        <v>9781607501923</v>
      </c>
      <c r="C820" s="1" t="s">
        <v>1390</v>
      </c>
      <c r="D820" s="2">
        <v>38952</v>
      </c>
      <c r="E820" s="1" t="s">
        <v>1768</v>
      </c>
      <c r="F820" s="1" t="s">
        <v>1642</v>
      </c>
    </row>
    <row r="821" spans="1:6" ht="30" customHeight="1" x14ac:dyDescent="0.25">
      <c r="A821" s="1" t="s">
        <v>1769</v>
      </c>
      <c r="B821" s="1" t="str">
        <f>"9781607502036"</f>
        <v>9781607502036</v>
      </c>
      <c r="C821" s="1" t="s">
        <v>1390</v>
      </c>
      <c r="D821" s="2">
        <v>38980</v>
      </c>
      <c r="E821" s="1" t="s">
        <v>1770</v>
      </c>
      <c r="F821" s="1" t="s">
        <v>1771</v>
      </c>
    </row>
    <row r="822" spans="1:6" ht="30" customHeight="1" x14ac:dyDescent="0.25">
      <c r="A822" s="1" t="s">
        <v>1772</v>
      </c>
      <c r="B822" s="1" t="str">
        <f>"9780520939998"</f>
        <v>9780520939998</v>
      </c>
      <c r="C822" s="1" t="s">
        <v>818</v>
      </c>
      <c r="D822" s="2">
        <v>39087</v>
      </c>
      <c r="E822" s="1" t="s">
        <v>1773</v>
      </c>
      <c r="F822" s="1" t="s">
        <v>70</v>
      </c>
    </row>
    <row r="823" spans="1:6" ht="30" customHeight="1" x14ac:dyDescent="0.25">
      <c r="A823" s="1" t="s">
        <v>1774</v>
      </c>
      <c r="B823" s="1" t="str">
        <f>"9781846631139"</f>
        <v>9781846631139</v>
      </c>
      <c r="C823" s="1" t="s">
        <v>971</v>
      </c>
      <c r="D823" s="2">
        <v>38940</v>
      </c>
      <c r="E823" s="1" t="s">
        <v>1775</v>
      </c>
      <c r="F823" s="1" t="s">
        <v>13</v>
      </c>
    </row>
    <row r="824" spans="1:6" ht="30" customHeight="1" x14ac:dyDescent="0.25">
      <c r="A824" s="1" t="s">
        <v>1776</v>
      </c>
      <c r="B824" s="1" t="str">
        <f>"9781846631658"</f>
        <v>9781846631658</v>
      </c>
      <c r="C824" s="1" t="s">
        <v>971</v>
      </c>
      <c r="D824" s="2">
        <v>38989</v>
      </c>
      <c r="E824" s="1" t="s">
        <v>1777</v>
      </c>
      <c r="F824" s="1" t="s">
        <v>95</v>
      </c>
    </row>
    <row r="825" spans="1:6" ht="30" customHeight="1" x14ac:dyDescent="0.25">
      <c r="A825" s="1" t="s">
        <v>1778</v>
      </c>
      <c r="B825" s="1" t="str">
        <f>"9781859591703"</f>
        <v>9781859591703</v>
      </c>
      <c r="C825" s="1" t="s">
        <v>1024</v>
      </c>
      <c r="D825" s="2">
        <v>39089</v>
      </c>
      <c r="E825" s="1" t="s">
        <v>1779</v>
      </c>
      <c r="F825" s="1" t="s">
        <v>13</v>
      </c>
    </row>
    <row r="826" spans="1:6" ht="30" customHeight="1" x14ac:dyDescent="0.25">
      <c r="A826" s="1" t="s">
        <v>1780</v>
      </c>
      <c r="B826" s="1" t="str">
        <f>"9781859591697"</f>
        <v>9781859591697</v>
      </c>
      <c r="C826" s="1" t="s">
        <v>1024</v>
      </c>
      <c r="D826" s="2">
        <v>39022</v>
      </c>
      <c r="E826" s="1" t="s">
        <v>1781</v>
      </c>
      <c r="F826" s="1" t="s">
        <v>13</v>
      </c>
    </row>
    <row r="827" spans="1:6" ht="30" customHeight="1" x14ac:dyDescent="0.25">
      <c r="A827" s="1" t="s">
        <v>1782</v>
      </c>
      <c r="B827" s="1" t="str">
        <f>"9780313002526"</f>
        <v>9780313002526</v>
      </c>
      <c r="C827" s="1" t="s">
        <v>1527</v>
      </c>
      <c r="D827" s="2">
        <v>36526</v>
      </c>
      <c r="E827" s="1" t="s">
        <v>1783</v>
      </c>
      <c r="F827" s="1" t="s">
        <v>1338</v>
      </c>
    </row>
    <row r="828" spans="1:6" ht="30" customHeight="1" x14ac:dyDescent="0.25">
      <c r="A828" s="1" t="s">
        <v>1784</v>
      </c>
      <c r="B828" s="1" t="str">
        <f>"9781602566842"</f>
        <v>9781602566842</v>
      </c>
      <c r="C828" s="1" t="s">
        <v>1123</v>
      </c>
      <c r="D828" s="2">
        <v>37651</v>
      </c>
      <c r="E828" s="1" t="s">
        <v>1785</v>
      </c>
      <c r="F828" s="1" t="s">
        <v>114</v>
      </c>
    </row>
    <row r="829" spans="1:6" ht="30" customHeight="1" x14ac:dyDescent="0.25">
      <c r="A829" s="1" t="s">
        <v>1786</v>
      </c>
      <c r="B829" s="1" t="str">
        <f>"9781602566873"</f>
        <v>9781602566873</v>
      </c>
      <c r="C829" s="1" t="s">
        <v>1117</v>
      </c>
      <c r="D829" s="2">
        <v>37622</v>
      </c>
      <c r="E829" s="1" t="s">
        <v>1787</v>
      </c>
      <c r="F829" s="1" t="s">
        <v>1568</v>
      </c>
    </row>
    <row r="830" spans="1:6" ht="30" customHeight="1" x14ac:dyDescent="0.25">
      <c r="A830" s="1" t="s">
        <v>1788</v>
      </c>
      <c r="B830" s="1" t="str">
        <f>"9780198030232"</f>
        <v>9780198030232</v>
      </c>
      <c r="C830" s="1" t="s">
        <v>1120</v>
      </c>
      <c r="D830" s="2">
        <v>37756</v>
      </c>
      <c r="E830" s="1" t="s">
        <v>1789</v>
      </c>
      <c r="F830" s="1" t="s">
        <v>104</v>
      </c>
    </row>
    <row r="831" spans="1:6" ht="30" customHeight="1" x14ac:dyDescent="0.25">
      <c r="A831" s="1" t="s">
        <v>1790</v>
      </c>
      <c r="B831" s="1" t="str">
        <f>"9780198027294"</f>
        <v>9780198027294</v>
      </c>
      <c r="C831" s="1" t="s">
        <v>1120</v>
      </c>
      <c r="D831" s="2">
        <v>37574</v>
      </c>
      <c r="E831" s="1" t="s">
        <v>1137</v>
      </c>
      <c r="F831" s="1" t="s">
        <v>13</v>
      </c>
    </row>
    <row r="832" spans="1:6" ht="30" customHeight="1" x14ac:dyDescent="0.25">
      <c r="A832" s="1" t="s">
        <v>1791</v>
      </c>
      <c r="B832" s="1" t="str">
        <f>"9780198036098"</f>
        <v>9780198036098</v>
      </c>
      <c r="C832" s="1" t="s">
        <v>1120</v>
      </c>
      <c r="D832" s="2">
        <v>38001</v>
      </c>
      <c r="E832" s="1" t="s">
        <v>1792</v>
      </c>
      <c r="F832" s="1" t="s">
        <v>13</v>
      </c>
    </row>
    <row r="833" spans="1:6" ht="30" customHeight="1" x14ac:dyDescent="0.25">
      <c r="A833" s="1" t="s">
        <v>1793</v>
      </c>
      <c r="B833" s="1" t="str">
        <f>"9780199729029"</f>
        <v>9780199729029</v>
      </c>
      <c r="C833" s="1" t="s">
        <v>1117</v>
      </c>
      <c r="D833" s="2">
        <v>36526</v>
      </c>
      <c r="E833" s="1" t="s">
        <v>1794</v>
      </c>
      <c r="F833" s="1" t="s">
        <v>1795</v>
      </c>
    </row>
    <row r="834" spans="1:6" ht="30" customHeight="1" x14ac:dyDescent="0.25">
      <c r="A834" s="1" t="s">
        <v>1796</v>
      </c>
      <c r="B834" s="1" t="str">
        <f>"9781602567573"</f>
        <v>9781602567573</v>
      </c>
      <c r="C834" s="1" t="s">
        <v>1117</v>
      </c>
      <c r="D834" s="2">
        <v>37622</v>
      </c>
      <c r="E834" s="1" t="s">
        <v>1797</v>
      </c>
      <c r="F834" s="1" t="s">
        <v>137</v>
      </c>
    </row>
    <row r="835" spans="1:6" ht="30" customHeight="1" x14ac:dyDescent="0.25">
      <c r="A835" s="1" t="s">
        <v>1798</v>
      </c>
      <c r="B835" s="1" t="str">
        <f>"9780198033837"</f>
        <v>9780198033837</v>
      </c>
      <c r="C835" s="1" t="s">
        <v>1117</v>
      </c>
      <c r="D835" s="2">
        <v>37257</v>
      </c>
      <c r="E835" s="1" t="s">
        <v>1799</v>
      </c>
      <c r="F835" s="1" t="s">
        <v>205</v>
      </c>
    </row>
    <row r="836" spans="1:6" ht="30" customHeight="1" x14ac:dyDescent="0.25">
      <c r="A836" s="1" t="s">
        <v>1800</v>
      </c>
      <c r="B836" s="1" t="str">
        <f>"9781602568013"</f>
        <v>9781602568013</v>
      </c>
      <c r="C836" s="1" t="s">
        <v>1117</v>
      </c>
      <c r="D836" s="2">
        <v>37257</v>
      </c>
      <c r="E836" s="1" t="s">
        <v>1801</v>
      </c>
      <c r="F836" s="1" t="s">
        <v>33</v>
      </c>
    </row>
    <row r="837" spans="1:6" ht="30" customHeight="1" x14ac:dyDescent="0.25">
      <c r="A837" s="1" t="s">
        <v>1802</v>
      </c>
      <c r="B837" s="1" t="str">
        <f>"9780195349788"</f>
        <v>9780195349788</v>
      </c>
      <c r="C837" s="1" t="s">
        <v>1123</v>
      </c>
      <c r="D837" s="2">
        <v>37525</v>
      </c>
      <c r="E837" s="1" t="s">
        <v>1803</v>
      </c>
      <c r="F837" s="1" t="s">
        <v>13</v>
      </c>
    </row>
    <row r="838" spans="1:6" ht="30" customHeight="1" x14ac:dyDescent="0.25">
      <c r="A838" s="1" t="s">
        <v>1804</v>
      </c>
      <c r="B838" s="1" t="str">
        <f>"9780199726592"</f>
        <v>9780199726592</v>
      </c>
      <c r="C838" s="1" t="s">
        <v>1117</v>
      </c>
      <c r="D838" s="2">
        <v>35831</v>
      </c>
      <c r="E838" s="1" t="s">
        <v>1805</v>
      </c>
      <c r="F838" s="1" t="s">
        <v>114</v>
      </c>
    </row>
    <row r="839" spans="1:6" ht="30" customHeight="1" x14ac:dyDescent="0.25">
      <c r="A839" s="1" t="s">
        <v>1806</v>
      </c>
      <c r="B839" s="1" t="str">
        <f>"9781602568365"</f>
        <v>9781602568365</v>
      </c>
      <c r="C839" s="1" t="s">
        <v>1117</v>
      </c>
      <c r="D839" s="2">
        <v>37257</v>
      </c>
      <c r="E839" s="1" t="s">
        <v>1807</v>
      </c>
      <c r="F839" s="1" t="s">
        <v>13</v>
      </c>
    </row>
    <row r="840" spans="1:6" ht="30" customHeight="1" x14ac:dyDescent="0.25">
      <c r="A840" s="1" t="s">
        <v>1808</v>
      </c>
      <c r="B840" s="1" t="str">
        <f>"9781602568419"</f>
        <v>9781602568419</v>
      </c>
      <c r="C840" s="1" t="s">
        <v>1117</v>
      </c>
      <c r="D840" s="2">
        <v>37987</v>
      </c>
      <c r="E840" s="1" t="s">
        <v>1809</v>
      </c>
      <c r="F840" s="1" t="s">
        <v>13</v>
      </c>
    </row>
    <row r="841" spans="1:6" ht="30" customHeight="1" x14ac:dyDescent="0.25">
      <c r="A841" s="1" t="s">
        <v>1810</v>
      </c>
      <c r="B841" s="1" t="str">
        <f>"9781602568440"</f>
        <v>9781602568440</v>
      </c>
      <c r="C841" s="1" t="s">
        <v>1117</v>
      </c>
      <c r="D841" s="2">
        <v>37622</v>
      </c>
      <c r="E841" s="1" t="s">
        <v>1811</v>
      </c>
      <c r="F841" s="1" t="s">
        <v>21</v>
      </c>
    </row>
    <row r="842" spans="1:6" ht="30" customHeight="1" x14ac:dyDescent="0.25">
      <c r="A842" s="1" t="s">
        <v>1812</v>
      </c>
      <c r="B842" s="1" t="str">
        <f>"9780199727285"</f>
        <v>9780199727285</v>
      </c>
      <c r="C842" s="1" t="s">
        <v>1117</v>
      </c>
      <c r="D842" s="2">
        <v>37987</v>
      </c>
      <c r="E842" s="1" t="s">
        <v>1813</v>
      </c>
      <c r="F842" s="1" t="s">
        <v>13</v>
      </c>
    </row>
    <row r="843" spans="1:6" ht="30" customHeight="1" x14ac:dyDescent="0.25">
      <c r="A843" s="1" t="s">
        <v>1814</v>
      </c>
      <c r="B843" s="1" t="str">
        <f>"9780198028086"</f>
        <v>9780198028086</v>
      </c>
      <c r="C843" s="1" t="s">
        <v>1117</v>
      </c>
      <c r="D843" s="2">
        <v>36041</v>
      </c>
      <c r="E843" s="1" t="s">
        <v>1815</v>
      </c>
      <c r="F843" s="1" t="s">
        <v>30</v>
      </c>
    </row>
    <row r="844" spans="1:6" ht="30" customHeight="1" x14ac:dyDescent="0.25">
      <c r="A844" s="1" t="s">
        <v>1816</v>
      </c>
      <c r="B844" s="1" t="str">
        <f>"9781602569072"</f>
        <v>9781602569072</v>
      </c>
      <c r="C844" s="1" t="s">
        <v>1117</v>
      </c>
      <c r="D844" s="2">
        <v>38353</v>
      </c>
      <c r="E844" s="1" t="s">
        <v>1817</v>
      </c>
      <c r="F844" s="1" t="s">
        <v>13</v>
      </c>
    </row>
    <row r="845" spans="1:6" ht="30" customHeight="1" x14ac:dyDescent="0.25">
      <c r="A845" s="1" t="s">
        <v>1818</v>
      </c>
      <c r="B845" s="1" t="str">
        <f>"9781602569553"</f>
        <v>9781602569553</v>
      </c>
      <c r="C845" s="1" t="s">
        <v>1123</v>
      </c>
      <c r="D845" s="2">
        <v>38353</v>
      </c>
      <c r="E845" s="1" t="s">
        <v>1819</v>
      </c>
      <c r="F845" s="1" t="s">
        <v>13</v>
      </c>
    </row>
    <row r="846" spans="1:6" ht="30" customHeight="1" x14ac:dyDescent="0.25">
      <c r="A846" s="1" t="s">
        <v>1820</v>
      </c>
      <c r="B846" s="1" t="str">
        <f>"9781602569669"</f>
        <v>9781602569669</v>
      </c>
      <c r="C846" s="1" t="s">
        <v>1117</v>
      </c>
      <c r="D846" s="2">
        <v>36892</v>
      </c>
      <c r="E846" s="1" t="s">
        <v>1821</v>
      </c>
      <c r="F846" s="1" t="s">
        <v>95</v>
      </c>
    </row>
    <row r="847" spans="1:6" ht="30" customHeight="1" x14ac:dyDescent="0.25">
      <c r="A847" s="1" t="s">
        <v>803</v>
      </c>
      <c r="B847" s="1" t="str">
        <f>"9781602569836"</f>
        <v>9781602569836</v>
      </c>
      <c r="C847" s="1" t="s">
        <v>1117</v>
      </c>
      <c r="D847" s="2">
        <v>37257</v>
      </c>
      <c r="E847" s="1" t="s">
        <v>1822</v>
      </c>
      <c r="F847" s="1" t="s">
        <v>176</v>
      </c>
    </row>
    <row r="848" spans="1:6" ht="30" customHeight="1" x14ac:dyDescent="0.25">
      <c r="A848" s="1" t="s">
        <v>1823</v>
      </c>
      <c r="B848" s="1" t="str">
        <f>"9781433700118"</f>
        <v>9781433700118</v>
      </c>
      <c r="C848" s="1" t="s">
        <v>1123</v>
      </c>
      <c r="D848" s="2">
        <v>38353</v>
      </c>
      <c r="E848" s="1" t="s">
        <v>1824</v>
      </c>
      <c r="F848" s="1" t="s">
        <v>30</v>
      </c>
    </row>
    <row r="849" spans="1:6" ht="30" customHeight="1" x14ac:dyDescent="0.25">
      <c r="A849" s="1" t="s">
        <v>1825</v>
      </c>
      <c r="B849" s="1" t="str">
        <f>"9781433700163"</f>
        <v>9781433700163</v>
      </c>
      <c r="C849" s="1" t="s">
        <v>1117</v>
      </c>
      <c r="D849" s="2">
        <v>37987</v>
      </c>
      <c r="E849" s="1" t="s">
        <v>1826</v>
      </c>
      <c r="F849" s="1" t="s">
        <v>13</v>
      </c>
    </row>
    <row r="850" spans="1:6" ht="30" customHeight="1" x14ac:dyDescent="0.25">
      <c r="A850" s="1" t="s">
        <v>1827</v>
      </c>
      <c r="B850" s="1" t="str">
        <f>"9781433700286"</f>
        <v>9781433700286</v>
      </c>
      <c r="C850" s="1" t="s">
        <v>1117</v>
      </c>
      <c r="D850" s="2">
        <v>38353</v>
      </c>
      <c r="E850" s="1" t="s">
        <v>1828</v>
      </c>
      <c r="F850" s="1" t="s">
        <v>13</v>
      </c>
    </row>
    <row r="851" spans="1:6" ht="30" customHeight="1" x14ac:dyDescent="0.25">
      <c r="A851" s="1" t="s">
        <v>1829</v>
      </c>
      <c r="B851" s="1" t="str">
        <f>"9781433700699"</f>
        <v>9781433700699</v>
      </c>
      <c r="C851" s="1" t="s">
        <v>1123</v>
      </c>
      <c r="D851" s="2">
        <v>38353</v>
      </c>
      <c r="E851" s="1" t="s">
        <v>1830</v>
      </c>
      <c r="F851" s="1" t="s">
        <v>1152</v>
      </c>
    </row>
    <row r="852" spans="1:6" ht="30" customHeight="1" x14ac:dyDescent="0.25">
      <c r="A852" s="1" t="s">
        <v>1831</v>
      </c>
      <c r="B852" s="1" t="str">
        <f>"9780198032144"</f>
        <v>9780198032144</v>
      </c>
      <c r="C852" s="1" t="s">
        <v>1123</v>
      </c>
      <c r="D852" s="2">
        <v>38470</v>
      </c>
      <c r="E852" s="1" t="s">
        <v>1832</v>
      </c>
      <c r="F852" s="1" t="s">
        <v>268</v>
      </c>
    </row>
    <row r="853" spans="1:6" ht="30" customHeight="1" x14ac:dyDescent="0.25">
      <c r="A853" s="1" t="s">
        <v>1833</v>
      </c>
      <c r="B853" s="1" t="str">
        <f>"9781433700804"</f>
        <v>9781433700804</v>
      </c>
      <c r="C853" s="1" t="s">
        <v>1117</v>
      </c>
      <c r="D853" s="2">
        <v>37987</v>
      </c>
      <c r="E853" s="1" t="s">
        <v>1834</v>
      </c>
      <c r="F853" s="1" t="s">
        <v>1152</v>
      </c>
    </row>
    <row r="854" spans="1:6" ht="30" customHeight="1" x14ac:dyDescent="0.25">
      <c r="A854" s="1" t="s">
        <v>1835</v>
      </c>
      <c r="B854" s="1" t="str">
        <f>"9781433701009"</f>
        <v>9781433701009</v>
      </c>
      <c r="C854" s="1" t="s">
        <v>1117</v>
      </c>
      <c r="D854" s="2">
        <v>38353</v>
      </c>
      <c r="E854" s="1" t="s">
        <v>1836</v>
      </c>
      <c r="F854" s="1" t="s">
        <v>1837</v>
      </c>
    </row>
    <row r="855" spans="1:6" ht="30" customHeight="1" x14ac:dyDescent="0.25">
      <c r="A855" s="1" t="s">
        <v>1838</v>
      </c>
      <c r="B855" s="1" t="str">
        <f>"9781433701047"</f>
        <v>9781433701047</v>
      </c>
      <c r="C855" s="1" t="s">
        <v>1117</v>
      </c>
      <c r="D855" s="2">
        <v>37987</v>
      </c>
      <c r="E855" s="1" t="s">
        <v>1631</v>
      </c>
      <c r="F855" s="1" t="s">
        <v>13</v>
      </c>
    </row>
    <row r="856" spans="1:6" ht="30" customHeight="1" x14ac:dyDescent="0.25">
      <c r="A856" s="1" t="s">
        <v>1839</v>
      </c>
      <c r="B856" s="1" t="str">
        <f>"9781588905932"</f>
        <v>9781588905932</v>
      </c>
      <c r="C856" s="1" t="s">
        <v>1671</v>
      </c>
      <c r="D856" s="2">
        <v>37001</v>
      </c>
      <c r="E856" s="1" t="s">
        <v>1840</v>
      </c>
      <c r="F856" s="1" t="s">
        <v>13</v>
      </c>
    </row>
    <row r="857" spans="1:6" ht="30" customHeight="1" x14ac:dyDescent="0.25">
      <c r="A857" s="1" t="s">
        <v>1841</v>
      </c>
      <c r="B857" s="1" t="str">
        <f>"9781588905970"</f>
        <v>9781588905970</v>
      </c>
      <c r="C857" s="1" t="s">
        <v>1671</v>
      </c>
      <c r="D857" s="2">
        <v>36617</v>
      </c>
      <c r="E857" s="1" t="s">
        <v>1842</v>
      </c>
      <c r="F857" s="1" t="s">
        <v>13</v>
      </c>
    </row>
    <row r="858" spans="1:6" ht="30" customHeight="1" x14ac:dyDescent="0.25">
      <c r="A858" s="1" t="s">
        <v>1843</v>
      </c>
      <c r="B858" s="1" t="str">
        <f>"9781588905987"</f>
        <v>9781588905987</v>
      </c>
      <c r="C858" s="1" t="s">
        <v>1671</v>
      </c>
      <c r="D858" s="2">
        <v>37880</v>
      </c>
      <c r="E858" s="1" t="s">
        <v>1844</v>
      </c>
      <c r="F858" s="1" t="s">
        <v>13</v>
      </c>
    </row>
    <row r="859" spans="1:6" ht="30" customHeight="1" x14ac:dyDescent="0.25">
      <c r="A859" s="1" t="s">
        <v>1845</v>
      </c>
      <c r="B859" s="1" t="str">
        <f>"9781588905994"</f>
        <v>9781588905994</v>
      </c>
      <c r="C859" s="1" t="s">
        <v>1671</v>
      </c>
      <c r="D859" s="2">
        <v>36845</v>
      </c>
      <c r="E859" s="1" t="s">
        <v>1846</v>
      </c>
      <c r="F859" s="1" t="s">
        <v>13</v>
      </c>
    </row>
    <row r="860" spans="1:6" ht="30" customHeight="1" x14ac:dyDescent="0.25">
      <c r="A860" s="1" t="s">
        <v>1847</v>
      </c>
      <c r="B860" s="1" t="str">
        <f>"9783110199925"</f>
        <v>9783110199925</v>
      </c>
      <c r="C860" s="1" t="s">
        <v>1848</v>
      </c>
      <c r="D860" s="2">
        <v>39682</v>
      </c>
      <c r="E860" s="1" t="s">
        <v>1849</v>
      </c>
      <c r="F860" s="1" t="s">
        <v>13</v>
      </c>
    </row>
    <row r="861" spans="1:6" ht="30" customHeight="1" x14ac:dyDescent="0.25">
      <c r="A861" s="1" t="s">
        <v>1850</v>
      </c>
      <c r="B861" s="1" t="str">
        <f>"9781433704444"</f>
        <v>9781433704444</v>
      </c>
      <c r="C861" s="1" t="s">
        <v>906</v>
      </c>
      <c r="D861" s="2">
        <v>38657</v>
      </c>
      <c r="E861" s="1" t="s">
        <v>1851</v>
      </c>
      <c r="F861" s="1" t="s">
        <v>13</v>
      </c>
    </row>
    <row r="862" spans="1:6" ht="30" customHeight="1" x14ac:dyDescent="0.25">
      <c r="A862" s="1" t="s">
        <v>1852</v>
      </c>
      <c r="B862" s="1" t="str">
        <f>"9781433703768"</f>
        <v>9781433703768</v>
      </c>
      <c r="C862" s="1" t="s">
        <v>906</v>
      </c>
      <c r="D862" s="2">
        <v>38457</v>
      </c>
      <c r="E862" s="1" t="s">
        <v>1853</v>
      </c>
      <c r="F862" s="1" t="s">
        <v>13</v>
      </c>
    </row>
    <row r="863" spans="1:6" ht="30" customHeight="1" x14ac:dyDescent="0.25">
      <c r="A863" s="1" t="s">
        <v>1854</v>
      </c>
      <c r="B863" s="1" t="str">
        <f>"9781433705274"</f>
        <v>9781433705274</v>
      </c>
      <c r="C863" s="1" t="s">
        <v>906</v>
      </c>
      <c r="D863" s="2">
        <v>38321</v>
      </c>
      <c r="E863" s="1" t="s">
        <v>1855</v>
      </c>
      <c r="F863" s="1" t="s">
        <v>13</v>
      </c>
    </row>
    <row r="864" spans="1:6" ht="30" customHeight="1" x14ac:dyDescent="0.25">
      <c r="A864" s="1" t="s">
        <v>1856</v>
      </c>
      <c r="B864" s="1" t="str">
        <f>"9781433706905"</f>
        <v>9781433706905</v>
      </c>
      <c r="C864" s="1" t="s">
        <v>906</v>
      </c>
      <c r="D864" s="2">
        <v>38321</v>
      </c>
      <c r="E864" s="1" t="s">
        <v>1857</v>
      </c>
      <c r="F864" s="1" t="s">
        <v>21</v>
      </c>
    </row>
    <row r="865" spans="1:6" ht="30" customHeight="1" x14ac:dyDescent="0.25">
      <c r="A865" s="1" t="s">
        <v>1858</v>
      </c>
      <c r="B865" s="1" t="str">
        <f>"9781607501756"</f>
        <v>9781607501756</v>
      </c>
      <c r="C865" s="1" t="s">
        <v>1390</v>
      </c>
      <c r="D865" s="2">
        <v>38894</v>
      </c>
      <c r="E865" s="1" t="s">
        <v>1859</v>
      </c>
      <c r="F865" s="1" t="s">
        <v>13</v>
      </c>
    </row>
    <row r="866" spans="1:6" ht="30" customHeight="1" x14ac:dyDescent="0.25">
      <c r="A866" s="1" t="s">
        <v>1860</v>
      </c>
      <c r="B866" s="1" t="str">
        <f>"9781607501978"</f>
        <v>9781607501978</v>
      </c>
      <c r="C866" s="1" t="s">
        <v>1390</v>
      </c>
      <c r="D866" s="2">
        <v>39021</v>
      </c>
      <c r="E866" s="1" t="s">
        <v>1861</v>
      </c>
      <c r="F866" s="1" t="s">
        <v>33</v>
      </c>
    </row>
    <row r="867" spans="1:6" ht="30" customHeight="1" x14ac:dyDescent="0.25">
      <c r="A867" s="1" t="s">
        <v>1862</v>
      </c>
      <c r="B867" s="1" t="str">
        <f>"9780195347029"</f>
        <v>9780195347029</v>
      </c>
      <c r="C867" s="1" t="s">
        <v>1123</v>
      </c>
      <c r="D867" s="2">
        <v>38671</v>
      </c>
      <c r="E867" s="1" t="s">
        <v>1863</v>
      </c>
      <c r="F867" s="1" t="s">
        <v>158</v>
      </c>
    </row>
    <row r="868" spans="1:6" ht="30" customHeight="1" x14ac:dyDescent="0.25">
      <c r="A868" s="1" t="s">
        <v>1864</v>
      </c>
      <c r="B868" s="1" t="str">
        <f>"9780198038139"</f>
        <v>9780198038139</v>
      </c>
      <c r="C868" s="1" t="s">
        <v>1120</v>
      </c>
      <c r="D868" s="2">
        <v>38421</v>
      </c>
      <c r="E868" s="1" t="s">
        <v>1865</v>
      </c>
      <c r="F868" s="1" t="s">
        <v>95</v>
      </c>
    </row>
    <row r="869" spans="1:6" ht="30" customHeight="1" x14ac:dyDescent="0.25">
      <c r="A869" s="1" t="s">
        <v>1827</v>
      </c>
      <c r="B869" s="1" t="str">
        <f>"9780199728169"</f>
        <v>9780199728169</v>
      </c>
      <c r="C869" s="1" t="s">
        <v>1117</v>
      </c>
      <c r="D869" s="2">
        <v>37622</v>
      </c>
      <c r="E869" s="1" t="s">
        <v>1866</v>
      </c>
      <c r="F869" s="1" t="s">
        <v>13</v>
      </c>
    </row>
    <row r="870" spans="1:6" ht="30" customHeight="1" x14ac:dyDescent="0.25">
      <c r="A870" s="1" t="s">
        <v>1867</v>
      </c>
      <c r="B870" s="1" t="str">
        <f>"9780198031079"</f>
        <v>9780198031079</v>
      </c>
      <c r="C870" s="1" t="s">
        <v>1123</v>
      </c>
      <c r="D870" s="2">
        <v>38001</v>
      </c>
      <c r="E870" s="1" t="s">
        <v>1868</v>
      </c>
      <c r="F870" s="1" t="s">
        <v>13</v>
      </c>
    </row>
    <row r="871" spans="1:6" ht="30" customHeight="1" x14ac:dyDescent="0.25">
      <c r="A871" s="1" t="s">
        <v>1869</v>
      </c>
      <c r="B871" s="1" t="str">
        <f>"9781552503546"</f>
        <v>9781552503546</v>
      </c>
      <c r="C871" s="1" t="s">
        <v>1340</v>
      </c>
      <c r="D871" s="2">
        <v>38353</v>
      </c>
      <c r="E871" s="1" t="s">
        <v>1870</v>
      </c>
      <c r="F871" s="1" t="s">
        <v>95</v>
      </c>
    </row>
    <row r="872" spans="1:6" ht="30" customHeight="1" x14ac:dyDescent="0.25">
      <c r="A872" s="1" t="s">
        <v>1871</v>
      </c>
      <c r="B872" s="1" t="str">
        <f>"9780198036388"</f>
        <v>9780198036388</v>
      </c>
      <c r="C872" s="1" t="s">
        <v>1120</v>
      </c>
      <c r="D872" s="2">
        <v>38999</v>
      </c>
      <c r="E872" s="1" t="s">
        <v>1872</v>
      </c>
      <c r="F872" s="1" t="s">
        <v>95</v>
      </c>
    </row>
    <row r="873" spans="1:6" ht="30" customHeight="1" x14ac:dyDescent="0.25">
      <c r="A873" s="1" t="s">
        <v>1873</v>
      </c>
      <c r="B873" s="1" t="str">
        <f>"9780198034063"</f>
        <v>9780198034063</v>
      </c>
      <c r="C873" s="1" t="s">
        <v>1120</v>
      </c>
      <c r="D873" s="2">
        <v>37728</v>
      </c>
      <c r="E873" s="1" t="s">
        <v>1874</v>
      </c>
      <c r="F873" s="1" t="s">
        <v>13</v>
      </c>
    </row>
    <row r="874" spans="1:6" ht="30" customHeight="1" x14ac:dyDescent="0.25">
      <c r="A874" s="1" t="s">
        <v>1875</v>
      </c>
      <c r="B874" s="1" t="str">
        <f>"9780195346954"</f>
        <v>9780195346954</v>
      </c>
      <c r="C874" s="1" t="s">
        <v>1123</v>
      </c>
      <c r="D874" s="2">
        <v>38626</v>
      </c>
      <c r="E874" s="1" t="s">
        <v>1876</v>
      </c>
      <c r="F874" s="1" t="s">
        <v>13</v>
      </c>
    </row>
    <row r="875" spans="1:6" ht="30" customHeight="1" x14ac:dyDescent="0.25">
      <c r="A875" s="1" t="s">
        <v>1877</v>
      </c>
      <c r="B875" s="1" t="str">
        <f>"9780198035749"</f>
        <v>9780198035749</v>
      </c>
      <c r="C875" s="1" t="s">
        <v>1120</v>
      </c>
      <c r="D875" s="2">
        <v>38589</v>
      </c>
      <c r="E875" s="1" t="s">
        <v>1878</v>
      </c>
      <c r="F875" s="1" t="s">
        <v>1879</v>
      </c>
    </row>
    <row r="876" spans="1:6" ht="30" customHeight="1" x14ac:dyDescent="0.25">
      <c r="A876" s="1" t="s">
        <v>1880</v>
      </c>
      <c r="B876" s="1" t="str">
        <f>"9780198033967"</f>
        <v>9780198033967</v>
      </c>
      <c r="C876" s="1" t="s">
        <v>1123</v>
      </c>
      <c r="D876" s="2">
        <v>38456</v>
      </c>
      <c r="E876" s="1" t="s">
        <v>1881</v>
      </c>
      <c r="F876" s="1" t="s">
        <v>13</v>
      </c>
    </row>
    <row r="877" spans="1:6" ht="30" customHeight="1" x14ac:dyDescent="0.25">
      <c r="A877" s="1" t="s">
        <v>1882</v>
      </c>
      <c r="B877" s="1" t="str">
        <f>"9780198031529"</f>
        <v>9780198031529</v>
      </c>
      <c r="C877" s="1" t="s">
        <v>1120</v>
      </c>
      <c r="D877" s="2">
        <v>37532</v>
      </c>
      <c r="E877" s="1" t="s">
        <v>1883</v>
      </c>
      <c r="F877" s="1" t="s">
        <v>13</v>
      </c>
    </row>
    <row r="878" spans="1:6" ht="30" customHeight="1" x14ac:dyDescent="0.25">
      <c r="A878" s="1" t="s">
        <v>1884</v>
      </c>
      <c r="B878" s="1" t="str">
        <f>"9780198031741"</f>
        <v>9780198031741</v>
      </c>
      <c r="C878" s="1" t="s">
        <v>1123</v>
      </c>
      <c r="D878" s="2">
        <v>36951</v>
      </c>
      <c r="E878" s="1" t="s">
        <v>1885</v>
      </c>
      <c r="F878" s="1" t="s">
        <v>13</v>
      </c>
    </row>
    <row r="879" spans="1:6" ht="30" customHeight="1" x14ac:dyDescent="0.25">
      <c r="A879" s="1" t="s">
        <v>1886</v>
      </c>
      <c r="B879" s="1" t="str">
        <f>"9780198036333"</f>
        <v>9780198036333</v>
      </c>
      <c r="C879" s="1" t="s">
        <v>1123</v>
      </c>
      <c r="D879" s="2">
        <v>38596</v>
      </c>
      <c r="E879" s="1" t="s">
        <v>1887</v>
      </c>
      <c r="F879" s="1" t="s">
        <v>30</v>
      </c>
    </row>
    <row r="880" spans="1:6" ht="30" customHeight="1" x14ac:dyDescent="0.25">
      <c r="A880" s="1" t="s">
        <v>1888</v>
      </c>
      <c r="B880" s="1" t="str">
        <f>"9780198033097"</f>
        <v>9780198033097</v>
      </c>
      <c r="C880" s="1" t="s">
        <v>1120</v>
      </c>
      <c r="D880" s="2">
        <v>37280</v>
      </c>
      <c r="E880" s="1" t="s">
        <v>1889</v>
      </c>
      <c r="F880" s="1" t="s">
        <v>359</v>
      </c>
    </row>
    <row r="881" spans="1:6" ht="30" customHeight="1" x14ac:dyDescent="0.25">
      <c r="A881" s="1" t="s">
        <v>1890</v>
      </c>
      <c r="B881" s="1" t="str">
        <f>"9780198037620"</f>
        <v>9780198037620</v>
      </c>
      <c r="C881" s="1" t="s">
        <v>1117</v>
      </c>
      <c r="D881" s="2">
        <v>38718</v>
      </c>
      <c r="E881" s="1" t="s">
        <v>1891</v>
      </c>
      <c r="F881" s="1" t="s">
        <v>158</v>
      </c>
    </row>
    <row r="882" spans="1:6" ht="30" customHeight="1" x14ac:dyDescent="0.25">
      <c r="A882" s="1" t="s">
        <v>1892</v>
      </c>
      <c r="B882" s="1" t="str">
        <f>"9780195348385"</f>
        <v>9780195348385</v>
      </c>
      <c r="C882" s="1" t="s">
        <v>1120</v>
      </c>
      <c r="D882" s="2">
        <v>39518</v>
      </c>
      <c r="E882" s="1" t="s">
        <v>1893</v>
      </c>
      <c r="F882" s="1" t="s">
        <v>13</v>
      </c>
    </row>
    <row r="883" spans="1:6" ht="30" customHeight="1" x14ac:dyDescent="0.25">
      <c r="A883" s="1" t="s">
        <v>1894</v>
      </c>
      <c r="B883" s="1" t="str">
        <f>"9780198032786"</f>
        <v>9780198032786</v>
      </c>
      <c r="C883" s="1" t="s">
        <v>1117</v>
      </c>
      <c r="D883" s="2">
        <v>37257</v>
      </c>
      <c r="E883" s="1" t="s">
        <v>1895</v>
      </c>
      <c r="F883" s="1" t="s">
        <v>13</v>
      </c>
    </row>
    <row r="884" spans="1:6" ht="30" customHeight="1" x14ac:dyDescent="0.25">
      <c r="A884" s="1" t="s">
        <v>1896</v>
      </c>
      <c r="B884" s="1" t="str">
        <f>"9780198036999"</f>
        <v>9780198036999</v>
      </c>
      <c r="C884" s="1" t="s">
        <v>1123</v>
      </c>
      <c r="D884" s="2">
        <v>38288</v>
      </c>
      <c r="E884" s="1" t="s">
        <v>1897</v>
      </c>
      <c r="F884" s="1" t="s">
        <v>13</v>
      </c>
    </row>
    <row r="885" spans="1:6" ht="30" customHeight="1" x14ac:dyDescent="0.25">
      <c r="A885" s="1" t="s">
        <v>1898</v>
      </c>
      <c r="B885" s="1" t="str">
        <f>"9780198035114"</f>
        <v>9780198035114</v>
      </c>
      <c r="C885" s="1" t="s">
        <v>1120</v>
      </c>
      <c r="D885" s="2">
        <v>38428</v>
      </c>
      <c r="E885" s="1" t="s">
        <v>1899</v>
      </c>
      <c r="F885" s="1" t="s">
        <v>13</v>
      </c>
    </row>
    <row r="886" spans="1:6" ht="30" customHeight="1" x14ac:dyDescent="0.25">
      <c r="A886" s="1" t="s">
        <v>1900</v>
      </c>
      <c r="B886" s="1" t="str">
        <f>"9780198035466"</f>
        <v>9780198035466</v>
      </c>
      <c r="C886" s="1" t="s">
        <v>1117</v>
      </c>
      <c r="D886" s="2">
        <v>37987</v>
      </c>
      <c r="E886" s="1" t="s">
        <v>1901</v>
      </c>
      <c r="F886" s="1" t="s">
        <v>13</v>
      </c>
    </row>
    <row r="887" spans="1:6" ht="30" customHeight="1" x14ac:dyDescent="0.25">
      <c r="A887" s="1" t="s">
        <v>1902</v>
      </c>
      <c r="B887" s="1" t="str">
        <f>"9780198033783"</f>
        <v>9780198033783</v>
      </c>
      <c r="C887" s="1" t="s">
        <v>1123</v>
      </c>
      <c r="D887" s="2">
        <v>37434</v>
      </c>
      <c r="E887" s="1" t="s">
        <v>1903</v>
      </c>
      <c r="F887" s="1" t="s">
        <v>13</v>
      </c>
    </row>
    <row r="888" spans="1:6" ht="30" customHeight="1" x14ac:dyDescent="0.25">
      <c r="A888" s="1" t="s">
        <v>1904</v>
      </c>
      <c r="B888" s="1" t="str">
        <f>"9780198031574"</f>
        <v>9780198031574</v>
      </c>
      <c r="C888" s="1" t="s">
        <v>1123</v>
      </c>
      <c r="D888" s="2">
        <v>36776</v>
      </c>
      <c r="E888" s="1" t="s">
        <v>1905</v>
      </c>
      <c r="F888" s="1" t="s">
        <v>359</v>
      </c>
    </row>
    <row r="889" spans="1:6" ht="30" customHeight="1" x14ac:dyDescent="0.25">
      <c r="A889" s="1" t="s">
        <v>1906</v>
      </c>
      <c r="B889" s="1" t="str">
        <f>"9780195349696"</f>
        <v>9780195349696</v>
      </c>
      <c r="C889" s="1" t="s">
        <v>1123</v>
      </c>
      <c r="D889" s="2">
        <v>37896</v>
      </c>
      <c r="E889" s="1" t="s">
        <v>1907</v>
      </c>
      <c r="F889" s="1" t="s">
        <v>13</v>
      </c>
    </row>
    <row r="890" spans="1:6" ht="30" customHeight="1" x14ac:dyDescent="0.25">
      <c r="A890" s="1" t="s">
        <v>1908</v>
      </c>
      <c r="B890" s="1" t="str">
        <f>"9780198031451"</f>
        <v>9780198031451</v>
      </c>
      <c r="C890" s="1" t="s">
        <v>1120</v>
      </c>
      <c r="D890" s="2">
        <v>37028</v>
      </c>
      <c r="E890" s="1" t="s">
        <v>1909</v>
      </c>
      <c r="F890" s="1" t="s">
        <v>63</v>
      </c>
    </row>
    <row r="891" spans="1:6" ht="30" customHeight="1" x14ac:dyDescent="0.25">
      <c r="A891" s="1" t="s">
        <v>1910</v>
      </c>
      <c r="B891" s="1" t="str">
        <f>"9780198037491"</f>
        <v>9780198037491</v>
      </c>
      <c r="C891" s="1" t="s">
        <v>1117</v>
      </c>
      <c r="D891" s="2">
        <v>37987</v>
      </c>
      <c r="E891" s="1" t="s">
        <v>1911</v>
      </c>
      <c r="F891" s="1" t="s">
        <v>1879</v>
      </c>
    </row>
    <row r="892" spans="1:6" ht="30" customHeight="1" x14ac:dyDescent="0.25">
      <c r="A892" s="1" t="s">
        <v>1912</v>
      </c>
      <c r="B892" s="1" t="str">
        <f>"9780198030997"</f>
        <v>9780198030997</v>
      </c>
      <c r="C892" s="1" t="s">
        <v>1123</v>
      </c>
      <c r="D892" s="2">
        <v>36790</v>
      </c>
      <c r="E892" s="1" t="s">
        <v>1913</v>
      </c>
      <c r="F892" s="1" t="s">
        <v>13</v>
      </c>
    </row>
    <row r="893" spans="1:6" ht="30" customHeight="1" x14ac:dyDescent="0.25">
      <c r="A893" s="1" t="s">
        <v>1914</v>
      </c>
      <c r="B893" s="1" t="str">
        <f>"9780198037989"</f>
        <v>9780198037989</v>
      </c>
      <c r="C893" s="1" t="s">
        <v>1123</v>
      </c>
      <c r="D893" s="2">
        <v>38813</v>
      </c>
      <c r="E893" s="1" t="s">
        <v>1915</v>
      </c>
      <c r="F893" s="1" t="s">
        <v>13</v>
      </c>
    </row>
    <row r="894" spans="1:6" ht="30" customHeight="1" x14ac:dyDescent="0.25">
      <c r="A894" s="1" t="s">
        <v>1916</v>
      </c>
      <c r="B894" s="1" t="str">
        <f>"9780198031352"</f>
        <v>9780198031352</v>
      </c>
      <c r="C894" s="1" t="s">
        <v>1117</v>
      </c>
      <c r="D894" s="2">
        <v>37257</v>
      </c>
      <c r="E894" s="1" t="s">
        <v>1917</v>
      </c>
      <c r="F894" s="1" t="s">
        <v>13</v>
      </c>
    </row>
    <row r="895" spans="1:6" ht="30" customHeight="1" x14ac:dyDescent="0.25">
      <c r="A895" s="1" t="s">
        <v>1918</v>
      </c>
      <c r="B895" s="1" t="str">
        <f>"9780198030805"</f>
        <v>9780198030805</v>
      </c>
      <c r="C895" s="1" t="s">
        <v>1123</v>
      </c>
      <c r="D895" s="2">
        <v>36552</v>
      </c>
      <c r="E895" s="1" t="s">
        <v>1919</v>
      </c>
      <c r="F895" s="1" t="s">
        <v>13</v>
      </c>
    </row>
    <row r="896" spans="1:6" ht="30" customHeight="1" x14ac:dyDescent="0.25">
      <c r="A896" s="1" t="s">
        <v>1920</v>
      </c>
      <c r="B896" s="1" t="str">
        <f>"9780198030911"</f>
        <v>9780198030911</v>
      </c>
      <c r="C896" s="1" t="s">
        <v>1117</v>
      </c>
      <c r="D896" s="2">
        <v>36892</v>
      </c>
      <c r="E896" s="1" t="s">
        <v>1921</v>
      </c>
      <c r="F896" s="1" t="s">
        <v>13</v>
      </c>
    </row>
    <row r="897" spans="1:6" ht="30" customHeight="1" x14ac:dyDescent="0.25">
      <c r="A897" s="1" t="s">
        <v>1922</v>
      </c>
      <c r="B897" s="1" t="str">
        <f>"9780198030836"</f>
        <v>9780198030836</v>
      </c>
      <c r="C897" s="1" t="s">
        <v>1120</v>
      </c>
      <c r="D897" s="2">
        <v>37434</v>
      </c>
      <c r="E897" s="1" t="s">
        <v>1923</v>
      </c>
      <c r="F897" s="1" t="s">
        <v>751</v>
      </c>
    </row>
    <row r="898" spans="1:6" ht="30" customHeight="1" x14ac:dyDescent="0.25">
      <c r="A898" s="1" t="s">
        <v>1924</v>
      </c>
      <c r="B898" s="1" t="str">
        <f>"9780198032281"</f>
        <v>9780198032281</v>
      </c>
      <c r="C898" s="1" t="s">
        <v>1117</v>
      </c>
      <c r="D898" s="2">
        <v>37257</v>
      </c>
      <c r="E898" s="1" t="s">
        <v>1925</v>
      </c>
      <c r="F898" s="1" t="s">
        <v>362</v>
      </c>
    </row>
    <row r="899" spans="1:6" ht="30" customHeight="1" x14ac:dyDescent="0.25">
      <c r="A899" s="1" t="s">
        <v>1926</v>
      </c>
      <c r="B899" s="1" t="str">
        <f>"9780198037057"</f>
        <v>9780198037057</v>
      </c>
      <c r="C899" s="1" t="s">
        <v>1120</v>
      </c>
      <c r="D899" s="2">
        <v>38435</v>
      </c>
      <c r="E899" s="1" t="s">
        <v>1927</v>
      </c>
      <c r="F899" s="1" t="s">
        <v>438</v>
      </c>
    </row>
    <row r="900" spans="1:6" ht="30" customHeight="1" x14ac:dyDescent="0.25">
      <c r="A900" s="1" t="s">
        <v>1928</v>
      </c>
      <c r="B900" s="1" t="str">
        <f>"9780198032458"</f>
        <v>9780198032458</v>
      </c>
      <c r="C900" s="1" t="s">
        <v>1117</v>
      </c>
      <c r="D900" s="2">
        <v>37257</v>
      </c>
      <c r="E900" s="1" t="s">
        <v>1929</v>
      </c>
      <c r="F900" s="1" t="s">
        <v>137</v>
      </c>
    </row>
    <row r="901" spans="1:6" ht="30" customHeight="1" x14ac:dyDescent="0.25">
      <c r="A901" s="1" t="s">
        <v>1930</v>
      </c>
      <c r="B901" s="1" t="str">
        <f>"9780199725250"</f>
        <v>9780199725250</v>
      </c>
      <c r="C901" s="1" t="s">
        <v>1117</v>
      </c>
      <c r="D901" s="2">
        <v>37987</v>
      </c>
      <c r="E901" s="1" t="s">
        <v>1931</v>
      </c>
      <c r="F901" s="1" t="s">
        <v>13</v>
      </c>
    </row>
    <row r="902" spans="1:6" ht="30" customHeight="1" x14ac:dyDescent="0.25">
      <c r="A902" s="1" t="s">
        <v>1932</v>
      </c>
      <c r="B902" s="1" t="str">
        <f>"9780080465302"</f>
        <v>9780080465302</v>
      </c>
      <c r="C902" s="1" t="s">
        <v>900</v>
      </c>
      <c r="D902" s="2">
        <v>40385</v>
      </c>
      <c r="E902" s="1" t="s">
        <v>1933</v>
      </c>
      <c r="F902" s="1" t="s">
        <v>268</v>
      </c>
    </row>
    <row r="903" spans="1:6" ht="30" customHeight="1" x14ac:dyDescent="0.25">
      <c r="A903" s="1" t="s">
        <v>1934</v>
      </c>
      <c r="B903" s="1" t="str">
        <f>"9780080466460"</f>
        <v>9780080466460</v>
      </c>
      <c r="C903" s="1" t="s">
        <v>900</v>
      </c>
      <c r="D903" s="2">
        <v>40661</v>
      </c>
      <c r="E903" s="1" t="s">
        <v>1935</v>
      </c>
      <c r="F903" s="1" t="s">
        <v>13</v>
      </c>
    </row>
    <row r="904" spans="1:6" ht="30" customHeight="1" x14ac:dyDescent="0.25">
      <c r="A904" s="1" t="s">
        <v>1936</v>
      </c>
      <c r="B904" s="1" t="str">
        <f>"9780080465685"</f>
        <v>9780080465685</v>
      </c>
      <c r="C904" s="1" t="s">
        <v>900</v>
      </c>
      <c r="D904" s="2">
        <v>40367</v>
      </c>
      <c r="E904" s="1" t="s">
        <v>1937</v>
      </c>
      <c r="F904" s="1" t="s">
        <v>95</v>
      </c>
    </row>
    <row r="905" spans="1:6" ht="30" customHeight="1" x14ac:dyDescent="0.25">
      <c r="A905" s="1" t="s">
        <v>1938</v>
      </c>
      <c r="B905" s="1" t="str">
        <f>"9780080465869"</f>
        <v>9780080465869</v>
      </c>
      <c r="C905" s="1" t="s">
        <v>900</v>
      </c>
      <c r="D905" s="2">
        <v>40784</v>
      </c>
      <c r="E905" s="1" t="s">
        <v>1939</v>
      </c>
      <c r="F905" s="1" t="s">
        <v>751</v>
      </c>
    </row>
    <row r="906" spans="1:6" ht="30" customHeight="1" x14ac:dyDescent="0.25">
      <c r="A906" s="1" t="s">
        <v>1940</v>
      </c>
      <c r="B906" s="1" t="str">
        <f>"9780080466422"</f>
        <v>9780080466422</v>
      </c>
      <c r="C906" s="1" t="s">
        <v>900</v>
      </c>
      <c r="D906" s="2">
        <v>40661</v>
      </c>
      <c r="E906" s="1" t="s">
        <v>1941</v>
      </c>
      <c r="F906" s="1" t="s">
        <v>137</v>
      </c>
    </row>
    <row r="907" spans="1:6" ht="30" customHeight="1" x14ac:dyDescent="0.25">
      <c r="A907" s="1" t="s">
        <v>1942</v>
      </c>
      <c r="B907" s="1" t="str">
        <f>"9780080465906"</f>
        <v>9780080465906</v>
      </c>
      <c r="C907" s="1" t="s">
        <v>900</v>
      </c>
      <c r="D907" s="2">
        <v>38996</v>
      </c>
      <c r="E907" s="1" t="s">
        <v>1943</v>
      </c>
      <c r="F907" s="1" t="s">
        <v>13</v>
      </c>
    </row>
    <row r="908" spans="1:6" ht="30" customHeight="1" x14ac:dyDescent="0.25">
      <c r="A908" s="1" t="s">
        <v>1944</v>
      </c>
      <c r="B908" s="1" t="str">
        <f>"9780080466538"</f>
        <v>9780080466538</v>
      </c>
      <c r="C908" s="1" t="s">
        <v>900</v>
      </c>
      <c r="D908" s="2">
        <v>40387</v>
      </c>
      <c r="E908" s="1" t="s">
        <v>1945</v>
      </c>
      <c r="F908" s="1" t="s">
        <v>1568</v>
      </c>
    </row>
    <row r="909" spans="1:6" ht="30" customHeight="1" x14ac:dyDescent="0.25">
      <c r="A909" s="1" t="s">
        <v>1946</v>
      </c>
      <c r="B909" s="1" t="str">
        <f>"9780080466699"</f>
        <v>9780080466699</v>
      </c>
      <c r="C909" s="1" t="s">
        <v>900</v>
      </c>
      <c r="D909" s="2">
        <v>39023</v>
      </c>
      <c r="E909" s="1" t="s">
        <v>1947</v>
      </c>
      <c r="F909" s="1" t="s">
        <v>1948</v>
      </c>
    </row>
    <row r="910" spans="1:6" ht="30" customHeight="1" x14ac:dyDescent="0.25">
      <c r="A910" s="1" t="s">
        <v>1949</v>
      </c>
      <c r="B910" s="1" t="str">
        <f>"9780080466507"</f>
        <v>9780080466507</v>
      </c>
      <c r="C910" s="1" t="s">
        <v>900</v>
      </c>
      <c r="D910" s="2">
        <v>40661</v>
      </c>
      <c r="E910" s="1" t="s">
        <v>1950</v>
      </c>
      <c r="F910" s="1" t="s">
        <v>13</v>
      </c>
    </row>
    <row r="911" spans="1:6" ht="30" customHeight="1" x14ac:dyDescent="0.25">
      <c r="A911" s="1" t="s">
        <v>1951</v>
      </c>
      <c r="B911" s="1" t="str">
        <f>"9780080465975"</f>
        <v>9780080465975</v>
      </c>
      <c r="C911" s="1" t="s">
        <v>900</v>
      </c>
      <c r="D911" s="2">
        <v>40661</v>
      </c>
      <c r="E911" s="1" t="s">
        <v>1952</v>
      </c>
      <c r="F911" s="1" t="s">
        <v>137</v>
      </c>
    </row>
    <row r="912" spans="1:6" ht="30" customHeight="1" x14ac:dyDescent="0.25">
      <c r="A912" s="1" t="s">
        <v>1953</v>
      </c>
      <c r="B912" s="1" t="str">
        <f>"9780080466477"</f>
        <v>9780080466477</v>
      </c>
      <c r="C912" s="1" t="s">
        <v>900</v>
      </c>
      <c r="D912" s="2">
        <v>40386</v>
      </c>
      <c r="E912" s="1" t="s">
        <v>1954</v>
      </c>
      <c r="F912" s="1" t="s">
        <v>148</v>
      </c>
    </row>
    <row r="913" spans="1:6" ht="30" customHeight="1" x14ac:dyDescent="0.25">
      <c r="A913" s="1" t="s">
        <v>1955</v>
      </c>
      <c r="B913" s="1" t="str">
        <f>"9781846632808"</f>
        <v>9781846632808</v>
      </c>
      <c r="C913" s="1" t="s">
        <v>971</v>
      </c>
      <c r="D913" s="2">
        <v>37987</v>
      </c>
      <c r="E913" s="1" t="s">
        <v>1956</v>
      </c>
      <c r="F913" s="1" t="s">
        <v>30</v>
      </c>
    </row>
    <row r="914" spans="1:6" ht="30" customHeight="1" x14ac:dyDescent="0.25">
      <c r="A914" s="1" t="s">
        <v>1957</v>
      </c>
      <c r="B914" s="1" t="str">
        <f>"9781846632815"</f>
        <v>9781846632815</v>
      </c>
      <c r="C914" s="1" t="s">
        <v>971</v>
      </c>
      <c r="D914" s="2">
        <v>37987</v>
      </c>
      <c r="E914" s="1" t="s">
        <v>1956</v>
      </c>
      <c r="F914" s="1" t="s">
        <v>95</v>
      </c>
    </row>
    <row r="915" spans="1:6" ht="30" customHeight="1" x14ac:dyDescent="0.25">
      <c r="A915" s="1" t="s">
        <v>1958</v>
      </c>
      <c r="B915" s="1" t="str">
        <f>"9781846633003"</f>
        <v>9781846633003</v>
      </c>
      <c r="C915" s="1" t="s">
        <v>971</v>
      </c>
      <c r="D915" s="2">
        <v>38353</v>
      </c>
      <c r="E915" s="1" t="s">
        <v>1956</v>
      </c>
      <c r="F915" s="1" t="s">
        <v>538</v>
      </c>
    </row>
    <row r="916" spans="1:6" ht="30" customHeight="1" x14ac:dyDescent="0.25">
      <c r="A916" s="1" t="s">
        <v>1959</v>
      </c>
      <c r="B916" s="1" t="str">
        <f>"9781859591734"</f>
        <v>9781859591734</v>
      </c>
      <c r="C916" s="1" t="s">
        <v>1024</v>
      </c>
      <c r="D916" s="2">
        <v>39083</v>
      </c>
      <c r="E916" s="1" t="s">
        <v>1960</v>
      </c>
      <c r="F916" s="1" t="s">
        <v>13</v>
      </c>
    </row>
    <row r="917" spans="1:6" ht="30" customHeight="1" x14ac:dyDescent="0.25">
      <c r="A917" s="1" t="s">
        <v>1961</v>
      </c>
      <c r="B917" s="1" t="str">
        <f>"9780313004964"</f>
        <v>9780313004964</v>
      </c>
      <c r="C917" s="1" t="s">
        <v>1527</v>
      </c>
      <c r="D917" s="2">
        <v>36892</v>
      </c>
      <c r="E917" s="1" t="s">
        <v>1962</v>
      </c>
      <c r="F917" s="1" t="s">
        <v>13</v>
      </c>
    </row>
    <row r="918" spans="1:6" ht="30" customHeight="1" x14ac:dyDescent="0.25">
      <c r="A918" s="1" t="s">
        <v>1963</v>
      </c>
      <c r="B918" s="1" t="str">
        <f>"9781889057446"</f>
        <v>9781889057446</v>
      </c>
      <c r="C918" s="1" t="s">
        <v>1964</v>
      </c>
      <c r="D918" s="2">
        <v>39328</v>
      </c>
      <c r="E918" s="1" t="s">
        <v>1965</v>
      </c>
      <c r="F918" s="1" t="s">
        <v>13</v>
      </c>
    </row>
    <row r="919" spans="1:6" ht="30" customHeight="1" x14ac:dyDescent="0.25">
      <c r="A919" s="1" t="s">
        <v>1966</v>
      </c>
      <c r="B919" s="1" t="str">
        <f>"9780080467696"</f>
        <v>9780080467696</v>
      </c>
      <c r="C919" s="1" t="s">
        <v>900</v>
      </c>
      <c r="D919" s="2">
        <v>40661</v>
      </c>
      <c r="E919" s="1" t="s">
        <v>1967</v>
      </c>
      <c r="F919" s="1" t="s">
        <v>13</v>
      </c>
    </row>
    <row r="920" spans="1:6" ht="30" customHeight="1" x14ac:dyDescent="0.25">
      <c r="A920" s="1" t="s">
        <v>1968</v>
      </c>
      <c r="B920" s="1" t="str">
        <f>"9780080467740"</f>
        <v>9780080467740</v>
      </c>
      <c r="C920" s="1" t="s">
        <v>900</v>
      </c>
      <c r="D920" s="2">
        <v>39062</v>
      </c>
      <c r="E920" s="1" t="s">
        <v>1969</v>
      </c>
      <c r="F920" s="1" t="s">
        <v>30</v>
      </c>
    </row>
    <row r="921" spans="1:6" ht="30" customHeight="1" x14ac:dyDescent="0.25">
      <c r="A921" s="1" t="s">
        <v>1970</v>
      </c>
      <c r="B921" s="1" t="str">
        <f>"9780080467757"</f>
        <v>9780080467757</v>
      </c>
      <c r="C921" s="1" t="s">
        <v>900</v>
      </c>
      <c r="D921" s="2">
        <v>39069</v>
      </c>
      <c r="E921" s="1" t="s">
        <v>1971</v>
      </c>
      <c r="F921" s="1" t="s">
        <v>349</v>
      </c>
    </row>
    <row r="922" spans="1:6" ht="30" customHeight="1" x14ac:dyDescent="0.25">
      <c r="A922" s="1" t="s">
        <v>1972</v>
      </c>
      <c r="B922" s="1" t="str">
        <f>"9780080467818"</f>
        <v>9780080467818</v>
      </c>
      <c r="C922" s="1" t="s">
        <v>900</v>
      </c>
      <c r="D922" s="2">
        <v>40827</v>
      </c>
      <c r="E922" s="1" t="s">
        <v>1973</v>
      </c>
      <c r="F922" s="1" t="s">
        <v>13</v>
      </c>
    </row>
    <row r="923" spans="1:6" ht="30" customHeight="1" x14ac:dyDescent="0.25">
      <c r="A923" s="1" t="s">
        <v>1974</v>
      </c>
      <c r="B923" s="1" t="str">
        <f>"9780080467863"</f>
        <v>9780080467863</v>
      </c>
      <c r="C923" s="1" t="s">
        <v>900</v>
      </c>
      <c r="D923" s="2">
        <v>39069</v>
      </c>
      <c r="E923" s="1" t="s">
        <v>1975</v>
      </c>
      <c r="F923" s="1" t="s">
        <v>349</v>
      </c>
    </row>
    <row r="924" spans="1:6" ht="30" customHeight="1" x14ac:dyDescent="0.25">
      <c r="A924" s="1" t="s">
        <v>1976</v>
      </c>
      <c r="B924" s="1" t="str">
        <f>"9780080467900"</f>
        <v>9780080467900</v>
      </c>
      <c r="C924" s="1" t="s">
        <v>900</v>
      </c>
      <c r="D924" s="2">
        <v>39070</v>
      </c>
      <c r="E924" s="1" t="s">
        <v>1977</v>
      </c>
      <c r="F924" s="1" t="s">
        <v>176</v>
      </c>
    </row>
    <row r="925" spans="1:6" ht="30" customHeight="1" x14ac:dyDescent="0.25">
      <c r="A925" s="1" t="s">
        <v>1978</v>
      </c>
      <c r="B925" s="1" t="str">
        <f>"9780080468037"</f>
        <v>9780080468037</v>
      </c>
      <c r="C925" s="1" t="s">
        <v>900</v>
      </c>
      <c r="D925" s="2">
        <v>39049</v>
      </c>
      <c r="E925" s="1" t="s">
        <v>1979</v>
      </c>
      <c r="F925" s="1" t="s">
        <v>13</v>
      </c>
    </row>
    <row r="926" spans="1:6" ht="30" customHeight="1" x14ac:dyDescent="0.25">
      <c r="A926" s="1" t="s">
        <v>1980</v>
      </c>
      <c r="B926" s="1" t="str">
        <f>"9789240681408"</f>
        <v>9789240681408</v>
      </c>
      <c r="C926" s="1" t="s">
        <v>1981</v>
      </c>
      <c r="D926" s="2">
        <v>37987</v>
      </c>
      <c r="E926" s="1" t="s">
        <v>1982</v>
      </c>
      <c r="F926" s="1" t="s">
        <v>13</v>
      </c>
    </row>
    <row r="927" spans="1:6" ht="30" customHeight="1" x14ac:dyDescent="0.25">
      <c r="A927" s="1" t="s">
        <v>1983</v>
      </c>
      <c r="B927" s="1" t="str">
        <f>"9789240680043"</f>
        <v>9789240680043</v>
      </c>
      <c r="C927" s="1" t="s">
        <v>1981</v>
      </c>
      <c r="D927" s="2">
        <v>37622</v>
      </c>
      <c r="E927" s="1" t="s">
        <v>1981</v>
      </c>
      <c r="F927" s="1" t="s">
        <v>176</v>
      </c>
    </row>
    <row r="928" spans="1:6" ht="30" customHeight="1" x14ac:dyDescent="0.25">
      <c r="A928" s="1" t="s">
        <v>1984</v>
      </c>
      <c r="B928" s="1" t="str">
        <f>"9789240681019"</f>
        <v>9789240681019</v>
      </c>
      <c r="C928" s="1" t="s">
        <v>1981</v>
      </c>
      <c r="D928" s="2">
        <v>37622</v>
      </c>
      <c r="E928" s="1" t="s">
        <v>1981</v>
      </c>
      <c r="F928" s="1" t="s">
        <v>1985</v>
      </c>
    </row>
    <row r="929" spans="1:6" ht="30" customHeight="1" x14ac:dyDescent="0.25">
      <c r="A929" s="1" t="s">
        <v>1986</v>
      </c>
      <c r="B929" s="1" t="str">
        <f>"9789240680821"</f>
        <v>9789240680821</v>
      </c>
      <c r="C929" s="1" t="s">
        <v>1981</v>
      </c>
      <c r="D929" s="2">
        <v>37257</v>
      </c>
      <c r="E929" s="1" t="s">
        <v>1987</v>
      </c>
      <c r="F929" s="1" t="s">
        <v>95</v>
      </c>
    </row>
    <row r="930" spans="1:6" ht="30" customHeight="1" x14ac:dyDescent="0.25">
      <c r="A930" s="1" t="s">
        <v>1988</v>
      </c>
      <c r="B930" s="1" t="str">
        <f>"9789240684447"</f>
        <v>9789240684447</v>
      </c>
      <c r="C930" s="1" t="s">
        <v>1981</v>
      </c>
      <c r="D930" s="2">
        <v>38353</v>
      </c>
      <c r="E930" s="1" t="s">
        <v>1989</v>
      </c>
      <c r="F930" s="1" t="s">
        <v>176</v>
      </c>
    </row>
    <row r="931" spans="1:6" ht="30" customHeight="1" x14ac:dyDescent="0.25">
      <c r="A931" s="1" t="s">
        <v>1990</v>
      </c>
      <c r="B931" s="1" t="str">
        <f>"9789240680296"</f>
        <v>9789240680296</v>
      </c>
      <c r="C931" s="1" t="s">
        <v>1981</v>
      </c>
      <c r="D931" s="2">
        <v>37257</v>
      </c>
      <c r="E931" s="1" t="s">
        <v>1991</v>
      </c>
      <c r="F931" s="1" t="s">
        <v>1992</v>
      </c>
    </row>
    <row r="932" spans="1:6" ht="30" customHeight="1" x14ac:dyDescent="0.25">
      <c r="A932" s="1" t="s">
        <v>1993</v>
      </c>
      <c r="B932" s="1" t="str">
        <f>"9789240680371"</f>
        <v>9789240680371</v>
      </c>
      <c r="C932" s="1" t="s">
        <v>1981</v>
      </c>
      <c r="D932" s="2">
        <v>37257</v>
      </c>
      <c r="E932" s="1" t="s">
        <v>1994</v>
      </c>
      <c r="F932" s="1" t="s">
        <v>1995</v>
      </c>
    </row>
    <row r="933" spans="1:6" ht="30" customHeight="1" x14ac:dyDescent="0.25">
      <c r="A933" s="1" t="s">
        <v>1996</v>
      </c>
      <c r="B933" s="1" t="str">
        <f>"9789240680999"</f>
        <v>9789240680999</v>
      </c>
      <c r="C933" s="1" t="s">
        <v>1981</v>
      </c>
      <c r="D933" s="2">
        <v>37622</v>
      </c>
      <c r="E933" s="1" t="s">
        <v>1981</v>
      </c>
      <c r="F933" s="1" t="s">
        <v>95</v>
      </c>
    </row>
    <row r="934" spans="1:6" ht="30" customHeight="1" x14ac:dyDescent="0.25">
      <c r="A934" s="1" t="s">
        <v>1997</v>
      </c>
      <c r="B934" s="1" t="str">
        <f>"9789240680814"</f>
        <v>9789240680814</v>
      </c>
      <c r="C934" s="1" t="s">
        <v>1981</v>
      </c>
      <c r="D934" s="2">
        <v>37257</v>
      </c>
      <c r="E934" s="1" t="s">
        <v>1981</v>
      </c>
      <c r="F934" s="1" t="s">
        <v>114</v>
      </c>
    </row>
    <row r="935" spans="1:6" ht="30" customHeight="1" x14ac:dyDescent="0.25">
      <c r="A935" s="1" t="s">
        <v>1998</v>
      </c>
      <c r="B935" s="1" t="str">
        <f>"9789289013932"</f>
        <v>9789289013932</v>
      </c>
      <c r="C935" s="1" t="s">
        <v>1981</v>
      </c>
      <c r="D935" s="2">
        <v>37257</v>
      </c>
      <c r="E935" s="1" t="s">
        <v>1999</v>
      </c>
      <c r="F935" s="1" t="s">
        <v>158</v>
      </c>
    </row>
    <row r="936" spans="1:6" ht="30" customHeight="1" x14ac:dyDescent="0.25">
      <c r="A936" s="1" t="s">
        <v>2000</v>
      </c>
      <c r="B936" s="1" t="str">
        <f>"9789240681125"</f>
        <v>9789240681125</v>
      </c>
      <c r="C936" s="1" t="s">
        <v>1981</v>
      </c>
      <c r="D936" s="2">
        <v>37622</v>
      </c>
      <c r="E936" s="1" t="s">
        <v>2001</v>
      </c>
      <c r="F936" s="1" t="s">
        <v>95</v>
      </c>
    </row>
    <row r="937" spans="1:6" ht="30" customHeight="1" x14ac:dyDescent="0.25">
      <c r="A937" s="1" t="s">
        <v>2002</v>
      </c>
      <c r="B937" s="1" t="str">
        <f>"9789289013987"</f>
        <v>9789289013987</v>
      </c>
      <c r="C937" s="1" t="s">
        <v>1981</v>
      </c>
      <c r="D937" s="2">
        <v>37622</v>
      </c>
      <c r="E937" s="1" t="s">
        <v>2003</v>
      </c>
      <c r="F937" s="1" t="s">
        <v>95</v>
      </c>
    </row>
    <row r="938" spans="1:6" ht="30" customHeight="1" x14ac:dyDescent="0.25">
      <c r="A938" s="1" t="s">
        <v>2004</v>
      </c>
      <c r="B938" s="1" t="str">
        <f>"9789240680654"</f>
        <v>9789240680654</v>
      </c>
      <c r="C938" s="1" t="s">
        <v>1981</v>
      </c>
      <c r="D938" s="2">
        <v>37257</v>
      </c>
      <c r="E938" s="1" t="s">
        <v>2005</v>
      </c>
      <c r="F938" s="1" t="s">
        <v>33</v>
      </c>
    </row>
    <row r="939" spans="1:6" ht="30" customHeight="1" x14ac:dyDescent="0.25">
      <c r="A939" s="1" t="s">
        <v>2006</v>
      </c>
      <c r="B939" s="1" t="str">
        <f>"9789240681149"</f>
        <v>9789240681149</v>
      </c>
      <c r="C939" s="1" t="s">
        <v>1981</v>
      </c>
      <c r="D939" s="2">
        <v>38718</v>
      </c>
      <c r="E939" s="1" t="s">
        <v>2007</v>
      </c>
      <c r="F939" s="1" t="s">
        <v>158</v>
      </c>
    </row>
    <row r="940" spans="1:6" ht="30" customHeight="1" x14ac:dyDescent="0.25">
      <c r="A940" s="1" t="s">
        <v>2008</v>
      </c>
      <c r="B940" s="1" t="str">
        <f>"9789240680692"</f>
        <v>9789240680692</v>
      </c>
      <c r="C940" s="1" t="s">
        <v>1981</v>
      </c>
      <c r="D940" s="2">
        <v>37257</v>
      </c>
      <c r="E940" s="1" t="s">
        <v>1981</v>
      </c>
      <c r="F940" s="1" t="s">
        <v>95</v>
      </c>
    </row>
    <row r="941" spans="1:6" ht="30" customHeight="1" x14ac:dyDescent="0.25">
      <c r="A941" s="1" t="s">
        <v>2009</v>
      </c>
      <c r="B941" s="1" t="str">
        <f>"9789240681286"</f>
        <v>9789240681286</v>
      </c>
      <c r="C941" s="1" t="s">
        <v>1981</v>
      </c>
      <c r="D941" s="2">
        <v>37622</v>
      </c>
      <c r="E941" s="1" t="s">
        <v>1981</v>
      </c>
      <c r="F941" s="1" t="s">
        <v>599</v>
      </c>
    </row>
    <row r="942" spans="1:6" ht="30" customHeight="1" x14ac:dyDescent="0.25">
      <c r="A942" s="1" t="s">
        <v>2010</v>
      </c>
      <c r="B942" s="1" t="str">
        <f>"9789240680852"</f>
        <v>9789240680852</v>
      </c>
      <c r="C942" s="1" t="s">
        <v>1981</v>
      </c>
      <c r="D942" s="2">
        <v>36892</v>
      </c>
      <c r="E942" s="1" t="s">
        <v>1981</v>
      </c>
      <c r="F942" s="1" t="s">
        <v>95</v>
      </c>
    </row>
    <row r="943" spans="1:6" ht="30" customHeight="1" x14ac:dyDescent="0.25">
      <c r="A943" s="1" t="s">
        <v>2011</v>
      </c>
      <c r="B943" s="1" t="str">
        <f>"9789240680760"</f>
        <v>9789240680760</v>
      </c>
      <c r="C943" s="1" t="s">
        <v>1981</v>
      </c>
      <c r="D943" s="2">
        <v>37257</v>
      </c>
      <c r="E943" s="1" t="s">
        <v>1981</v>
      </c>
      <c r="F943" s="1" t="s">
        <v>158</v>
      </c>
    </row>
    <row r="944" spans="1:6" ht="30" customHeight="1" x14ac:dyDescent="0.25">
      <c r="A944" s="1" t="s">
        <v>2012</v>
      </c>
      <c r="B944" s="1" t="str">
        <f>"9789289013994"</f>
        <v>9789289013994</v>
      </c>
      <c r="C944" s="1" t="s">
        <v>1981</v>
      </c>
      <c r="D944" s="2">
        <v>37257</v>
      </c>
      <c r="E944" s="1" t="s">
        <v>2013</v>
      </c>
      <c r="F944" s="1" t="s">
        <v>30</v>
      </c>
    </row>
    <row r="945" spans="1:6" ht="30" customHeight="1" x14ac:dyDescent="0.25">
      <c r="A945" s="1" t="s">
        <v>2014</v>
      </c>
      <c r="B945" s="1" t="str">
        <f>"9789240684423"</f>
        <v>9789240684423</v>
      </c>
      <c r="C945" s="1" t="s">
        <v>1981</v>
      </c>
      <c r="D945" s="2">
        <v>37257</v>
      </c>
      <c r="E945" s="1" t="s">
        <v>1981</v>
      </c>
      <c r="F945" s="1" t="s">
        <v>82</v>
      </c>
    </row>
    <row r="946" spans="1:6" ht="30" customHeight="1" x14ac:dyDescent="0.25">
      <c r="A946" s="1" t="s">
        <v>2015</v>
      </c>
      <c r="B946" s="1" t="str">
        <f>"9789240680050"</f>
        <v>9789240680050</v>
      </c>
      <c r="C946" s="1" t="s">
        <v>1981</v>
      </c>
      <c r="D946" s="2">
        <v>37622</v>
      </c>
      <c r="E946" s="1" t="s">
        <v>1981</v>
      </c>
      <c r="F946" s="1" t="s">
        <v>30</v>
      </c>
    </row>
    <row r="947" spans="1:6" ht="30" customHeight="1" x14ac:dyDescent="0.25">
      <c r="A947" s="1" t="s">
        <v>2016</v>
      </c>
      <c r="B947" s="1" t="str">
        <f>"9789240681002"</f>
        <v>9789240681002</v>
      </c>
      <c r="C947" s="1" t="s">
        <v>1981</v>
      </c>
      <c r="D947" s="2">
        <v>37622</v>
      </c>
      <c r="E947" s="1" t="s">
        <v>1981</v>
      </c>
      <c r="F947" s="1" t="s">
        <v>95</v>
      </c>
    </row>
    <row r="948" spans="1:6" ht="30" customHeight="1" x14ac:dyDescent="0.25">
      <c r="A948" s="1" t="s">
        <v>2017</v>
      </c>
      <c r="B948" s="1" t="str">
        <f>"9789240681071"</f>
        <v>9789240681071</v>
      </c>
      <c r="C948" s="1" t="s">
        <v>1981</v>
      </c>
      <c r="D948" s="2">
        <v>37622</v>
      </c>
      <c r="E948" s="1" t="s">
        <v>1981</v>
      </c>
      <c r="F948" s="1" t="s">
        <v>30</v>
      </c>
    </row>
    <row r="949" spans="1:6" ht="30" customHeight="1" x14ac:dyDescent="0.25">
      <c r="A949" s="1" t="s">
        <v>2018</v>
      </c>
      <c r="B949" s="1" t="str">
        <f>"9789240680487"</f>
        <v>9789240680487</v>
      </c>
      <c r="C949" s="1" t="s">
        <v>1981</v>
      </c>
      <c r="D949" s="2">
        <v>37622</v>
      </c>
      <c r="E949" s="1" t="s">
        <v>1981</v>
      </c>
      <c r="F949" s="1" t="s">
        <v>2019</v>
      </c>
    </row>
    <row r="950" spans="1:6" ht="30" customHeight="1" x14ac:dyDescent="0.25">
      <c r="A950" s="1" t="s">
        <v>2020</v>
      </c>
      <c r="B950" s="1" t="str">
        <f>"9789240681057"</f>
        <v>9789240681057</v>
      </c>
      <c r="C950" s="1" t="s">
        <v>1981</v>
      </c>
      <c r="D950" s="2">
        <v>37987</v>
      </c>
      <c r="E950" s="1" t="s">
        <v>1981</v>
      </c>
      <c r="F950" s="1" t="s">
        <v>137</v>
      </c>
    </row>
    <row r="951" spans="1:6" ht="30" customHeight="1" x14ac:dyDescent="0.25">
      <c r="A951" s="1" t="s">
        <v>2021</v>
      </c>
      <c r="B951" s="1" t="str">
        <f>"9789240681033"</f>
        <v>9789240681033</v>
      </c>
      <c r="C951" s="1" t="s">
        <v>1981</v>
      </c>
      <c r="D951" s="2">
        <v>37257</v>
      </c>
      <c r="E951" s="1" t="s">
        <v>1981</v>
      </c>
      <c r="F951" s="1" t="s">
        <v>13</v>
      </c>
    </row>
    <row r="952" spans="1:6" ht="30" customHeight="1" x14ac:dyDescent="0.25">
      <c r="A952" s="1" t="s">
        <v>2022</v>
      </c>
      <c r="B952" s="1" t="str">
        <f>"9789240681163"</f>
        <v>9789240681163</v>
      </c>
      <c r="C952" s="1" t="s">
        <v>1981</v>
      </c>
      <c r="D952" s="2">
        <v>37622</v>
      </c>
      <c r="E952" s="1" t="s">
        <v>1981</v>
      </c>
      <c r="F952" s="1" t="s">
        <v>13</v>
      </c>
    </row>
    <row r="953" spans="1:6" ht="30" customHeight="1" x14ac:dyDescent="0.25">
      <c r="A953" s="1" t="s">
        <v>2023</v>
      </c>
      <c r="B953" s="1" t="str">
        <f>"9789240681828"</f>
        <v>9789240681828</v>
      </c>
      <c r="C953" s="1" t="s">
        <v>1981</v>
      </c>
      <c r="D953" s="2">
        <v>38353</v>
      </c>
      <c r="E953" s="1" t="s">
        <v>2024</v>
      </c>
      <c r="F953" s="1" t="s">
        <v>13</v>
      </c>
    </row>
    <row r="954" spans="1:6" ht="30" customHeight="1" x14ac:dyDescent="0.25">
      <c r="A954" s="1" t="s">
        <v>2025</v>
      </c>
      <c r="B954" s="1" t="str">
        <f>"9789240681217"</f>
        <v>9789240681217</v>
      </c>
      <c r="C954" s="1" t="s">
        <v>1981</v>
      </c>
      <c r="D954" s="2">
        <v>37622</v>
      </c>
      <c r="E954" s="1" t="s">
        <v>1981</v>
      </c>
      <c r="F954" s="1" t="s">
        <v>30</v>
      </c>
    </row>
    <row r="955" spans="1:6" ht="30" customHeight="1" x14ac:dyDescent="0.25">
      <c r="A955" s="1" t="s">
        <v>2026</v>
      </c>
      <c r="B955" s="1" t="str">
        <f>"9789240680869"</f>
        <v>9789240680869</v>
      </c>
      <c r="C955" s="1" t="s">
        <v>1981</v>
      </c>
      <c r="D955" s="2">
        <v>37622</v>
      </c>
      <c r="E955" s="1" t="s">
        <v>2027</v>
      </c>
      <c r="F955" s="1" t="s">
        <v>2028</v>
      </c>
    </row>
    <row r="956" spans="1:6" ht="30" customHeight="1" x14ac:dyDescent="0.25">
      <c r="A956" s="1" t="s">
        <v>2029</v>
      </c>
      <c r="B956" s="1" t="str">
        <f>"9789240680531"</f>
        <v>9789240680531</v>
      </c>
      <c r="C956" s="1" t="s">
        <v>1981</v>
      </c>
      <c r="D956" s="2">
        <v>37622</v>
      </c>
      <c r="E956" s="1" t="s">
        <v>2030</v>
      </c>
      <c r="F956" s="1" t="s">
        <v>304</v>
      </c>
    </row>
    <row r="957" spans="1:6" ht="30" customHeight="1" x14ac:dyDescent="0.25">
      <c r="A957" s="1" t="s">
        <v>2031</v>
      </c>
      <c r="B957" s="1" t="str">
        <f>"9789240680807"</f>
        <v>9789240680807</v>
      </c>
      <c r="C957" s="1" t="s">
        <v>1981</v>
      </c>
      <c r="D957" s="2">
        <v>37622</v>
      </c>
      <c r="E957" s="1" t="s">
        <v>1981</v>
      </c>
      <c r="F957" s="1" t="s">
        <v>13</v>
      </c>
    </row>
    <row r="958" spans="1:6" ht="30" customHeight="1" x14ac:dyDescent="0.25">
      <c r="A958" s="1" t="s">
        <v>2032</v>
      </c>
      <c r="B958" s="1" t="str">
        <f>"9789240680791"</f>
        <v>9789240680791</v>
      </c>
      <c r="C958" s="1" t="s">
        <v>1981</v>
      </c>
      <c r="D958" s="2">
        <v>38353</v>
      </c>
      <c r="E958" s="1" t="s">
        <v>1981</v>
      </c>
      <c r="F958" s="1" t="s">
        <v>95</v>
      </c>
    </row>
    <row r="959" spans="1:6" ht="30" customHeight="1" x14ac:dyDescent="0.25">
      <c r="A959" s="1" t="s">
        <v>2033</v>
      </c>
      <c r="B959" s="1" t="str">
        <f>"9789290231042"</f>
        <v>9789290231042</v>
      </c>
      <c r="C959" s="1" t="s">
        <v>1981</v>
      </c>
      <c r="D959" s="2">
        <v>38718</v>
      </c>
      <c r="E959" s="1" t="s">
        <v>1981</v>
      </c>
      <c r="F959" s="1" t="s">
        <v>95</v>
      </c>
    </row>
    <row r="960" spans="1:6" ht="30" customHeight="1" x14ac:dyDescent="0.25">
      <c r="A960" s="1" t="s">
        <v>2034</v>
      </c>
      <c r="B960" s="1" t="str">
        <f>"9789240680777"</f>
        <v>9789240680777</v>
      </c>
      <c r="C960" s="1" t="s">
        <v>1981</v>
      </c>
      <c r="D960" s="2">
        <v>37257</v>
      </c>
      <c r="E960" s="1" t="s">
        <v>1981</v>
      </c>
      <c r="F960" s="1" t="s">
        <v>33</v>
      </c>
    </row>
    <row r="961" spans="1:6" ht="30" customHeight="1" x14ac:dyDescent="0.25">
      <c r="A961" s="1" t="s">
        <v>2035</v>
      </c>
      <c r="B961" s="1" t="str">
        <f>"9789240681453"</f>
        <v>9789240681453</v>
      </c>
      <c r="C961" s="1" t="s">
        <v>1981</v>
      </c>
      <c r="D961" s="2">
        <v>37622</v>
      </c>
      <c r="E961" s="1" t="s">
        <v>1981</v>
      </c>
      <c r="F961" s="1" t="s">
        <v>200</v>
      </c>
    </row>
    <row r="962" spans="1:6" ht="30" customHeight="1" x14ac:dyDescent="0.25">
      <c r="A962" s="1" t="s">
        <v>2036</v>
      </c>
      <c r="B962" s="1" t="str">
        <f>"9789240681392"</f>
        <v>9789240681392</v>
      </c>
      <c r="C962" s="1" t="s">
        <v>1981</v>
      </c>
      <c r="D962" s="2">
        <v>37622</v>
      </c>
      <c r="E962" s="1" t="s">
        <v>1981</v>
      </c>
      <c r="F962" s="1" t="s">
        <v>95</v>
      </c>
    </row>
    <row r="963" spans="1:6" ht="30" customHeight="1" x14ac:dyDescent="0.25">
      <c r="A963" s="1" t="s">
        <v>2037</v>
      </c>
      <c r="B963" s="1" t="str">
        <f>"9789240681101"</f>
        <v>9789240681101</v>
      </c>
      <c r="C963" s="1" t="s">
        <v>1981</v>
      </c>
      <c r="D963" s="2">
        <v>37622</v>
      </c>
      <c r="E963" s="1" t="s">
        <v>1981</v>
      </c>
      <c r="F963" s="1" t="s">
        <v>30</v>
      </c>
    </row>
    <row r="964" spans="1:6" ht="30" customHeight="1" x14ac:dyDescent="0.25">
      <c r="A964" s="1" t="s">
        <v>2038</v>
      </c>
      <c r="B964" s="1" t="str">
        <f>"9789240681200"</f>
        <v>9789240681200</v>
      </c>
      <c r="C964" s="1" t="s">
        <v>1981</v>
      </c>
      <c r="D964" s="2">
        <v>38718</v>
      </c>
      <c r="E964" s="1" t="s">
        <v>1981</v>
      </c>
      <c r="F964" s="1" t="s">
        <v>176</v>
      </c>
    </row>
    <row r="965" spans="1:6" ht="30" customHeight="1" x14ac:dyDescent="0.25">
      <c r="A965" s="1" t="s">
        <v>2039</v>
      </c>
      <c r="B965" s="1" t="str">
        <f>"9789240681781"</f>
        <v>9789240681781</v>
      </c>
      <c r="C965" s="1" t="s">
        <v>1981</v>
      </c>
      <c r="D965" s="2">
        <v>37987</v>
      </c>
      <c r="E965" s="1" t="s">
        <v>1981</v>
      </c>
      <c r="F965" s="1" t="s">
        <v>30</v>
      </c>
    </row>
    <row r="966" spans="1:6" ht="30" customHeight="1" x14ac:dyDescent="0.25">
      <c r="A966" s="1" t="s">
        <v>2040</v>
      </c>
      <c r="B966" s="1" t="str">
        <f>"9789240680029"</f>
        <v>9789240680029</v>
      </c>
      <c r="C966" s="1" t="s">
        <v>1981</v>
      </c>
      <c r="D966" s="2">
        <v>37257</v>
      </c>
      <c r="E966" s="1" t="s">
        <v>1981</v>
      </c>
      <c r="F966" s="1" t="s">
        <v>137</v>
      </c>
    </row>
    <row r="967" spans="1:6" ht="30" customHeight="1" x14ac:dyDescent="0.25">
      <c r="A967" s="1" t="s">
        <v>2041</v>
      </c>
      <c r="B967" s="1" t="str">
        <f>"9789240681675"</f>
        <v>9789240681675</v>
      </c>
      <c r="C967" s="1" t="s">
        <v>1981</v>
      </c>
      <c r="D967" s="2">
        <v>37622</v>
      </c>
      <c r="E967" s="1" t="s">
        <v>1981</v>
      </c>
      <c r="F967" s="1" t="s">
        <v>33</v>
      </c>
    </row>
    <row r="968" spans="1:6" ht="30" customHeight="1" x14ac:dyDescent="0.25">
      <c r="A968" s="1" t="s">
        <v>2042</v>
      </c>
      <c r="B968" s="1" t="str">
        <f>"9789240681637"</f>
        <v>9789240681637</v>
      </c>
      <c r="C968" s="1" t="s">
        <v>1981</v>
      </c>
      <c r="D968" s="2">
        <v>37257</v>
      </c>
      <c r="E968" s="1" t="s">
        <v>2043</v>
      </c>
      <c r="F968" s="1" t="s">
        <v>137</v>
      </c>
    </row>
    <row r="969" spans="1:6" ht="30" customHeight="1" x14ac:dyDescent="0.25">
      <c r="A969" s="1" t="s">
        <v>2044</v>
      </c>
      <c r="B969" s="1" t="str">
        <f>"9789240680081"</f>
        <v>9789240680081</v>
      </c>
      <c r="C969" s="1" t="s">
        <v>1981</v>
      </c>
      <c r="D969" s="2">
        <v>37987</v>
      </c>
      <c r="E969" s="1" t="s">
        <v>1981</v>
      </c>
      <c r="F969" s="1" t="s">
        <v>70</v>
      </c>
    </row>
    <row r="970" spans="1:6" ht="30" customHeight="1" x14ac:dyDescent="0.25">
      <c r="A970" s="1" t="s">
        <v>2045</v>
      </c>
      <c r="B970" s="1" t="str">
        <f>"9789240680166"</f>
        <v>9789240680166</v>
      </c>
      <c r="C970" s="1" t="s">
        <v>1981</v>
      </c>
      <c r="D970" s="2">
        <v>38718</v>
      </c>
      <c r="E970" s="1" t="s">
        <v>1981</v>
      </c>
      <c r="F970" s="1" t="s">
        <v>356</v>
      </c>
    </row>
    <row r="971" spans="1:6" ht="30" customHeight="1" x14ac:dyDescent="0.25">
      <c r="A971" s="1" t="s">
        <v>2046</v>
      </c>
      <c r="B971" s="1" t="str">
        <f>"9789240681712"</f>
        <v>9789240681712</v>
      </c>
      <c r="C971" s="1" t="s">
        <v>1981</v>
      </c>
      <c r="D971" s="2">
        <v>37257</v>
      </c>
      <c r="E971" s="1" t="s">
        <v>1981</v>
      </c>
      <c r="F971" s="1" t="s">
        <v>95</v>
      </c>
    </row>
    <row r="972" spans="1:6" ht="30" customHeight="1" x14ac:dyDescent="0.25">
      <c r="A972" s="1" t="s">
        <v>2047</v>
      </c>
      <c r="B972" s="1" t="str">
        <f>"9789240681729"</f>
        <v>9789240681729</v>
      </c>
      <c r="C972" s="1" t="s">
        <v>1981</v>
      </c>
      <c r="D972" s="2">
        <v>37622</v>
      </c>
      <c r="E972" s="1" t="s">
        <v>1981</v>
      </c>
      <c r="F972" s="1" t="s">
        <v>95</v>
      </c>
    </row>
    <row r="973" spans="1:6" ht="30" customHeight="1" x14ac:dyDescent="0.25">
      <c r="A973" s="1" t="s">
        <v>2048</v>
      </c>
      <c r="B973" s="1" t="str">
        <f>"9789240680678"</f>
        <v>9789240680678</v>
      </c>
      <c r="C973" s="1" t="s">
        <v>1981</v>
      </c>
      <c r="D973" s="2">
        <v>37257</v>
      </c>
      <c r="E973" s="1" t="s">
        <v>2049</v>
      </c>
      <c r="F973" s="1" t="s">
        <v>356</v>
      </c>
    </row>
    <row r="974" spans="1:6" ht="30" customHeight="1" x14ac:dyDescent="0.25">
      <c r="A974" s="1" t="s">
        <v>2050</v>
      </c>
      <c r="B974" s="1" t="str">
        <f>"9789240681231"</f>
        <v>9789240681231</v>
      </c>
      <c r="C974" s="1" t="s">
        <v>1981</v>
      </c>
      <c r="D974" s="2">
        <v>38718</v>
      </c>
      <c r="E974" s="1" t="s">
        <v>1981</v>
      </c>
      <c r="F974" s="1" t="s">
        <v>356</v>
      </c>
    </row>
    <row r="975" spans="1:6" ht="30" customHeight="1" x14ac:dyDescent="0.25">
      <c r="A975" s="1" t="s">
        <v>2051</v>
      </c>
      <c r="B975" s="1" t="str">
        <f>"9789240684478"</f>
        <v>9789240684478</v>
      </c>
      <c r="C975" s="1" t="s">
        <v>1981</v>
      </c>
      <c r="D975" s="2">
        <v>38353</v>
      </c>
      <c r="E975" s="1" t="s">
        <v>1981</v>
      </c>
      <c r="F975" s="1" t="s">
        <v>13</v>
      </c>
    </row>
    <row r="976" spans="1:6" ht="30" customHeight="1" x14ac:dyDescent="0.25">
      <c r="A976" s="1" t="s">
        <v>2052</v>
      </c>
      <c r="B976" s="1" t="str">
        <f>"9789240684430"</f>
        <v>9789240684430</v>
      </c>
      <c r="C976" s="1" t="s">
        <v>1981</v>
      </c>
      <c r="D976" s="2">
        <v>38353</v>
      </c>
      <c r="E976" s="1" t="s">
        <v>2053</v>
      </c>
      <c r="F976" s="1" t="s">
        <v>13</v>
      </c>
    </row>
    <row r="977" spans="1:6" ht="30" customHeight="1" x14ac:dyDescent="0.25">
      <c r="A977" s="1" t="s">
        <v>2054</v>
      </c>
      <c r="B977" s="1" t="str">
        <f>"9789240680876"</f>
        <v>9789240680876</v>
      </c>
      <c r="C977" s="1" t="s">
        <v>1981</v>
      </c>
      <c r="D977" s="2">
        <v>38353</v>
      </c>
      <c r="E977" s="1" t="s">
        <v>1981</v>
      </c>
      <c r="F977" s="1" t="s">
        <v>33</v>
      </c>
    </row>
    <row r="978" spans="1:6" ht="30" customHeight="1" x14ac:dyDescent="0.25">
      <c r="A978" s="1" t="s">
        <v>2055</v>
      </c>
      <c r="B978" s="1" t="str">
        <f>"9789240680982"</f>
        <v>9789240680982</v>
      </c>
      <c r="C978" s="1" t="s">
        <v>1981</v>
      </c>
      <c r="D978" s="2">
        <v>37622</v>
      </c>
      <c r="E978" s="1" t="s">
        <v>1981</v>
      </c>
      <c r="F978" s="1" t="s">
        <v>95</v>
      </c>
    </row>
    <row r="979" spans="1:6" ht="30" customHeight="1" x14ac:dyDescent="0.25">
      <c r="A979" s="1" t="s">
        <v>2056</v>
      </c>
      <c r="B979" s="1" t="str">
        <f>"9789240680463"</f>
        <v>9789240680463</v>
      </c>
      <c r="C979" s="1" t="s">
        <v>1981</v>
      </c>
      <c r="D979" s="2">
        <v>37987</v>
      </c>
      <c r="E979" s="1" t="s">
        <v>1981</v>
      </c>
      <c r="F979" s="1" t="s">
        <v>95</v>
      </c>
    </row>
    <row r="980" spans="1:6" ht="30" customHeight="1" x14ac:dyDescent="0.25">
      <c r="A980" s="1" t="s">
        <v>2057</v>
      </c>
      <c r="B980" s="1" t="str">
        <f>"9789240681347"</f>
        <v>9789240681347</v>
      </c>
      <c r="C980" s="1" t="s">
        <v>1981</v>
      </c>
      <c r="D980" s="2">
        <v>37622</v>
      </c>
      <c r="E980" s="1" t="s">
        <v>2058</v>
      </c>
      <c r="F980" s="1" t="s">
        <v>114</v>
      </c>
    </row>
    <row r="981" spans="1:6" ht="30" customHeight="1" x14ac:dyDescent="0.25">
      <c r="A981" s="1" t="s">
        <v>2059</v>
      </c>
      <c r="B981" s="1" t="str">
        <f>"9789240680111"</f>
        <v>9789240680111</v>
      </c>
      <c r="C981" s="1" t="s">
        <v>1981</v>
      </c>
      <c r="D981" s="2">
        <v>37622</v>
      </c>
      <c r="E981" s="1" t="s">
        <v>2060</v>
      </c>
      <c r="F981" s="1" t="s">
        <v>13</v>
      </c>
    </row>
    <row r="982" spans="1:6" ht="30" customHeight="1" x14ac:dyDescent="0.25">
      <c r="A982" s="1" t="s">
        <v>2061</v>
      </c>
      <c r="B982" s="1" t="str">
        <f>"9789240680715"</f>
        <v>9789240680715</v>
      </c>
      <c r="C982" s="1" t="s">
        <v>1981</v>
      </c>
      <c r="D982" s="2">
        <v>37987</v>
      </c>
      <c r="E982" s="1" t="s">
        <v>1981</v>
      </c>
      <c r="F982" s="1" t="s">
        <v>137</v>
      </c>
    </row>
    <row r="983" spans="1:6" ht="30" customHeight="1" x14ac:dyDescent="0.25">
      <c r="A983" s="1" t="s">
        <v>2062</v>
      </c>
      <c r="B983" s="1" t="str">
        <f>"9789240680548"</f>
        <v>9789240680548</v>
      </c>
      <c r="C983" s="1" t="s">
        <v>1981</v>
      </c>
      <c r="D983" s="2">
        <v>37622</v>
      </c>
      <c r="E983" s="1" t="s">
        <v>1981</v>
      </c>
      <c r="F983" s="1" t="s">
        <v>13</v>
      </c>
    </row>
    <row r="984" spans="1:6" ht="30" customHeight="1" x14ac:dyDescent="0.25">
      <c r="A984" s="1" t="s">
        <v>2063</v>
      </c>
      <c r="B984" s="1" t="str">
        <f>"9789240681118"</f>
        <v>9789240681118</v>
      </c>
      <c r="C984" s="1" t="s">
        <v>1981</v>
      </c>
      <c r="D984" s="2">
        <v>38353</v>
      </c>
      <c r="E984" s="1" t="s">
        <v>1981</v>
      </c>
      <c r="F984" s="1" t="s">
        <v>13</v>
      </c>
    </row>
    <row r="985" spans="1:6" ht="30" customHeight="1" x14ac:dyDescent="0.25">
      <c r="A985" s="1" t="s">
        <v>2064</v>
      </c>
      <c r="B985" s="1" t="str">
        <f>"9789240680135"</f>
        <v>9789240680135</v>
      </c>
      <c r="C985" s="1" t="s">
        <v>1981</v>
      </c>
      <c r="D985" s="2">
        <v>37257</v>
      </c>
      <c r="E985" s="1" t="s">
        <v>2065</v>
      </c>
      <c r="F985" s="1" t="s">
        <v>268</v>
      </c>
    </row>
    <row r="986" spans="1:6" ht="30" customHeight="1" x14ac:dyDescent="0.25">
      <c r="A986" s="1" t="s">
        <v>2066</v>
      </c>
      <c r="B986" s="1" t="str">
        <f>"9789240680142"</f>
        <v>9789240680142</v>
      </c>
      <c r="C986" s="1" t="s">
        <v>1981</v>
      </c>
      <c r="D986" s="2">
        <v>37987</v>
      </c>
      <c r="E986" s="1" t="s">
        <v>2067</v>
      </c>
      <c r="F986" s="1" t="s">
        <v>158</v>
      </c>
    </row>
    <row r="987" spans="1:6" ht="30" customHeight="1" x14ac:dyDescent="0.25">
      <c r="A987" s="1" t="s">
        <v>2068</v>
      </c>
      <c r="B987" s="1" t="str">
        <f>"9789240680173"</f>
        <v>9789240680173</v>
      </c>
      <c r="C987" s="1" t="s">
        <v>1981</v>
      </c>
      <c r="D987" s="2">
        <v>37257</v>
      </c>
      <c r="E987" s="1" t="s">
        <v>1981</v>
      </c>
      <c r="F987" s="1" t="s">
        <v>148</v>
      </c>
    </row>
    <row r="988" spans="1:6" ht="30" customHeight="1" x14ac:dyDescent="0.25">
      <c r="A988" s="1" t="s">
        <v>2069</v>
      </c>
      <c r="B988" s="1" t="str">
        <f>"9789240681811"</f>
        <v>9789240681811</v>
      </c>
      <c r="C988" s="1" t="s">
        <v>1981</v>
      </c>
      <c r="D988" s="2">
        <v>37257</v>
      </c>
      <c r="E988" s="1" t="s">
        <v>2070</v>
      </c>
      <c r="F988" s="1" t="s">
        <v>2071</v>
      </c>
    </row>
    <row r="989" spans="1:6" ht="30" customHeight="1" x14ac:dyDescent="0.25">
      <c r="A989" s="1" t="s">
        <v>2072</v>
      </c>
      <c r="B989" s="1" t="str">
        <f>"9789240680272"</f>
        <v>9789240680272</v>
      </c>
      <c r="C989" s="1" t="s">
        <v>1981</v>
      </c>
      <c r="D989" s="2">
        <v>37622</v>
      </c>
      <c r="E989" s="1" t="s">
        <v>1981</v>
      </c>
      <c r="F989" s="1" t="s">
        <v>2073</v>
      </c>
    </row>
    <row r="990" spans="1:6" ht="30" customHeight="1" x14ac:dyDescent="0.25">
      <c r="A990" s="1" t="s">
        <v>2074</v>
      </c>
      <c r="B990" s="1" t="str">
        <f>"9789240680258"</f>
        <v>9789240680258</v>
      </c>
      <c r="C990" s="1" t="s">
        <v>1981</v>
      </c>
      <c r="D990" s="2">
        <v>37257</v>
      </c>
      <c r="E990" s="1" t="s">
        <v>2075</v>
      </c>
      <c r="F990" s="1" t="s">
        <v>70</v>
      </c>
    </row>
    <row r="991" spans="1:6" ht="30" customHeight="1" x14ac:dyDescent="0.25">
      <c r="A991" s="1" t="s">
        <v>2076</v>
      </c>
      <c r="B991" s="1" t="str">
        <f>"9789240681552"</f>
        <v>9789240681552</v>
      </c>
      <c r="C991" s="1" t="s">
        <v>1981</v>
      </c>
      <c r="D991" s="2">
        <v>38718</v>
      </c>
      <c r="E991" s="1" t="s">
        <v>1981</v>
      </c>
      <c r="F991" s="1" t="s">
        <v>158</v>
      </c>
    </row>
    <row r="992" spans="1:6" ht="30" customHeight="1" x14ac:dyDescent="0.25">
      <c r="A992" s="1" t="s">
        <v>2077</v>
      </c>
      <c r="B992" s="1" t="str">
        <f>"9789240681316"</f>
        <v>9789240681316</v>
      </c>
      <c r="C992" s="1" t="s">
        <v>1981</v>
      </c>
      <c r="D992" s="2">
        <v>37257</v>
      </c>
      <c r="E992" s="1" t="s">
        <v>1981</v>
      </c>
      <c r="F992" s="1" t="s">
        <v>2078</v>
      </c>
    </row>
    <row r="993" spans="1:6" ht="30" customHeight="1" x14ac:dyDescent="0.25">
      <c r="A993" s="1" t="s">
        <v>2079</v>
      </c>
      <c r="B993" s="1" t="str">
        <f>"9789240681040"</f>
        <v>9789240681040</v>
      </c>
      <c r="C993" s="1" t="s">
        <v>1981</v>
      </c>
      <c r="D993" s="2">
        <v>38718</v>
      </c>
      <c r="E993" s="1" t="s">
        <v>1981</v>
      </c>
      <c r="F993" s="1" t="s">
        <v>356</v>
      </c>
    </row>
    <row r="994" spans="1:6" ht="30" customHeight="1" x14ac:dyDescent="0.25">
      <c r="A994" s="1" t="s">
        <v>2080</v>
      </c>
      <c r="B994" s="1" t="str">
        <f>"9789240680289"</f>
        <v>9789240680289</v>
      </c>
      <c r="C994" s="1" t="s">
        <v>1981</v>
      </c>
      <c r="D994" s="2">
        <v>38353</v>
      </c>
      <c r="E994" s="1" t="s">
        <v>2081</v>
      </c>
      <c r="F994" s="1" t="s">
        <v>1349</v>
      </c>
    </row>
    <row r="995" spans="1:6" ht="30" customHeight="1" x14ac:dyDescent="0.25">
      <c r="A995" s="1" t="s">
        <v>2082</v>
      </c>
      <c r="B995" s="1" t="str">
        <f>"9789240680470"</f>
        <v>9789240680470</v>
      </c>
      <c r="C995" s="1" t="s">
        <v>1981</v>
      </c>
      <c r="D995" s="2">
        <v>38718</v>
      </c>
      <c r="E995" s="1" t="s">
        <v>2083</v>
      </c>
      <c r="F995" s="1" t="s">
        <v>95</v>
      </c>
    </row>
    <row r="996" spans="1:6" ht="30" customHeight="1" x14ac:dyDescent="0.25">
      <c r="A996" s="1" t="s">
        <v>2084</v>
      </c>
      <c r="B996" s="1" t="str">
        <f>"9789289013895"</f>
        <v>9789289013895</v>
      </c>
      <c r="C996" s="1" t="s">
        <v>1981</v>
      </c>
      <c r="D996" s="2">
        <v>37257</v>
      </c>
      <c r="E996" s="1" t="s">
        <v>2085</v>
      </c>
      <c r="F996" s="1" t="s">
        <v>70</v>
      </c>
    </row>
    <row r="997" spans="1:6" ht="30" customHeight="1" x14ac:dyDescent="0.25">
      <c r="A997" s="1" t="s">
        <v>2086</v>
      </c>
      <c r="B997" s="1" t="str">
        <f>"9789240687318"</f>
        <v>9789240687318</v>
      </c>
      <c r="C997" s="1" t="s">
        <v>1981</v>
      </c>
      <c r="D997" s="2">
        <v>37622</v>
      </c>
      <c r="E997" s="1" t="s">
        <v>2087</v>
      </c>
      <c r="F997" s="1" t="s">
        <v>95</v>
      </c>
    </row>
    <row r="998" spans="1:6" ht="30" customHeight="1" x14ac:dyDescent="0.25">
      <c r="A998" s="1" t="s">
        <v>2088</v>
      </c>
      <c r="B998" s="1" t="str">
        <f>"9789240680609"</f>
        <v>9789240680609</v>
      </c>
      <c r="C998" s="1" t="s">
        <v>1981</v>
      </c>
      <c r="D998" s="2">
        <v>38353</v>
      </c>
      <c r="E998" s="1" t="s">
        <v>1981</v>
      </c>
      <c r="F998" s="1" t="s">
        <v>30</v>
      </c>
    </row>
    <row r="999" spans="1:6" ht="30" customHeight="1" x14ac:dyDescent="0.25">
      <c r="A999" s="1" t="s">
        <v>2089</v>
      </c>
      <c r="B999" s="1" t="str">
        <f>"9789240680012"</f>
        <v>9789240680012</v>
      </c>
      <c r="C999" s="1" t="s">
        <v>1981</v>
      </c>
      <c r="D999" s="2">
        <v>37257</v>
      </c>
      <c r="E999" s="1" t="s">
        <v>1981</v>
      </c>
      <c r="F999" s="1" t="s">
        <v>1985</v>
      </c>
    </row>
    <row r="1000" spans="1:6" ht="30" customHeight="1" x14ac:dyDescent="0.25">
      <c r="A1000" s="1" t="s">
        <v>2090</v>
      </c>
      <c r="B1000" s="1" t="str">
        <f>"9789240680159"</f>
        <v>9789240680159</v>
      </c>
      <c r="C1000" s="1" t="s">
        <v>1981</v>
      </c>
      <c r="D1000" s="2">
        <v>37622</v>
      </c>
      <c r="E1000" s="1" t="s">
        <v>1981</v>
      </c>
      <c r="F1000" s="1" t="s">
        <v>13</v>
      </c>
    </row>
    <row r="1001" spans="1:6" ht="30" customHeight="1" x14ac:dyDescent="0.25">
      <c r="A1001" s="1" t="s">
        <v>2091</v>
      </c>
      <c r="B1001" s="1" t="str">
        <f>"9789240681804"</f>
        <v>9789240681804</v>
      </c>
      <c r="C1001" s="1" t="s">
        <v>1981</v>
      </c>
      <c r="D1001" s="2">
        <v>37257</v>
      </c>
      <c r="E1001" s="1" t="s">
        <v>2092</v>
      </c>
      <c r="F1001" s="1" t="s">
        <v>148</v>
      </c>
    </row>
    <row r="1002" spans="1:6" ht="30" customHeight="1" x14ac:dyDescent="0.25">
      <c r="A1002" s="1" t="s">
        <v>2093</v>
      </c>
      <c r="B1002" s="1" t="str">
        <f>"9789240681651"</f>
        <v>9789240681651</v>
      </c>
      <c r="C1002" s="1" t="s">
        <v>1981</v>
      </c>
      <c r="D1002" s="2">
        <v>37257</v>
      </c>
      <c r="E1002" s="1" t="s">
        <v>1981</v>
      </c>
      <c r="F1002" s="1" t="s">
        <v>268</v>
      </c>
    </row>
    <row r="1003" spans="1:6" ht="30" customHeight="1" x14ac:dyDescent="0.25">
      <c r="A1003" s="1" t="s">
        <v>2094</v>
      </c>
      <c r="B1003" s="1" t="str">
        <f>"9789240680456"</f>
        <v>9789240680456</v>
      </c>
      <c r="C1003" s="1" t="s">
        <v>1981</v>
      </c>
      <c r="D1003" s="2">
        <v>37622</v>
      </c>
      <c r="E1003" s="1" t="s">
        <v>2095</v>
      </c>
      <c r="F1003" s="1" t="s">
        <v>356</v>
      </c>
    </row>
    <row r="1004" spans="1:6" ht="30" customHeight="1" x14ac:dyDescent="0.25">
      <c r="A1004" s="1" t="s">
        <v>2096</v>
      </c>
      <c r="B1004" s="1" t="str">
        <f>"9789240681361"</f>
        <v>9789240681361</v>
      </c>
      <c r="C1004" s="1" t="s">
        <v>1981</v>
      </c>
      <c r="D1004" s="2">
        <v>37257</v>
      </c>
      <c r="E1004" s="1" t="s">
        <v>2097</v>
      </c>
      <c r="F1004" s="1" t="s">
        <v>176</v>
      </c>
    </row>
    <row r="1005" spans="1:6" ht="30" customHeight="1" x14ac:dyDescent="0.25">
      <c r="A1005" s="1" t="s">
        <v>2098</v>
      </c>
      <c r="B1005" s="1" t="str">
        <f>"9789289021944"</f>
        <v>9789289021944</v>
      </c>
      <c r="C1005" s="1" t="s">
        <v>1981</v>
      </c>
      <c r="D1005" s="2">
        <v>38534</v>
      </c>
      <c r="E1005" s="1" t="s">
        <v>2099</v>
      </c>
      <c r="F1005" s="1" t="s">
        <v>95</v>
      </c>
    </row>
    <row r="1006" spans="1:6" ht="30" customHeight="1" x14ac:dyDescent="0.25">
      <c r="A1006" s="1" t="s">
        <v>2100</v>
      </c>
      <c r="B1006" s="1" t="str">
        <f>"9789240681156"</f>
        <v>9789240681156</v>
      </c>
      <c r="C1006" s="1" t="s">
        <v>1981</v>
      </c>
      <c r="D1006" s="2">
        <v>38718</v>
      </c>
      <c r="E1006" s="1" t="s">
        <v>2101</v>
      </c>
      <c r="F1006" s="1" t="s">
        <v>95</v>
      </c>
    </row>
    <row r="1007" spans="1:6" ht="30" customHeight="1" x14ac:dyDescent="0.25">
      <c r="A1007" s="1" t="s">
        <v>2102</v>
      </c>
      <c r="B1007" s="1" t="str">
        <f>"9789240680722"</f>
        <v>9789240680722</v>
      </c>
      <c r="C1007" s="1" t="s">
        <v>1981</v>
      </c>
      <c r="D1007" s="2">
        <v>37987</v>
      </c>
      <c r="E1007" s="1" t="s">
        <v>2103</v>
      </c>
      <c r="F1007" s="1" t="s">
        <v>599</v>
      </c>
    </row>
    <row r="1008" spans="1:6" ht="30" customHeight="1" x14ac:dyDescent="0.25">
      <c r="A1008" s="1" t="s">
        <v>2104</v>
      </c>
      <c r="B1008" s="1" t="str">
        <f>"9789289013970"</f>
        <v>9789289013970</v>
      </c>
      <c r="C1008" s="1" t="s">
        <v>1981</v>
      </c>
      <c r="D1008" s="2">
        <v>36161</v>
      </c>
      <c r="E1008" s="1" t="s">
        <v>2105</v>
      </c>
      <c r="F1008" s="1" t="s">
        <v>158</v>
      </c>
    </row>
    <row r="1009" spans="1:6" ht="30" customHeight="1" x14ac:dyDescent="0.25">
      <c r="A1009" s="1" t="s">
        <v>2106</v>
      </c>
      <c r="B1009" s="1" t="str">
        <f>"9789240681477"</f>
        <v>9789240681477</v>
      </c>
      <c r="C1009" s="1" t="s">
        <v>1981</v>
      </c>
      <c r="D1009" s="2">
        <v>36892</v>
      </c>
      <c r="E1009" s="1" t="s">
        <v>2107</v>
      </c>
      <c r="F1009" s="1" t="s">
        <v>2108</v>
      </c>
    </row>
    <row r="1010" spans="1:6" ht="30" customHeight="1" x14ac:dyDescent="0.25">
      <c r="A1010" s="1" t="s">
        <v>2109</v>
      </c>
      <c r="B1010" s="1" t="str">
        <f>"9789240681422"</f>
        <v>9789240681422</v>
      </c>
      <c r="C1010" s="1" t="s">
        <v>1981</v>
      </c>
      <c r="D1010" s="2">
        <v>37987</v>
      </c>
      <c r="E1010" s="1" t="s">
        <v>2110</v>
      </c>
      <c r="F1010" s="1" t="s">
        <v>13</v>
      </c>
    </row>
    <row r="1011" spans="1:6" ht="30" customHeight="1" x14ac:dyDescent="0.25">
      <c r="A1011" s="1" t="s">
        <v>2111</v>
      </c>
      <c r="B1011" s="1" t="str">
        <f>"9789289014014"</f>
        <v>9789289014014</v>
      </c>
      <c r="C1011" s="1" t="s">
        <v>1981</v>
      </c>
      <c r="D1011" s="2">
        <v>37622</v>
      </c>
      <c r="E1011" s="1" t="s">
        <v>2112</v>
      </c>
      <c r="F1011" s="1" t="s">
        <v>95</v>
      </c>
    </row>
    <row r="1012" spans="1:6" ht="30" customHeight="1" x14ac:dyDescent="0.25">
      <c r="A1012" s="1" t="s">
        <v>2113</v>
      </c>
      <c r="B1012" s="1" t="str">
        <f>"9789289014038"</f>
        <v>9789289014038</v>
      </c>
      <c r="C1012" s="1" t="s">
        <v>1981</v>
      </c>
      <c r="D1012" s="2">
        <v>36892</v>
      </c>
      <c r="E1012" s="1" t="s">
        <v>2114</v>
      </c>
      <c r="F1012" s="1" t="s">
        <v>1349</v>
      </c>
    </row>
    <row r="1013" spans="1:6" ht="30" customHeight="1" x14ac:dyDescent="0.25">
      <c r="A1013" s="1" t="s">
        <v>2115</v>
      </c>
      <c r="B1013" s="1" t="str">
        <f>"9789291736515"</f>
        <v>9789291736515</v>
      </c>
      <c r="C1013" s="1" t="s">
        <v>1981</v>
      </c>
      <c r="D1013" s="2">
        <v>37257</v>
      </c>
      <c r="E1013" s="1" t="s">
        <v>2117</v>
      </c>
      <c r="F1013" s="1" t="s">
        <v>148</v>
      </c>
    </row>
    <row r="1014" spans="1:6" ht="30" customHeight="1" x14ac:dyDescent="0.25">
      <c r="A1014" s="1" t="s">
        <v>2118</v>
      </c>
      <c r="B1014" s="1" t="str">
        <f>"9789240680357"</f>
        <v>9789240680357</v>
      </c>
      <c r="C1014" s="1" t="s">
        <v>1981</v>
      </c>
      <c r="D1014" s="2">
        <v>37257</v>
      </c>
      <c r="E1014" s="1" t="s">
        <v>2119</v>
      </c>
      <c r="F1014" s="1" t="s">
        <v>95</v>
      </c>
    </row>
    <row r="1015" spans="1:6" ht="30" customHeight="1" x14ac:dyDescent="0.25">
      <c r="A1015" s="1" t="s">
        <v>2120</v>
      </c>
      <c r="B1015" s="1" t="str">
        <f>"9789240680036"</f>
        <v>9789240680036</v>
      </c>
      <c r="C1015" s="1" t="s">
        <v>1981</v>
      </c>
      <c r="D1015" s="2">
        <v>38718</v>
      </c>
      <c r="E1015" s="1" t="s">
        <v>2121</v>
      </c>
      <c r="F1015" s="1" t="s">
        <v>158</v>
      </c>
    </row>
    <row r="1016" spans="1:6" ht="30" customHeight="1" x14ac:dyDescent="0.25">
      <c r="A1016" s="1" t="s">
        <v>2122</v>
      </c>
      <c r="B1016" s="1" t="str">
        <f>"9789240680951"</f>
        <v>9789240680951</v>
      </c>
      <c r="C1016" s="1" t="s">
        <v>1981</v>
      </c>
      <c r="D1016" s="2">
        <v>37622</v>
      </c>
      <c r="E1016" s="1" t="s">
        <v>2123</v>
      </c>
      <c r="F1016" s="1" t="s">
        <v>304</v>
      </c>
    </row>
    <row r="1017" spans="1:6" ht="30" customHeight="1" x14ac:dyDescent="0.25">
      <c r="A1017" s="1" t="s">
        <v>2124</v>
      </c>
      <c r="B1017" s="1" t="str">
        <f>"9789289021951"</f>
        <v>9789289021951</v>
      </c>
      <c r="C1017" s="1" t="s">
        <v>1981</v>
      </c>
      <c r="D1017" s="2">
        <v>38718</v>
      </c>
      <c r="E1017" s="1" t="s">
        <v>2125</v>
      </c>
      <c r="F1017" s="1" t="s">
        <v>158</v>
      </c>
    </row>
    <row r="1018" spans="1:6" ht="30" customHeight="1" x14ac:dyDescent="0.25">
      <c r="A1018" s="1" t="s">
        <v>2126</v>
      </c>
      <c r="B1018" s="1" t="str">
        <f>"9789240681507"</f>
        <v>9789240681507</v>
      </c>
      <c r="C1018" s="1" t="s">
        <v>1981</v>
      </c>
      <c r="D1018" s="2">
        <v>38718</v>
      </c>
      <c r="E1018" s="1" t="s">
        <v>2127</v>
      </c>
      <c r="F1018" s="1" t="s">
        <v>33</v>
      </c>
    </row>
    <row r="1019" spans="1:6" ht="30" customHeight="1" x14ac:dyDescent="0.25">
      <c r="A1019" s="1" t="s">
        <v>2128</v>
      </c>
      <c r="B1019" s="1" t="str">
        <f>"9789240680746"</f>
        <v>9789240680746</v>
      </c>
      <c r="C1019" s="1" t="s">
        <v>1981</v>
      </c>
      <c r="D1019" s="2">
        <v>37257</v>
      </c>
      <c r="E1019" s="1" t="s">
        <v>2129</v>
      </c>
      <c r="F1019" s="1" t="s">
        <v>2130</v>
      </c>
    </row>
    <row r="1020" spans="1:6" ht="30" customHeight="1" x14ac:dyDescent="0.25">
      <c r="A1020" s="1" t="s">
        <v>2131</v>
      </c>
      <c r="B1020" s="1" t="str">
        <f>"9789289013956"</f>
        <v>9789289013956</v>
      </c>
      <c r="C1020" s="1" t="s">
        <v>1981</v>
      </c>
      <c r="D1020" s="2">
        <v>36526</v>
      </c>
      <c r="E1020" s="1" t="s">
        <v>2132</v>
      </c>
      <c r="F1020" s="1" t="s">
        <v>356</v>
      </c>
    </row>
    <row r="1021" spans="1:6" ht="30" customHeight="1" x14ac:dyDescent="0.25">
      <c r="A1021" s="1" t="s">
        <v>2133</v>
      </c>
      <c r="B1021" s="1" t="str">
        <f>"9789240680685"</f>
        <v>9789240680685</v>
      </c>
      <c r="C1021" s="1" t="s">
        <v>1981</v>
      </c>
      <c r="D1021" s="2">
        <v>37987</v>
      </c>
      <c r="E1021" s="1" t="s">
        <v>2134</v>
      </c>
      <c r="F1021" s="1" t="s">
        <v>158</v>
      </c>
    </row>
    <row r="1022" spans="1:6" ht="30" customHeight="1" x14ac:dyDescent="0.25">
      <c r="A1022" s="1" t="s">
        <v>2135</v>
      </c>
      <c r="B1022" s="1" t="str">
        <f>"9789240681484"</f>
        <v>9789240681484</v>
      </c>
      <c r="C1022" s="1" t="s">
        <v>1981</v>
      </c>
      <c r="D1022" s="2">
        <v>38353</v>
      </c>
      <c r="E1022" s="1" t="s">
        <v>2136</v>
      </c>
      <c r="F1022" s="1" t="s">
        <v>1344</v>
      </c>
    </row>
    <row r="1023" spans="1:6" ht="30" customHeight="1" x14ac:dyDescent="0.25">
      <c r="A1023" s="1" t="s">
        <v>2137</v>
      </c>
      <c r="B1023" s="1" t="str">
        <f>"9789291736492"</f>
        <v>9789291736492</v>
      </c>
      <c r="C1023" s="1" t="s">
        <v>1981</v>
      </c>
      <c r="D1023" s="2">
        <v>37257</v>
      </c>
      <c r="E1023" s="1" t="s">
        <v>2116</v>
      </c>
      <c r="F1023" s="1" t="s">
        <v>176</v>
      </c>
    </row>
    <row r="1024" spans="1:6" ht="30" customHeight="1" x14ac:dyDescent="0.25">
      <c r="A1024" s="1" t="s">
        <v>2138</v>
      </c>
      <c r="B1024" s="1" t="str">
        <f>"9789291736508"</f>
        <v>9789291736508</v>
      </c>
      <c r="C1024" s="1" t="s">
        <v>1981</v>
      </c>
      <c r="D1024" s="2">
        <v>37255</v>
      </c>
      <c r="E1024" s="1" t="s">
        <v>2116</v>
      </c>
      <c r="F1024" s="1" t="s">
        <v>158</v>
      </c>
    </row>
    <row r="1025" spans="1:6" ht="30" customHeight="1" x14ac:dyDescent="0.25">
      <c r="A1025" s="1" t="s">
        <v>2139</v>
      </c>
      <c r="B1025" s="1" t="str">
        <f>"9789291736461"</f>
        <v>9789291736461</v>
      </c>
      <c r="C1025" s="1" t="s">
        <v>1981</v>
      </c>
      <c r="D1025" s="2">
        <v>37622</v>
      </c>
      <c r="E1025" s="1" t="s">
        <v>2116</v>
      </c>
      <c r="F1025" s="1" t="s">
        <v>148</v>
      </c>
    </row>
    <row r="1026" spans="1:6" ht="30" customHeight="1" x14ac:dyDescent="0.25">
      <c r="A1026" s="1" t="s">
        <v>2140</v>
      </c>
      <c r="B1026" s="1" t="str">
        <f>"9781280093340"</f>
        <v>9781280093340</v>
      </c>
      <c r="C1026" s="1" t="s">
        <v>1981</v>
      </c>
      <c r="D1026" s="2">
        <v>37438</v>
      </c>
      <c r="E1026" s="1" t="s">
        <v>2116</v>
      </c>
      <c r="F1026" s="1" t="s">
        <v>30</v>
      </c>
    </row>
    <row r="1027" spans="1:6" ht="30" customHeight="1" x14ac:dyDescent="0.25">
      <c r="A1027" s="1" t="s">
        <v>2141</v>
      </c>
      <c r="B1027" s="1" t="str">
        <f>"9789291736478"</f>
        <v>9789291736478</v>
      </c>
      <c r="C1027" s="1" t="s">
        <v>1981</v>
      </c>
      <c r="D1027" s="2">
        <v>37104</v>
      </c>
      <c r="E1027" s="1" t="s">
        <v>2116</v>
      </c>
      <c r="F1027" s="1" t="s">
        <v>30</v>
      </c>
    </row>
    <row r="1028" spans="1:6" ht="30" customHeight="1" x14ac:dyDescent="0.25">
      <c r="A1028" s="1" t="s">
        <v>2142</v>
      </c>
      <c r="B1028" s="1" t="str">
        <f>"9789240681521"</f>
        <v>9789240681521</v>
      </c>
      <c r="C1028" s="1" t="s">
        <v>1981</v>
      </c>
      <c r="D1028" s="2">
        <v>37987</v>
      </c>
      <c r="E1028" s="1" t="s">
        <v>2143</v>
      </c>
      <c r="F1028" s="1" t="s">
        <v>2144</v>
      </c>
    </row>
    <row r="1029" spans="1:6" ht="30" customHeight="1" x14ac:dyDescent="0.25">
      <c r="A1029" s="1" t="s">
        <v>2145</v>
      </c>
      <c r="B1029" s="1" t="str">
        <f>"9789240681255"</f>
        <v>9789240681255</v>
      </c>
      <c r="C1029" s="1" t="s">
        <v>1981</v>
      </c>
      <c r="D1029" s="2">
        <v>37987</v>
      </c>
      <c r="E1029" s="1" t="s">
        <v>1981</v>
      </c>
      <c r="F1029" s="1" t="s">
        <v>2146</v>
      </c>
    </row>
    <row r="1030" spans="1:6" ht="30" customHeight="1" x14ac:dyDescent="0.25">
      <c r="A1030" s="1" t="s">
        <v>2147</v>
      </c>
      <c r="B1030" s="1" t="str">
        <f>"9789291736539"</f>
        <v>9789291736539</v>
      </c>
      <c r="C1030" s="1" t="s">
        <v>1981</v>
      </c>
      <c r="D1030" s="2">
        <v>36531</v>
      </c>
      <c r="E1030" s="1" t="s">
        <v>1981</v>
      </c>
      <c r="F1030" s="1" t="s">
        <v>95</v>
      </c>
    </row>
    <row r="1031" spans="1:6" ht="30" customHeight="1" x14ac:dyDescent="0.25">
      <c r="A1031" s="1" t="s">
        <v>2148</v>
      </c>
      <c r="B1031" s="1" t="str">
        <f>"9789240685505"</f>
        <v>9789240685505</v>
      </c>
      <c r="C1031" s="1" t="s">
        <v>1981</v>
      </c>
      <c r="D1031" s="2">
        <v>38718</v>
      </c>
      <c r="E1031" s="1" t="s">
        <v>2149</v>
      </c>
      <c r="F1031" s="1" t="s">
        <v>356</v>
      </c>
    </row>
    <row r="1032" spans="1:6" ht="30" customHeight="1" x14ac:dyDescent="0.25">
      <c r="A1032" s="1" t="s">
        <v>2150</v>
      </c>
      <c r="B1032" s="1" t="str">
        <f>"9789289013925"</f>
        <v>9789289013925</v>
      </c>
      <c r="C1032" s="1" t="s">
        <v>1981</v>
      </c>
      <c r="D1032" s="2">
        <v>37621</v>
      </c>
      <c r="E1032" s="1" t="s">
        <v>1981</v>
      </c>
      <c r="F1032" s="1" t="s">
        <v>30</v>
      </c>
    </row>
    <row r="1033" spans="1:6" ht="30" customHeight="1" x14ac:dyDescent="0.25">
      <c r="A1033" s="1" t="s">
        <v>2151</v>
      </c>
      <c r="B1033" s="1" t="str">
        <f>"9789240680302"</f>
        <v>9789240680302</v>
      </c>
      <c r="C1033" s="1" t="s">
        <v>1981</v>
      </c>
      <c r="D1033" s="2">
        <v>37622</v>
      </c>
      <c r="E1033" s="1" t="s">
        <v>2152</v>
      </c>
      <c r="F1033" s="1" t="s">
        <v>95</v>
      </c>
    </row>
    <row r="1034" spans="1:6" ht="30" customHeight="1" x14ac:dyDescent="0.25">
      <c r="A1034" s="1" t="s">
        <v>2153</v>
      </c>
      <c r="B1034" s="1" t="str">
        <f>"9789240680364"</f>
        <v>9789240680364</v>
      </c>
      <c r="C1034" s="1" t="s">
        <v>1981</v>
      </c>
      <c r="D1034" s="2">
        <v>38718</v>
      </c>
      <c r="E1034" s="1" t="s">
        <v>1981</v>
      </c>
      <c r="F1034" s="1" t="s">
        <v>30</v>
      </c>
    </row>
    <row r="1035" spans="1:6" ht="30" customHeight="1" x14ac:dyDescent="0.25">
      <c r="A1035" s="1" t="s">
        <v>2154</v>
      </c>
      <c r="B1035" s="1" t="str">
        <f>"9789240680586"</f>
        <v>9789240680586</v>
      </c>
      <c r="C1035" s="1" t="s">
        <v>1981</v>
      </c>
      <c r="D1035" s="2">
        <v>38718</v>
      </c>
      <c r="E1035" s="1" t="s">
        <v>1981</v>
      </c>
      <c r="F1035" s="1" t="s">
        <v>13</v>
      </c>
    </row>
    <row r="1036" spans="1:6" ht="30" customHeight="1" x14ac:dyDescent="0.25">
      <c r="A1036" s="1" t="s">
        <v>2155</v>
      </c>
      <c r="B1036" s="1" t="str">
        <f>"9789240680883"</f>
        <v>9789240680883</v>
      </c>
      <c r="C1036" s="1" t="s">
        <v>1981</v>
      </c>
      <c r="D1036" s="2">
        <v>38718</v>
      </c>
      <c r="E1036" s="1" t="s">
        <v>1981</v>
      </c>
      <c r="F1036" s="1" t="s">
        <v>148</v>
      </c>
    </row>
    <row r="1037" spans="1:6" ht="30" customHeight="1" x14ac:dyDescent="0.25">
      <c r="A1037" s="1" t="s">
        <v>2156</v>
      </c>
      <c r="B1037" s="1" t="str">
        <f>"9789240680937"</f>
        <v>9789240680937</v>
      </c>
      <c r="C1037" s="1" t="s">
        <v>1981</v>
      </c>
      <c r="D1037" s="2">
        <v>38353</v>
      </c>
      <c r="E1037" s="1" t="s">
        <v>1981</v>
      </c>
      <c r="F1037" s="1" t="s">
        <v>268</v>
      </c>
    </row>
    <row r="1038" spans="1:6" ht="30" customHeight="1" x14ac:dyDescent="0.25">
      <c r="A1038" s="1" t="s">
        <v>2157</v>
      </c>
      <c r="B1038" s="1" t="str">
        <f>"9789240680944"</f>
        <v>9789240680944</v>
      </c>
      <c r="C1038" s="1" t="s">
        <v>1981</v>
      </c>
      <c r="D1038" s="2">
        <v>37987</v>
      </c>
      <c r="E1038" s="1" t="s">
        <v>1981</v>
      </c>
      <c r="F1038" s="1" t="s">
        <v>114</v>
      </c>
    </row>
    <row r="1039" spans="1:6" ht="30" customHeight="1" x14ac:dyDescent="0.25">
      <c r="A1039" s="1" t="s">
        <v>2158</v>
      </c>
      <c r="B1039" s="1" t="str">
        <f>"9781280268670"</f>
        <v>9781280268670</v>
      </c>
      <c r="C1039" s="1" t="s">
        <v>1981</v>
      </c>
      <c r="D1039" s="2">
        <v>38353</v>
      </c>
      <c r="E1039" s="1" t="s">
        <v>1981</v>
      </c>
      <c r="F1039" s="1" t="s">
        <v>30</v>
      </c>
    </row>
    <row r="1040" spans="1:6" ht="30" customHeight="1" x14ac:dyDescent="0.25">
      <c r="A1040" s="1" t="s">
        <v>2159</v>
      </c>
      <c r="B1040" s="1" t="str">
        <f>"9789291736522"</f>
        <v>9789291736522</v>
      </c>
      <c r="C1040" s="1" t="s">
        <v>1981</v>
      </c>
      <c r="D1040" s="2">
        <v>37987</v>
      </c>
      <c r="E1040" s="1" t="s">
        <v>1981</v>
      </c>
      <c r="F1040" s="1" t="s">
        <v>33</v>
      </c>
    </row>
    <row r="1041" spans="1:6" ht="30" customHeight="1" x14ac:dyDescent="0.25">
      <c r="A1041" s="1" t="s">
        <v>2160</v>
      </c>
      <c r="B1041" s="1" t="str">
        <f>"9781280542756"</f>
        <v>9781280542756</v>
      </c>
      <c r="C1041" s="1" t="s">
        <v>1981</v>
      </c>
      <c r="D1041" s="2">
        <v>38718</v>
      </c>
      <c r="E1041" s="1" t="s">
        <v>1981</v>
      </c>
      <c r="F1041" s="1" t="s">
        <v>95</v>
      </c>
    </row>
    <row r="1042" spans="1:6" ht="30" customHeight="1" x14ac:dyDescent="0.25">
      <c r="A1042" s="1" t="s">
        <v>2161</v>
      </c>
      <c r="B1042" s="1" t="str">
        <f>"9789240681262"</f>
        <v>9789240681262</v>
      </c>
      <c r="C1042" s="1" t="s">
        <v>1981</v>
      </c>
      <c r="D1042" s="2">
        <v>37987</v>
      </c>
      <c r="E1042" s="1" t="s">
        <v>1981</v>
      </c>
      <c r="F1042" s="1" t="s">
        <v>13</v>
      </c>
    </row>
    <row r="1043" spans="1:6" ht="30" customHeight="1" x14ac:dyDescent="0.25">
      <c r="A1043" s="1" t="s">
        <v>2162</v>
      </c>
      <c r="B1043" s="1" t="str">
        <f>"9789240681330"</f>
        <v>9789240681330</v>
      </c>
      <c r="C1043" s="1" t="s">
        <v>1981</v>
      </c>
      <c r="D1043" s="2">
        <v>37257</v>
      </c>
      <c r="E1043" s="1" t="s">
        <v>1981</v>
      </c>
      <c r="F1043" s="1" t="s">
        <v>13</v>
      </c>
    </row>
    <row r="1044" spans="1:6" ht="30" customHeight="1" x14ac:dyDescent="0.25">
      <c r="A1044" s="1" t="s">
        <v>2163</v>
      </c>
      <c r="B1044" s="1" t="str">
        <f>"9789240680739"</f>
        <v>9789240680739</v>
      </c>
      <c r="C1044" s="1" t="s">
        <v>1981</v>
      </c>
      <c r="D1044" s="2">
        <v>37257</v>
      </c>
      <c r="E1044" s="1" t="s">
        <v>1981</v>
      </c>
      <c r="F1044" s="1" t="s">
        <v>114</v>
      </c>
    </row>
    <row r="1045" spans="1:6" ht="30" customHeight="1" x14ac:dyDescent="0.25">
      <c r="A1045" s="1" t="s">
        <v>2164</v>
      </c>
      <c r="B1045" s="1" t="str">
        <f>"9789240681323"</f>
        <v>9789240681323</v>
      </c>
      <c r="C1045" s="1" t="s">
        <v>1981</v>
      </c>
      <c r="D1045" s="2">
        <v>37987</v>
      </c>
      <c r="E1045" s="1" t="s">
        <v>1981</v>
      </c>
      <c r="F1045" s="1" t="s">
        <v>95</v>
      </c>
    </row>
    <row r="1046" spans="1:6" ht="30" customHeight="1" x14ac:dyDescent="0.25">
      <c r="A1046" s="1" t="s">
        <v>2165</v>
      </c>
      <c r="B1046" s="1" t="str">
        <f>"9789240681514"</f>
        <v>9789240681514</v>
      </c>
      <c r="C1046" s="1" t="s">
        <v>1981</v>
      </c>
      <c r="D1046" s="2">
        <v>38353</v>
      </c>
      <c r="E1046" s="1" t="s">
        <v>1981</v>
      </c>
      <c r="F1046" s="1" t="s">
        <v>2144</v>
      </c>
    </row>
    <row r="1047" spans="1:6" ht="30" customHeight="1" x14ac:dyDescent="0.25">
      <c r="A1047" s="1" t="s">
        <v>2166</v>
      </c>
      <c r="B1047" s="1" t="str">
        <f>"9789240681569"</f>
        <v>9789240681569</v>
      </c>
      <c r="C1047" s="1" t="s">
        <v>1981</v>
      </c>
      <c r="D1047" s="2">
        <v>38353</v>
      </c>
      <c r="E1047" s="1" t="s">
        <v>1981</v>
      </c>
      <c r="F1047" s="1" t="s">
        <v>33</v>
      </c>
    </row>
    <row r="1048" spans="1:6" ht="30" customHeight="1" x14ac:dyDescent="0.25">
      <c r="A1048" s="1" t="s">
        <v>2167</v>
      </c>
      <c r="B1048" s="1" t="str">
        <f>"9789240681576"</f>
        <v>9789240681576</v>
      </c>
      <c r="C1048" s="1" t="s">
        <v>1981</v>
      </c>
      <c r="D1048" s="2">
        <v>37622</v>
      </c>
      <c r="E1048" s="1" t="s">
        <v>1981</v>
      </c>
      <c r="F1048" s="1" t="s">
        <v>2168</v>
      </c>
    </row>
    <row r="1049" spans="1:6" ht="30" customHeight="1" x14ac:dyDescent="0.25">
      <c r="A1049" s="1" t="s">
        <v>2169</v>
      </c>
      <c r="B1049" s="1" t="str">
        <f>"9789240681583"</f>
        <v>9789240681583</v>
      </c>
      <c r="C1049" s="1" t="s">
        <v>1981</v>
      </c>
      <c r="D1049" s="2">
        <v>38353</v>
      </c>
      <c r="E1049" s="1" t="s">
        <v>1981</v>
      </c>
      <c r="F1049" s="1" t="s">
        <v>70</v>
      </c>
    </row>
    <row r="1050" spans="1:6" ht="30" customHeight="1" x14ac:dyDescent="0.25">
      <c r="A1050" s="1" t="s">
        <v>2170</v>
      </c>
      <c r="B1050" s="1" t="str">
        <f>"9789240681699"</f>
        <v>9789240681699</v>
      </c>
      <c r="C1050" s="1" t="s">
        <v>1981</v>
      </c>
      <c r="D1050" s="2">
        <v>36526</v>
      </c>
      <c r="E1050" s="1" t="s">
        <v>2149</v>
      </c>
      <c r="F1050" s="1" t="s">
        <v>30</v>
      </c>
    </row>
    <row r="1051" spans="1:6" ht="30" customHeight="1" x14ac:dyDescent="0.25">
      <c r="A1051" s="1" t="s">
        <v>2171</v>
      </c>
      <c r="B1051" s="1" t="str">
        <f>"9789240681705"</f>
        <v>9789240681705</v>
      </c>
      <c r="C1051" s="1" t="s">
        <v>1981</v>
      </c>
      <c r="D1051" s="2">
        <v>36892</v>
      </c>
      <c r="E1051" s="1" t="s">
        <v>2149</v>
      </c>
      <c r="F1051" s="1" t="s">
        <v>30</v>
      </c>
    </row>
    <row r="1052" spans="1:6" ht="30" customHeight="1" x14ac:dyDescent="0.25">
      <c r="A1052" s="1" t="s">
        <v>2172</v>
      </c>
      <c r="B1052" s="1" t="str">
        <f>"9789240680593"</f>
        <v>9789240680593</v>
      </c>
      <c r="C1052" s="1" t="s">
        <v>1981</v>
      </c>
      <c r="D1052" s="2">
        <v>36892</v>
      </c>
      <c r="E1052" s="1" t="s">
        <v>2173</v>
      </c>
      <c r="F1052" s="1" t="s">
        <v>33</v>
      </c>
    </row>
    <row r="1053" spans="1:6" ht="30" customHeight="1" x14ac:dyDescent="0.25">
      <c r="A1053" s="1" t="s">
        <v>2174</v>
      </c>
      <c r="B1053" s="1" t="str">
        <f>"9780976154778"</f>
        <v>9780976154778</v>
      </c>
      <c r="C1053" s="1" t="s">
        <v>2175</v>
      </c>
      <c r="D1053" s="2">
        <v>39142</v>
      </c>
      <c r="E1053" s="1" t="s">
        <v>2176</v>
      </c>
      <c r="F1053" s="1" t="s">
        <v>13</v>
      </c>
    </row>
    <row r="1054" spans="1:6" ht="30" customHeight="1" x14ac:dyDescent="0.25">
      <c r="A1054" s="1" t="s">
        <v>2177</v>
      </c>
      <c r="B1054" s="1" t="str">
        <f>"9781846631719"</f>
        <v>9781846631719</v>
      </c>
      <c r="C1054" s="1" t="s">
        <v>971</v>
      </c>
      <c r="D1054" s="2">
        <v>38996</v>
      </c>
      <c r="E1054" s="1" t="s">
        <v>2178</v>
      </c>
      <c r="F1054" s="1" t="s">
        <v>13</v>
      </c>
    </row>
    <row r="1055" spans="1:6" ht="30" customHeight="1" x14ac:dyDescent="0.25">
      <c r="A1055" s="1" t="s">
        <v>2179</v>
      </c>
      <c r="B1055" s="1" t="str">
        <f>"9781846632136"</f>
        <v>9781846632136</v>
      </c>
      <c r="C1055" s="1" t="s">
        <v>971</v>
      </c>
      <c r="D1055" s="2">
        <v>39017</v>
      </c>
      <c r="E1055" s="1" t="s">
        <v>2180</v>
      </c>
      <c r="F1055" s="1" t="s">
        <v>30</v>
      </c>
    </row>
    <row r="1056" spans="1:6" ht="30" customHeight="1" x14ac:dyDescent="0.25">
      <c r="A1056" s="1" t="s">
        <v>2181</v>
      </c>
      <c r="B1056" s="1" t="str">
        <f>"9781846631993"</f>
        <v>9781846631993</v>
      </c>
      <c r="C1056" s="1" t="s">
        <v>971</v>
      </c>
      <c r="D1056" s="2">
        <v>39003</v>
      </c>
      <c r="E1056" s="1" t="s">
        <v>2182</v>
      </c>
      <c r="F1056" s="1" t="s">
        <v>95</v>
      </c>
    </row>
    <row r="1057" spans="1:6" ht="30" customHeight="1" x14ac:dyDescent="0.25">
      <c r="A1057" s="1" t="s">
        <v>2183</v>
      </c>
      <c r="B1057" s="1" t="str">
        <f>"9780080470610"</f>
        <v>9780080470610</v>
      </c>
      <c r="C1057" s="1" t="s">
        <v>900</v>
      </c>
      <c r="D1057" s="2">
        <v>38391</v>
      </c>
      <c r="E1057" s="1" t="s">
        <v>2184</v>
      </c>
      <c r="F1057" s="1" t="s">
        <v>2185</v>
      </c>
    </row>
    <row r="1058" spans="1:6" ht="30" customHeight="1" x14ac:dyDescent="0.25">
      <c r="A1058" s="1" t="s">
        <v>2186</v>
      </c>
      <c r="B1058" s="1" t="str">
        <f>"9780080468532"</f>
        <v>9780080468532</v>
      </c>
      <c r="C1058" s="1" t="s">
        <v>900</v>
      </c>
      <c r="D1058" s="2">
        <v>38345</v>
      </c>
      <c r="E1058" s="1" t="s">
        <v>2187</v>
      </c>
      <c r="F1058" s="1" t="s">
        <v>33</v>
      </c>
    </row>
    <row r="1059" spans="1:6" ht="30" customHeight="1" x14ac:dyDescent="0.25">
      <c r="A1059" s="1" t="s">
        <v>2188</v>
      </c>
      <c r="B1059" s="1" t="str">
        <f>"9780080470801"</f>
        <v>9780080470801</v>
      </c>
      <c r="C1059" s="1" t="s">
        <v>900</v>
      </c>
      <c r="D1059" s="2">
        <v>38677</v>
      </c>
      <c r="E1059" s="1" t="s">
        <v>2189</v>
      </c>
      <c r="F1059" s="1" t="s">
        <v>13</v>
      </c>
    </row>
    <row r="1060" spans="1:6" ht="30" customHeight="1" x14ac:dyDescent="0.25">
      <c r="A1060" s="1" t="s">
        <v>2190</v>
      </c>
      <c r="B1060" s="1" t="str">
        <f>"9780080470726"</f>
        <v>9780080470726</v>
      </c>
      <c r="C1060" s="1" t="s">
        <v>900</v>
      </c>
      <c r="D1060" s="2">
        <v>38573</v>
      </c>
      <c r="E1060" s="1" t="s">
        <v>2191</v>
      </c>
      <c r="F1060" s="1" t="s">
        <v>63</v>
      </c>
    </row>
    <row r="1061" spans="1:6" ht="30" customHeight="1" x14ac:dyDescent="0.25">
      <c r="A1061" s="1" t="s">
        <v>2192</v>
      </c>
      <c r="B1061" s="1" t="str">
        <f>"9780080470740"</f>
        <v>9780080470740</v>
      </c>
      <c r="C1061" s="1" t="s">
        <v>900</v>
      </c>
      <c r="D1061" s="2">
        <v>38587</v>
      </c>
      <c r="E1061" s="1" t="s">
        <v>2193</v>
      </c>
      <c r="F1061" s="1" t="s">
        <v>13</v>
      </c>
    </row>
    <row r="1062" spans="1:6" ht="30" customHeight="1" x14ac:dyDescent="0.25">
      <c r="A1062" s="1" t="s">
        <v>2194</v>
      </c>
      <c r="B1062" s="1" t="str">
        <f>"9781280841804"</f>
        <v>9781280841804</v>
      </c>
      <c r="C1062" s="1" t="s">
        <v>1981</v>
      </c>
      <c r="D1062" s="2">
        <v>38687</v>
      </c>
      <c r="E1062" s="1" t="s">
        <v>1981</v>
      </c>
      <c r="F1062" s="1" t="s">
        <v>33</v>
      </c>
    </row>
    <row r="1063" spans="1:6" ht="30" customHeight="1" x14ac:dyDescent="0.25">
      <c r="A1063" s="1" t="s">
        <v>2195</v>
      </c>
      <c r="B1063" s="1" t="str">
        <f>"9789289024013"</f>
        <v>9789289024013</v>
      </c>
      <c r="C1063" s="1" t="s">
        <v>1981</v>
      </c>
      <c r="D1063" s="2">
        <v>37987</v>
      </c>
      <c r="E1063" s="1" t="s">
        <v>2112</v>
      </c>
      <c r="F1063" s="1" t="s">
        <v>95</v>
      </c>
    </row>
    <row r="1064" spans="1:6" ht="30" customHeight="1" x14ac:dyDescent="0.25">
      <c r="A1064" s="1" t="s">
        <v>2196</v>
      </c>
      <c r="B1064" s="1" t="str">
        <f>"9789240681897"</f>
        <v>9789240681897</v>
      </c>
      <c r="C1064" s="1" t="s">
        <v>1981</v>
      </c>
      <c r="D1064" s="2">
        <v>38718</v>
      </c>
      <c r="E1064" s="1" t="s">
        <v>1981</v>
      </c>
      <c r="F1064" s="1" t="s">
        <v>95</v>
      </c>
    </row>
    <row r="1065" spans="1:6" ht="30" customHeight="1" x14ac:dyDescent="0.25">
      <c r="A1065" s="1" t="s">
        <v>2197</v>
      </c>
      <c r="B1065" s="1" t="str">
        <f>"9789240681903"</f>
        <v>9789240681903</v>
      </c>
      <c r="C1065" s="1" t="s">
        <v>1981</v>
      </c>
      <c r="D1065" s="2">
        <v>38718</v>
      </c>
      <c r="E1065" s="1" t="s">
        <v>1981</v>
      </c>
      <c r="F1065" s="1" t="s">
        <v>214</v>
      </c>
    </row>
    <row r="1066" spans="1:6" ht="30" customHeight="1" x14ac:dyDescent="0.25">
      <c r="A1066" s="1" t="s">
        <v>2198</v>
      </c>
      <c r="B1066" s="1" t="str">
        <f>"9789240681910"</f>
        <v>9789240681910</v>
      </c>
      <c r="C1066" s="1" t="s">
        <v>1981</v>
      </c>
      <c r="D1066" s="2">
        <v>38718</v>
      </c>
      <c r="E1066" s="1" t="s">
        <v>2199</v>
      </c>
      <c r="F1066" s="1" t="s">
        <v>95</v>
      </c>
    </row>
    <row r="1067" spans="1:6" ht="30" customHeight="1" x14ac:dyDescent="0.25">
      <c r="A1067" s="1" t="s">
        <v>2200</v>
      </c>
      <c r="B1067" s="1" t="str">
        <f>"9789240681927"</f>
        <v>9789240681927</v>
      </c>
      <c r="C1067" s="1" t="s">
        <v>1981</v>
      </c>
      <c r="D1067" s="2">
        <v>38718</v>
      </c>
      <c r="E1067" s="1" t="s">
        <v>2201</v>
      </c>
      <c r="F1067" s="1" t="s">
        <v>95</v>
      </c>
    </row>
    <row r="1068" spans="1:6" ht="30" customHeight="1" x14ac:dyDescent="0.25">
      <c r="A1068" s="1" t="s">
        <v>2202</v>
      </c>
      <c r="B1068" s="1" t="str">
        <f>"9789240681934"</f>
        <v>9789240681934</v>
      </c>
      <c r="C1068" s="1" t="s">
        <v>1981</v>
      </c>
      <c r="D1068" s="2">
        <v>38718</v>
      </c>
      <c r="E1068" s="1" t="s">
        <v>1981</v>
      </c>
      <c r="F1068" s="1" t="s">
        <v>2203</v>
      </c>
    </row>
    <row r="1069" spans="1:6" ht="30" customHeight="1" x14ac:dyDescent="0.25">
      <c r="A1069" s="1" t="s">
        <v>2204</v>
      </c>
      <c r="B1069" s="1" t="str">
        <f>"9789240681866"</f>
        <v>9789240681866</v>
      </c>
      <c r="C1069" s="1" t="s">
        <v>1981</v>
      </c>
      <c r="D1069" s="2">
        <v>37987</v>
      </c>
      <c r="E1069" s="1" t="s">
        <v>1981</v>
      </c>
      <c r="F1069" s="1" t="s">
        <v>30</v>
      </c>
    </row>
    <row r="1070" spans="1:6" ht="30" customHeight="1" x14ac:dyDescent="0.25">
      <c r="A1070" s="1" t="s">
        <v>2205</v>
      </c>
      <c r="B1070" s="1" t="str">
        <f>"9789240681941"</f>
        <v>9789240681941</v>
      </c>
      <c r="C1070" s="1" t="s">
        <v>1981</v>
      </c>
      <c r="D1070" s="2">
        <v>38718</v>
      </c>
      <c r="E1070" s="1" t="s">
        <v>1981</v>
      </c>
      <c r="F1070" s="1" t="s">
        <v>2206</v>
      </c>
    </row>
    <row r="1071" spans="1:6" ht="30" customHeight="1" x14ac:dyDescent="0.25">
      <c r="A1071" s="1" t="s">
        <v>2207</v>
      </c>
      <c r="B1071" s="1" t="str">
        <f>"9789240681958"</f>
        <v>9789240681958</v>
      </c>
      <c r="C1071" s="1" t="s">
        <v>1981</v>
      </c>
      <c r="D1071" s="2">
        <v>38718</v>
      </c>
      <c r="E1071" s="1" t="s">
        <v>2208</v>
      </c>
      <c r="F1071" s="1" t="s">
        <v>2209</v>
      </c>
    </row>
    <row r="1072" spans="1:6" ht="30" customHeight="1" x14ac:dyDescent="0.25">
      <c r="A1072" s="1" t="s">
        <v>2210</v>
      </c>
      <c r="B1072" s="1" t="str">
        <f>"9789240681965"</f>
        <v>9789240681965</v>
      </c>
      <c r="C1072" s="1" t="s">
        <v>1981</v>
      </c>
      <c r="D1072" s="2">
        <v>38718</v>
      </c>
      <c r="E1072" s="1" t="s">
        <v>1981</v>
      </c>
      <c r="F1072" s="1" t="s">
        <v>13</v>
      </c>
    </row>
    <row r="1073" spans="1:6" ht="30" customHeight="1" x14ac:dyDescent="0.25">
      <c r="A1073" s="1" t="s">
        <v>2211</v>
      </c>
      <c r="B1073" s="1" t="str">
        <f>"9781280841774"</f>
        <v>9781280841774</v>
      </c>
      <c r="C1073" s="1" t="s">
        <v>1981</v>
      </c>
      <c r="D1073" s="2">
        <v>36586</v>
      </c>
      <c r="E1073" s="1" t="s">
        <v>2212</v>
      </c>
      <c r="F1073" s="1" t="s">
        <v>2213</v>
      </c>
    </row>
    <row r="1074" spans="1:6" ht="30" customHeight="1" x14ac:dyDescent="0.25">
      <c r="A1074" s="1" t="s">
        <v>2214</v>
      </c>
      <c r="B1074" s="1" t="str">
        <f>"9789291736577"</f>
        <v>9789291736577</v>
      </c>
      <c r="C1074" s="1" t="s">
        <v>1981</v>
      </c>
      <c r="D1074" s="2">
        <v>37073</v>
      </c>
      <c r="E1074" s="1" t="s">
        <v>1981</v>
      </c>
      <c r="F1074" s="1" t="s">
        <v>30</v>
      </c>
    </row>
    <row r="1075" spans="1:6" ht="30" customHeight="1" x14ac:dyDescent="0.25">
      <c r="A1075" s="1" t="s">
        <v>2215</v>
      </c>
      <c r="B1075" s="1" t="str">
        <f>"9789240681972"</f>
        <v>9789240681972</v>
      </c>
      <c r="C1075" s="1" t="s">
        <v>1981</v>
      </c>
      <c r="D1075" s="2">
        <v>38718</v>
      </c>
      <c r="E1075" s="1" t="s">
        <v>2216</v>
      </c>
      <c r="F1075" s="1" t="s">
        <v>95</v>
      </c>
    </row>
    <row r="1076" spans="1:6" ht="30" customHeight="1" x14ac:dyDescent="0.25">
      <c r="A1076" s="1" t="s">
        <v>2217</v>
      </c>
      <c r="B1076" s="1" t="str">
        <f>"9789240682009"</f>
        <v>9789240682009</v>
      </c>
      <c r="C1076" s="1" t="s">
        <v>1981</v>
      </c>
      <c r="D1076" s="2">
        <v>38718</v>
      </c>
      <c r="E1076" s="1" t="s">
        <v>2218</v>
      </c>
      <c r="F1076" s="1" t="s">
        <v>13</v>
      </c>
    </row>
    <row r="1077" spans="1:6" ht="30" customHeight="1" x14ac:dyDescent="0.25">
      <c r="A1077" s="1" t="s">
        <v>2219</v>
      </c>
      <c r="B1077" s="1" t="str">
        <f>"9789240682016"</f>
        <v>9789240682016</v>
      </c>
      <c r="C1077" s="1" t="s">
        <v>1981</v>
      </c>
      <c r="D1077" s="2">
        <v>38687</v>
      </c>
      <c r="E1077" s="1" t="s">
        <v>1981</v>
      </c>
      <c r="F1077" s="1" t="s">
        <v>95</v>
      </c>
    </row>
    <row r="1078" spans="1:6" ht="30" customHeight="1" x14ac:dyDescent="0.25">
      <c r="A1078" s="1" t="s">
        <v>2220</v>
      </c>
      <c r="B1078" s="1" t="str">
        <f>"9789289014052"</f>
        <v>9789289014052</v>
      </c>
      <c r="C1078" s="1" t="s">
        <v>1981</v>
      </c>
      <c r="D1078" s="2">
        <v>38231</v>
      </c>
      <c r="E1078" s="1" t="s">
        <v>2221</v>
      </c>
      <c r="F1078" s="1" t="s">
        <v>95</v>
      </c>
    </row>
    <row r="1079" spans="1:6" ht="30" customHeight="1" x14ac:dyDescent="0.25">
      <c r="A1079" s="1" t="s">
        <v>2222</v>
      </c>
      <c r="B1079" s="1" t="str">
        <f>"9789291736584"</f>
        <v>9789291736584</v>
      </c>
      <c r="C1079" s="1" t="s">
        <v>1981</v>
      </c>
      <c r="D1079" s="2">
        <v>38718</v>
      </c>
      <c r="E1079" s="1" t="s">
        <v>1981</v>
      </c>
      <c r="F1079" s="1" t="s">
        <v>95</v>
      </c>
    </row>
    <row r="1080" spans="1:6" ht="30" customHeight="1" x14ac:dyDescent="0.25">
      <c r="A1080" s="1" t="s">
        <v>2224</v>
      </c>
      <c r="B1080" s="1" t="str">
        <f>"9789240682030"</f>
        <v>9789240682030</v>
      </c>
      <c r="C1080" s="1" t="s">
        <v>1981</v>
      </c>
      <c r="D1080" s="2">
        <v>38718</v>
      </c>
      <c r="E1080" s="1" t="s">
        <v>1981</v>
      </c>
      <c r="F1080" s="1" t="s">
        <v>2225</v>
      </c>
    </row>
    <row r="1081" spans="1:6" ht="30" customHeight="1" x14ac:dyDescent="0.25">
      <c r="A1081" s="1" t="s">
        <v>2226</v>
      </c>
      <c r="B1081" s="1" t="str">
        <f>"9789240682047"</f>
        <v>9789240682047</v>
      </c>
      <c r="C1081" s="1" t="s">
        <v>1981</v>
      </c>
      <c r="D1081" s="2">
        <v>38718</v>
      </c>
      <c r="E1081" s="1" t="s">
        <v>1981</v>
      </c>
      <c r="F1081" s="1" t="s">
        <v>176</v>
      </c>
    </row>
    <row r="1082" spans="1:6" ht="30" customHeight="1" x14ac:dyDescent="0.25">
      <c r="A1082" s="1" t="s">
        <v>2227</v>
      </c>
      <c r="B1082" s="1" t="str">
        <f>"9789240682061"</f>
        <v>9789240682061</v>
      </c>
      <c r="C1082" s="1" t="s">
        <v>1981</v>
      </c>
      <c r="D1082" s="2">
        <v>38718</v>
      </c>
      <c r="E1082" s="1" t="s">
        <v>2149</v>
      </c>
      <c r="F1082" s="1" t="s">
        <v>30</v>
      </c>
    </row>
    <row r="1083" spans="1:6" ht="30" customHeight="1" x14ac:dyDescent="0.25">
      <c r="A1083" s="1" t="s">
        <v>2228</v>
      </c>
      <c r="B1083" s="1" t="str">
        <f>"9789240682078"</f>
        <v>9789240682078</v>
      </c>
      <c r="C1083" s="1" t="s">
        <v>1981</v>
      </c>
      <c r="D1083" s="2">
        <v>38718</v>
      </c>
      <c r="E1083" s="1" t="s">
        <v>1981</v>
      </c>
      <c r="F1083" s="1" t="s">
        <v>2229</v>
      </c>
    </row>
    <row r="1084" spans="1:6" ht="30" customHeight="1" x14ac:dyDescent="0.25">
      <c r="A1084" s="1" t="s">
        <v>2230</v>
      </c>
      <c r="B1084" s="1" t="str">
        <f>"9789291736591"</f>
        <v>9789291736591</v>
      </c>
      <c r="C1084" s="1" t="s">
        <v>1981</v>
      </c>
      <c r="D1084" s="2">
        <v>38292</v>
      </c>
      <c r="E1084" s="1" t="s">
        <v>1981</v>
      </c>
      <c r="F1084" s="1" t="s">
        <v>30</v>
      </c>
    </row>
    <row r="1085" spans="1:6" ht="30" customHeight="1" x14ac:dyDescent="0.25">
      <c r="A1085" s="1" t="s">
        <v>2231</v>
      </c>
      <c r="B1085" s="1" t="str">
        <f>"9781280841767"</f>
        <v>9781280841767</v>
      </c>
      <c r="C1085" s="1" t="s">
        <v>1981</v>
      </c>
      <c r="D1085" s="2">
        <v>38718</v>
      </c>
      <c r="E1085" s="1" t="s">
        <v>2232</v>
      </c>
      <c r="F1085" s="1" t="s">
        <v>95</v>
      </c>
    </row>
    <row r="1086" spans="1:6" ht="30" customHeight="1" x14ac:dyDescent="0.25">
      <c r="A1086" s="1" t="s">
        <v>2233</v>
      </c>
      <c r="B1086" s="1" t="str">
        <f>"9789240682108"</f>
        <v>9789240682108</v>
      </c>
      <c r="C1086" s="1" t="s">
        <v>1981</v>
      </c>
      <c r="D1086" s="2">
        <v>38718</v>
      </c>
      <c r="E1086" s="1" t="s">
        <v>1981</v>
      </c>
      <c r="F1086" s="1" t="s">
        <v>2234</v>
      </c>
    </row>
    <row r="1087" spans="1:6" ht="30" customHeight="1" x14ac:dyDescent="0.25">
      <c r="A1087" s="1" t="s">
        <v>2235</v>
      </c>
      <c r="B1087" s="1" t="str">
        <f>"9781607502258"</f>
        <v>9781607502258</v>
      </c>
      <c r="C1087" s="1" t="s">
        <v>1390</v>
      </c>
      <c r="D1087" s="2">
        <v>39100</v>
      </c>
      <c r="E1087" s="1" t="s">
        <v>1407</v>
      </c>
      <c r="F1087" s="1" t="s">
        <v>13</v>
      </c>
    </row>
    <row r="1088" spans="1:6" ht="30" customHeight="1" x14ac:dyDescent="0.25">
      <c r="A1088" s="1" t="s">
        <v>2236</v>
      </c>
      <c r="B1088" s="1" t="str">
        <f>"9781607501374"</f>
        <v>9781607501374</v>
      </c>
      <c r="C1088" s="1" t="s">
        <v>1390</v>
      </c>
      <c r="D1088" s="2">
        <v>38603</v>
      </c>
      <c r="E1088" s="1" t="s">
        <v>2237</v>
      </c>
      <c r="F1088" s="1" t="s">
        <v>2238</v>
      </c>
    </row>
    <row r="1089" spans="1:6" ht="30" customHeight="1" x14ac:dyDescent="0.25">
      <c r="A1089" s="1" t="s">
        <v>2239</v>
      </c>
      <c r="B1089" s="1" t="str">
        <f>"9781607502197"</f>
        <v>9781607502197</v>
      </c>
      <c r="C1089" s="1" t="s">
        <v>1390</v>
      </c>
      <c r="D1089" s="2">
        <v>39070</v>
      </c>
      <c r="E1089" s="1" t="s">
        <v>2240</v>
      </c>
      <c r="F1089" s="1" t="s">
        <v>268</v>
      </c>
    </row>
    <row r="1090" spans="1:6" ht="30" customHeight="1" x14ac:dyDescent="0.25">
      <c r="A1090" s="1" t="s">
        <v>2241</v>
      </c>
      <c r="B1090" s="1" t="str">
        <f>"9781607502227"</f>
        <v>9781607502227</v>
      </c>
      <c r="C1090" s="1" t="s">
        <v>1390</v>
      </c>
      <c r="D1090" s="2">
        <v>37376</v>
      </c>
      <c r="E1090" s="1" t="s">
        <v>2242</v>
      </c>
      <c r="F1090" s="1" t="s">
        <v>2243</v>
      </c>
    </row>
    <row r="1091" spans="1:6" ht="30" customHeight="1" x14ac:dyDescent="0.25">
      <c r="A1091" s="1" t="s">
        <v>2244</v>
      </c>
      <c r="B1091" s="1" t="str">
        <f>"9781607502180"</f>
        <v>9781607502180</v>
      </c>
      <c r="C1091" s="1" t="s">
        <v>1390</v>
      </c>
      <c r="D1091" s="2">
        <v>39070</v>
      </c>
      <c r="E1091" s="1" t="s">
        <v>2245</v>
      </c>
      <c r="F1091" s="1" t="s">
        <v>13</v>
      </c>
    </row>
    <row r="1092" spans="1:6" ht="30" customHeight="1" x14ac:dyDescent="0.25">
      <c r="A1092" s="1" t="s">
        <v>2246</v>
      </c>
      <c r="B1092" s="1" t="str">
        <f>"9780335224692"</f>
        <v>9780335224692</v>
      </c>
      <c r="C1092" s="1" t="s">
        <v>2247</v>
      </c>
      <c r="D1092" s="2">
        <v>37803</v>
      </c>
      <c r="E1092" s="1" t="s">
        <v>2248</v>
      </c>
      <c r="F1092" s="1" t="s">
        <v>13</v>
      </c>
    </row>
    <row r="1093" spans="1:6" ht="30" customHeight="1" x14ac:dyDescent="0.25">
      <c r="A1093" s="1" t="s">
        <v>2249</v>
      </c>
      <c r="B1093" s="1" t="str">
        <f>"9780335225101"</f>
        <v>9780335225101</v>
      </c>
      <c r="C1093" s="1" t="s">
        <v>2247</v>
      </c>
      <c r="D1093" s="2">
        <v>38777</v>
      </c>
      <c r="E1093" s="1" t="s">
        <v>2250</v>
      </c>
      <c r="F1093" s="1" t="s">
        <v>95</v>
      </c>
    </row>
    <row r="1094" spans="1:6" ht="30" customHeight="1" x14ac:dyDescent="0.25">
      <c r="A1094" s="1" t="s">
        <v>2251</v>
      </c>
      <c r="B1094" s="1" t="str">
        <f>"9780335225071"</f>
        <v>9780335225071</v>
      </c>
      <c r="C1094" s="1" t="s">
        <v>2247</v>
      </c>
      <c r="D1094" s="2">
        <v>37679</v>
      </c>
      <c r="E1094" s="1" t="s">
        <v>1272</v>
      </c>
      <c r="F1094" s="1" t="s">
        <v>126</v>
      </c>
    </row>
    <row r="1095" spans="1:6" ht="30" customHeight="1" x14ac:dyDescent="0.25">
      <c r="A1095" s="1" t="s">
        <v>2252</v>
      </c>
      <c r="B1095" s="1" t="str">
        <f>"9780335224784"</f>
        <v>9780335224784</v>
      </c>
      <c r="C1095" s="1" t="s">
        <v>2247</v>
      </c>
      <c r="D1095" s="2">
        <v>38231</v>
      </c>
      <c r="E1095" s="1" t="s">
        <v>2253</v>
      </c>
      <c r="F1095" s="1" t="s">
        <v>33</v>
      </c>
    </row>
    <row r="1096" spans="1:6" ht="30" customHeight="1" x14ac:dyDescent="0.25">
      <c r="A1096" s="1" t="s">
        <v>2254</v>
      </c>
      <c r="B1096" s="1" t="str">
        <f>"9780335225064"</f>
        <v>9780335225064</v>
      </c>
      <c r="C1096" s="1" t="s">
        <v>2247</v>
      </c>
      <c r="D1096" s="2">
        <v>37987</v>
      </c>
      <c r="E1096" s="1" t="s">
        <v>2255</v>
      </c>
      <c r="F1096" s="1" t="s">
        <v>2256</v>
      </c>
    </row>
    <row r="1097" spans="1:6" ht="30" customHeight="1" x14ac:dyDescent="0.25">
      <c r="A1097" s="1" t="s">
        <v>2257</v>
      </c>
      <c r="B1097" s="1" t="str">
        <f>"9780335224418"</f>
        <v>9780335224418</v>
      </c>
      <c r="C1097" s="1" t="s">
        <v>2247</v>
      </c>
      <c r="D1097" s="2">
        <v>38626</v>
      </c>
      <c r="E1097" s="1" t="s">
        <v>2258</v>
      </c>
      <c r="F1097" s="1" t="s">
        <v>95</v>
      </c>
    </row>
    <row r="1098" spans="1:6" ht="30" customHeight="1" x14ac:dyDescent="0.25">
      <c r="A1098" s="1" t="s">
        <v>2259</v>
      </c>
      <c r="B1098" s="1" t="str">
        <f>"9780335224364"</f>
        <v>9780335224364</v>
      </c>
      <c r="C1098" s="1" t="s">
        <v>2247</v>
      </c>
      <c r="D1098" s="2">
        <v>38718</v>
      </c>
      <c r="E1098" s="1" t="s">
        <v>2260</v>
      </c>
      <c r="F1098" s="1" t="s">
        <v>176</v>
      </c>
    </row>
    <row r="1099" spans="1:6" ht="30" customHeight="1" x14ac:dyDescent="0.25">
      <c r="A1099" s="1" t="s">
        <v>2261</v>
      </c>
      <c r="B1099" s="1" t="str">
        <f>"9780335224890"</f>
        <v>9780335224890</v>
      </c>
      <c r="C1099" s="1" t="s">
        <v>2247</v>
      </c>
      <c r="D1099" s="2">
        <v>38047</v>
      </c>
      <c r="E1099" s="1" t="s">
        <v>2262</v>
      </c>
      <c r="F1099" s="1" t="s">
        <v>95</v>
      </c>
    </row>
    <row r="1100" spans="1:6" ht="30" customHeight="1" x14ac:dyDescent="0.25">
      <c r="A1100" s="1" t="s">
        <v>2263</v>
      </c>
      <c r="B1100" s="1" t="str">
        <f>"9780335225019"</f>
        <v>9780335225019</v>
      </c>
      <c r="C1100" s="1" t="s">
        <v>2247</v>
      </c>
      <c r="D1100" s="2">
        <v>38777</v>
      </c>
      <c r="E1100" s="1" t="s">
        <v>2264</v>
      </c>
      <c r="F1100" s="1" t="s">
        <v>176</v>
      </c>
    </row>
    <row r="1101" spans="1:6" ht="30" customHeight="1" x14ac:dyDescent="0.25">
      <c r="A1101" s="1" t="s">
        <v>2265</v>
      </c>
      <c r="B1101" s="1" t="str">
        <f>"9780335225163"</f>
        <v>9780335225163</v>
      </c>
      <c r="C1101" s="1" t="s">
        <v>2247</v>
      </c>
      <c r="D1101" s="2">
        <v>38775</v>
      </c>
      <c r="E1101" s="1" t="s">
        <v>2266</v>
      </c>
      <c r="F1101" s="1" t="s">
        <v>95</v>
      </c>
    </row>
    <row r="1102" spans="1:6" ht="30" customHeight="1" x14ac:dyDescent="0.25">
      <c r="A1102" s="1" t="s">
        <v>2267</v>
      </c>
      <c r="B1102" s="1" t="str">
        <f>"9780335225026"</f>
        <v>9780335225026</v>
      </c>
      <c r="C1102" s="1" t="s">
        <v>2247</v>
      </c>
      <c r="D1102" s="2">
        <v>37742</v>
      </c>
      <c r="E1102" s="1" t="s">
        <v>2268</v>
      </c>
      <c r="F1102" s="1" t="s">
        <v>13</v>
      </c>
    </row>
    <row r="1103" spans="1:6" ht="30" customHeight="1" x14ac:dyDescent="0.25">
      <c r="A1103" s="1" t="s">
        <v>2269</v>
      </c>
      <c r="B1103" s="1" t="str">
        <f>"9780335224746"</f>
        <v>9780335224746</v>
      </c>
      <c r="C1103" s="1" t="s">
        <v>2247</v>
      </c>
      <c r="D1103" s="2">
        <v>38322</v>
      </c>
      <c r="E1103" s="1" t="s">
        <v>2270</v>
      </c>
      <c r="F1103" s="1" t="s">
        <v>13</v>
      </c>
    </row>
    <row r="1104" spans="1:6" ht="30" customHeight="1" x14ac:dyDescent="0.25">
      <c r="A1104" s="1" t="s">
        <v>2271</v>
      </c>
      <c r="B1104" s="1" t="str">
        <f>"9780335224593"</f>
        <v>9780335224593</v>
      </c>
      <c r="C1104" s="1" t="s">
        <v>2247</v>
      </c>
      <c r="D1104" s="2">
        <v>37895</v>
      </c>
      <c r="E1104" s="1" t="s">
        <v>2272</v>
      </c>
      <c r="F1104" s="1" t="s">
        <v>148</v>
      </c>
    </row>
    <row r="1105" spans="1:6" ht="30" customHeight="1" x14ac:dyDescent="0.25">
      <c r="A1105" s="1" t="s">
        <v>2273</v>
      </c>
      <c r="B1105" s="1" t="str">
        <f>"9780335225002"</f>
        <v>9780335225002</v>
      </c>
      <c r="C1105" s="1" t="s">
        <v>2247</v>
      </c>
      <c r="D1105" s="2">
        <v>38869</v>
      </c>
      <c r="E1105" s="1" t="s">
        <v>2274</v>
      </c>
      <c r="F1105" s="1" t="s">
        <v>30</v>
      </c>
    </row>
    <row r="1106" spans="1:6" ht="30" customHeight="1" x14ac:dyDescent="0.25">
      <c r="A1106" s="1" t="s">
        <v>2275</v>
      </c>
      <c r="B1106" s="1" t="str">
        <f>"9780335224715"</f>
        <v>9780335224715</v>
      </c>
      <c r="C1106" s="1" t="s">
        <v>2247</v>
      </c>
      <c r="D1106" s="2">
        <v>38231</v>
      </c>
      <c r="E1106" s="1" t="s">
        <v>2276</v>
      </c>
      <c r="F1106" s="1" t="s">
        <v>13</v>
      </c>
    </row>
    <row r="1107" spans="1:6" ht="30" customHeight="1" x14ac:dyDescent="0.25">
      <c r="A1107" s="1" t="s">
        <v>2277</v>
      </c>
      <c r="B1107" s="1" t="str">
        <f>"9780335224111"</f>
        <v>9780335224111</v>
      </c>
      <c r="C1107" s="1" t="s">
        <v>2247</v>
      </c>
      <c r="D1107" s="2">
        <v>38231</v>
      </c>
      <c r="E1107" s="1" t="s">
        <v>2278</v>
      </c>
      <c r="F1107" s="1" t="s">
        <v>70</v>
      </c>
    </row>
    <row r="1108" spans="1:6" ht="30" customHeight="1" x14ac:dyDescent="0.25">
      <c r="A1108" s="1" t="s">
        <v>2279</v>
      </c>
      <c r="B1108" s="1" t="str">
        <f>"9780335224869"</f>
        <v>9780335224869</v>
      </c>
      <c r="C1108" s="1" t="s">
        <v>2247</v>
      </c>
      <c r="D1108" s="2">
        <v>38565</v>
      </c>
      <c r="E1108" s="1" t="s">
        <v>2280</v>
      </c>
      <c r="F1108" s="1" t="s">
        <v>13</v>
      </c>
    </row>
    <row r="1109" spans="1:6" ht="30" customHeight="1" x14ac:dyDescent="0.25">
      <c r="A1109" s="1" t="s">
        <v>2281</v>
      </c>
      <c r="B1109" s="1" t="str">
        <f>"9780335224265"</f>
        <v>9780335224265</v>
      </c>
      <c r="C1109" s="1" t="s">
        <v>2247</v>
      </c>
      <c r="D1109" s="2">
        <v>38565</v>
      </c>
      <c r="E1109" s="1" t="s">
        <v>2282</v>
      </c>
      <c r="F1109" s="1" t="s">
        <v>214</v>
      </c>
    </row>
    <row r="1110" spans="1:6" ht="30" customHeight="1" x14ac:dyDescent="0.25">
      <c r="A1110" s="1" t="s">
        <v>2283</v>
      </c>
      <c r="B1110" s="1" t="str">
        <f>"9780335224920"</f>
        <v>9780335224920</v>
      </c>
      <c r="C1110" s="1" t="s">
        <v>2247</v>
      </c>
      <c r="D1110" s="2">
        <v>38108</v>
      </c>
      <c r="E1110" s="1" t="s">
        <v>2284</v>
      </c>
      <c r="F1110" s="1" t="s">
        <v>2285</v>
      </c>
    </row>
    <row r="1111" spans="1:6" ht="30" customHeight="1" x14ac:dyDescent="0.25">
      <c r="A1111" s="1" t="s">
        <v>2286</v>
      </c>
      <c r="B1111" s="1" t="str">
        <f>"9780335224623"</f>
        <v>9780335224623</v>
      </c>
      <c r="C1111" s="1" t="s">
        <v>2247</v>
      </c>
      <c r="D1111" s="2">
        <v>38139</v>
      </c>
      <c r="E1111" s="1" t="s">
        <v>2287</v>
      </c>
      <c r="F1111" s="1" t="s">
        <v>30</v>
      </c>
    </row>
    <row r="1112" spans="1:6" ht="30" customHeight="1" x14ac:dyDescent="0.25">
      <c r="A1112" s="1" t="s">
        <v>2288</v>
      </c>
      <c r="B1112" s="1" t="str">
        <f>"9780335224883"</f>
        <v>9780335224883</v>
      </c>
      <c r="C1112" s="1" t="s">
        <v>2247</v>
      </c>
      <c r="D1112" s="2">
        <v>38231</v>
      </c>
      <c r="E1112" s="1" t="s">
        <v>2289</v>
      </c>
      <c r="F1112" s="1" t="s">
        <v>30</v>
      </c>
    </row>
    <row r="1113" spans="1:6" ht="30" customHeight="1" x14ac:dyDescent="0.25">
      <c r="A1113" s="1" t="s">
        <v>2290</v>
      </c>
      <c r="B1113" s="1" t="str">
        <f>"9780335224289"</f>
        <v>9780335224289</v>
      </c>
      <c r="C1113" s="1" t="s">
        <v>2247</v>
      </c>
      <c r="D1113" s="2">
        <v>38687</v>
      </c>
      <c r="E1113" s="1" t="s">
        <v>2291</v>
      </c>
      <c r="F1113" s="1" t="s">
        <v>95</v>
      </c>
    </row>
    <row r="1114" spans="1:6" ht="30" customHeight="1" x14ac:dyDescent="0.25">
      <c r="A1114" s="1" t="s">
        <v>2292</v>
      </c>
      <c r="B1114" s="1" t="str">
        <f>"9780080471044"</f>
        <v>9780080471044</v>
      </c>
      <c r="C1114" s="1" t="s">
        <v>900</v>
      </c>
      <c r="D1114" s="2">
        <v>40661</v>
      </c>
      <c r="E1114" s="1" t="s">
        <v>2293</v>
      </c>
      <c r="F1114" s="1" t="s">
        <v>13</v>
      </c>
    </row>
    <row r="1115" spans="1:6" ht="30" customHeight="1" x14ac:dyDescent="0.25">
      <c r="A1115" s="1" t="s">
        <v>2294</v>
      </c>
      <c r="B1115" s="1" t="str">
        <f>"9780080471051"</f>
        <v>9780080471051</v>
      </c>
      <c r="C1115" s="1" t="s">
        <v>900</v>
      </c>
      <c r="D1115" s="2">
        <v>39176</v>
      </c>
      <c r="E1115" s="1" t="s">
        <v>2295</v>
      </c>
      <c r="F1115" s="1" t="s">
        <v>359</v>
      </c>
    </row>
    <row r="1116" spans="1:6" ht="30" customHeight="1" x14ac:dyDescent="0.25">
      <c r="A1116" s="1" t="s">
        <v>2296</v>
      </c>
      <c r="B1116" s="1" t="str">
        <f>"9780080471099"</f>
        <v>9780080471099</v>
      </c>
      <c r="C1116" s="1" t="s">
        <v>900</v>
      </c>
      <c r="D1116" s="2">
        <v>40661</v>
      </c>
      <c r="E1116" s="1" t="s">
        <v>2297</v>
      </c>
      <c r="F1116" s="1" t="s">
        <v>13</v>
      </c>
    </row>
    <row r="1117" spans="1:6" ht="30" customHeight="1" x14ac:dyDescent="0.25">
      <c r="A1117" s="1" t="s">
        <v>2298</v>
      </c>
      <c r="B1117" s="1" t="str">
        <f>"9780511268328"</f>
        <v>9780511268328</v>
      </c>
      <c r="C1117" s="1" t="s">
        <v>25</v>
      </c>
      <c r="D1117" s="2">
        <v>39128</v>
      </c>
      <c r="E1117" s="1" t="s">
        <v>2299</v>
      </c>
      <c r="F1117" s="1" t="s">
        <v>13</v>
      </c>
    </row>
    <row r="1118" spans="1:6" ht="30" customHeight="1" x14ac:dyDescent="0.25">
      <c r="A1118" s="1" t="s">
        <v>2300</v>
      </c>
      <c r="B1118" s="1" t="str">
        <f>"9780511268403"</f>
        <v>9780511268403</v>
      </c>
      <c r="C1118" s="1" t="s">
        <v>25</v>
      </c>
      <c r="D1118" s="2">
        <v>39100</v>
      </c>
      <c r="E1118" s="1" t="s">
        <v>2301</v>
      </c>
      <c r="F1118" s="1" t="s">
        <v>13</v>
      </c>
    </row>
    <row r="1119" spans="1:6" ht="30" customHeight="1" x14ac:dyDescent="0.25">
      <c r="A1119" s="1" t="s">
        <v>2302</v>
      </c>
      <c r="B1119" s="1" t="str">
        <f>"9780511272707"</f>
        <v>9780511272707</v>
      </c>
      <c r="C1119" s="1" t="s">
        <v>25</v>
      </c>
      <c r="D1119" s="2">
        <v>39156</v>
      </c>
      <c r="E1119" s="1" t="s">
        <v>2303</v>
      </c>
      <c r="F1119" s="1" t="s">
        <v>13</v>
      </c>
    </row>
    <row r="1120" spans="1:6" ht="30" customHeight="1" x14ac:dyDescent="0.25">
      <c r="A1120" s="1" t="s">
        <v>2304</v>
      </c>
      <c r="B1120" s="1" t="str">
        <f>"9780511273087"</f>
        <v>9780511273087</v>
      </c>
      <c r="C1120" s="1" t="s">
        <v>25</v>
      </c>
      <c r="D1120" s="2">
        <v>39114</v>
      </c>
      <c r="E1120" s="1" t="s">
        <v>2305</v>
      </c>
      <c r="F1120" s="1" t="s">
        <v>13</v>
      </c>
    </row>
    <row r="1121" spans="1:6" ht="30" customHeight="1" x14ac:dyDescent="0.25">
      <c r="A1121" s="1" t="s">
        <v>2306</v>
      </c>
      <c r="B1121" s="1" t="str">
        <f>"9780511272912"</f>
        <v>9780511272912</v>
      </c>
      <c r="C1121" s="1" t="s">
        <v>25</v>
      </c>
      <c r="D1121" s="2">
        <v>39135</v>
      </c>
      <c r="E1121" s="1" t="s">
        <v>2307</v>
      </c>
      <c r="F1121" s="1" t="s">
        <v>13</v>
      </c>
    </row>
    <row r="1122" spans="1:6" ht="30" customHeight="1" x14ac:dyDescent="0.25">
      <c r="A1122" s="1" t="s">
        <v>2308</v>
      </c>
      <c r="B1122" s="1" t="str">
        <f>"9780080473574"</f>
        <v>9780080473574</v>
      </c>
      <c r="C1122" s="1" t="s">
        <v>906</v>
      </c>
      <c r="D1122" s="2">
        <v>38300</v>
      </c>
      <c r="E1122" s="1" t="s">
        <v>2309</v>
      </c>
      <c r="F1122" s="1" t="s">
        <v>13</v>
      </c>
    </row>
    <row r="1123" spans="1:6" ht="30" customHeight="1" x14ac:dyDescent="0.25">
      <c r="A1123" s="1" t="s">
        <v>2310</v>
      </c>
      <c r="B1123" s="1" t="str">
        <f>"9780080473505"</f>
        <v>9780080473505</v>
      </c>
      <c r="C1123" s="1" t="s">
        <v>900</v>
      </c>
      <c r="D1123" s="2">
        <v>38509</v>
      </c>
      <c r="E1123" s="1" t="s">
        <v>2311</v>
      </c>
      <c r="F1123" s="1" t="s">
        <v>13</v>
      </c>
    </row>
    <row r="1124" spans="1:6" ht="30" customHeight="1" x14ac:dyDescent="0.25">
      <c r="A1124" s="1" t="s">
        <v>2312</v>
      </c>
      <c r="B1124" s="1" t="str">
        <f>"9780080473963"</f>
        <v>9780080473963</v>
      </c>
      <c r="C1124" s="1" t="s">
        <v>900</v>
      </c>
      <c r="D1124" s="2">
        <v>38140</v>
      </c>
      <c r="E1124" s="1" t="s">
        <v>2313</v>
      </c>
      <c r="F1124" s="1" t="s">
        <v>1568</v>
      </c>
    </row>
    <row r="1125" spans="1:6" ht="30" customHeight="1" x14ac:dyDescent="0.25">
      <c r="A1125" s="1" t="s">
        <v>2314</v>
      </c>
      <c r="B1125" s="1" t="str">
        <f>"9780080472492"</f>
        <v>9780080472492</v>
      </c>
      <c r="C1125" s="1" t="s">
        <v>900</v>
      </c>
      <c r="D1125" s="2">
        <v>38658</v>
      </c>
      <c r="E1125" s="1" t="s">
        <v>2315</v>
      </c>
      <c r="F1125" s="1" t="s">
        <v>963</v>
      </c>
    </row>
    <row r="1126" spans="1:6" ht="30" customHeight="1" x14ac:dyDescent="0.25">
      <c r="A1126" s="1" t="s">
        <v>2316</v>
      </c>
      <c r="B1126" s="1" t="str">
        <f>"9780080474359"</f>
        <v>9780080474359</v>
      </c>
      <c r="C1126" s="1" t="s">
        <v>900</v>
      </c>
      <c r="D1126" s="2">
        <v>38065</v>
      </c>
      <c r="E1126" s="1" t="s">
        <v>2317</v>
      </c>
      <c r="F1126" s="1" t="s">
        <v>681</v>
      </c>
    </row>
    <row r="1127" spans="1:6" ht="30" customHeight="1" x14ac:dyDescent="0.25">
      <c r="A1127" s="1" t="s">
        <v>2318</v>
      </c>
      <c r="B1127" s="1" t="str">
        <f>"9780080472072"</f>
        <v>9780080472072</v>
      </c>
      <c r="C1127" s="1" t="s">
        <v>900</v>
      </c>
      <c r="D1127" s="2">
        <v>38667</v>
      </c>
      <c r="E1127" s="1" t="s">
        <v>2319</v>
      </c>
      <c r="F1127" s="1" t="s">
        <v>963</v>
      </c>
    </row>
    <row r="1128" spans="1:6" ht="30" customHeight="1" x14ac:dyDescent="0.25">
      <c r="A1128" s="1" t="s">
        <v>2320</v>
      </c>
      <c r="B1128" s="1" t="str">
        <f>"9781845930837"</f>
        <v>9781845930837</v>
      </c>
      <c r="C1128" s="1" t="s">
        <v>2321</v>
      </c>
      <c r="D1128" s="2">
        <v>38718</v>
      </c>
      <c r="E1128" s="1" t="s">
        <v>2322</v>
      </c>
      <c r="F1128" s="1" t="s">
        <v>2323</v>
      </c>
    </row>
    <row r="1129" spans="1:6" ht="30" customHeight="1" x14ac:dyDescent="0.25">
      <c r="A1129" s="1" t="s">
        <v>2324</v>
      </c>
      <c r="B1129" s="1" t="str">
        <f>"9781845930868"</f>
        <v>9781845930868</v>
      </c>
      <c r="C1129" s="1" t="s">
        <v>2321</v>
      </c>
      <c r="D1129" s="2">
        <v>38718</v>
      </c>
      <c r="E1129" s="1" t="s">
        <v>2325</v>
      </c>
      <c r="F1129" s="1" t="s">
        <v>200</v>
      </c>
    </row>
    <row r="1130" spans="1:6" ht="30" customHeight="1" x14ac:dyDescent="0.25">
      <c r="A1130" s="1" t="s">
        <v>2326</v>
      </c>
      <c r="B1130" s="1" t="str">
        <f>"9781845930271"</f>
        <v>9781845930271</v>
      </c>
      <c r="C1130" s="1" t="s">
        <v>2321</v>
      </c>
      <c r="D1130" s="2">
        <v>38718</v>
      </c>
      <c r="E1130" s="1" t="s">
        <v>2327</v>
      </c>
      <c r="F1130" s="1" t="s">
        <v>13</v>
      </c>
    </row>
    <row r="1131" spans="1:6" ht="30" customHeight="1" x14ac:dyDescent="0.25">
      <c r="A1131" s="1" t="s">
        <v>2328</v>
      </c>
      <c r="B1131" s="1" t="str">
        <f>"9781845930523"</f>
        <v>9781845930523</v>
      </c>
      <c r="C1131" s="1" t="s">
        <v>2321</v>
      </c>
      <c r="D1131" s="2">
        <v>38718</v>
      </c>
      <c r="E1131" s="1" t="s">
        <v>2329</v>
      </c>
      <c r="F1131" s="1" t="s">
        <v>2330</v>
      </c>
    </row>
    <row r="1132" spans="1:6" ht="30" customHeight="1" x14ac:dyDescent="0.25">
      <c r="A1132" s="1" t="s">
        <v>2331</v>
      </c>
      <c r="B1132" s="1" t="str">
        <f>"9781845930721"</f>
        <v>9781845930721</v>
      </c>
      <c r="C1132" s="1" t="s">
        <v>2321</v>
      </c>
      <c r="D1132" s="2">
        <v>38718</v>
      </c>
      <c r="E1132" s="1" t="s">
        <v>2332</v>
      </c>
      <c r="F1132" s="1" t="s">
        <v>2333</v>
      </c>
    </row>
    <row r="1133" spans="1:6" ht="30" customHeight="1" x14ac:dyDescent="0.25">
      <c r="A1133" s="1" t="s">
        <v>2334</v>
      </c>
      <c r="B1133" s="1" t="str">
        <f>"9781845931131"</f>
        <v>9781845931131</v>
      </c>
      <c r="C1133" s="1" t="s">
        <v>2321</v>
      </c>
      <c r="D1133" s="2">
        <v>38718</v>
      </c>
      <c r="E1133" s="1" t="s">
        <v>2335</v>
      </c>
      <c r="F1133" s="1" t="s">
        <v>268</v>
      </c>
    </row>
    <row r="1134" spans="1:6" ht="30" customHeight="1" x14ac:dyDescent="0.25">
      <c r="A1134" s="1" t="s">
        <v>2336</v>
      </c>
      <c r="B1134" s="1" t="str">
        <f>"9781845931575"</f>
        <v>9781845931575</v>
      </c>
      <c r="C1134" s="1" t="s">
        <v>2321</v>
      </c>
      <c r="D1134" s="2">
        <v>38718</v>
      </c>
      <c r="E1134" s="1" t="s">
        <v>2337</v>
      </c>
      <c r="F1134" s="1" t="s">
        <v>137</v>
      </c>
    </row>
    <row r="1135" spans="1:6" ht="30" customHeight="1" x14ac:dyDescent="0.25">
      <c r="A1135" s="1" t="s">
        <v>2338</v>
      </c>
      <c r="B1135" s="1" t="str">
        <f>"9781934559031"</f>
        <v>9781934559031</v>
      </c>
      <c r="C1135" s="1" t="s">
        <v>2339</v>
      </c>
      <c r="D1135" s="2">
        <v>37561</v>
      </c>
      <c r="E1135" s="1" t="s">
        <v>2340</v>
      </c>
      <c r="F1135" s="1" t="s">
        <v>13</v>
      </c>
    </row>
    <row r="1136" spans="1:6" ht="30" customHeight="1" x14ac:dyDescent="0.25">
      <c r="A1136" s="1" t="s">
        <v>2341</v>
      </c>
      <c r="B1136" s="1" t="str">
        <f>"9781934559062"</f>
        <v>9781934559062</v>
      </c>
      <c r="C1136" s="1" t="s">
        <v>2342</v>
      </c>
      <c r="D1136" s="2">
        <v>37987</v>
      </c>
      <c r="E1136" s="1" t="s">
        <v>2343</v>
      </c>
      <c r="F1136" s="1" t="s">
        <v>13</v>
      </c>
    </row>
    <row r="1137" spans="1:6" ht="30" customHeight="1" x14ac:dyDescent="0.25">
      <c r="A1137" s="1" t="s">
        <v>2344</v>
      </c>
      <c r="B1137" s="1" t="str">
        <f>"9781934559086"</f>
        <v>9781934559086</v>
      </c>
      <c r="C1137" s="1" t="s">
        <v>2339</v>
      </c>
      <c r="D1137" s="2">
        <v>38473</v>
      </c>
      <c r="E1137" s="1" t="s">
        <v>2345</v>
      </c>
      <c r="F1137" s="1" t="s">
        <v>13</v>
      </c>
    </row>
    <row r="1138" spans="1:6" ht="30" customHeight="1" x14ac:dyDescent="0.25">
      <c r="A1138" s="1" t="s">
        <v>2346</v>
      </c>
      <c r="B1138" s="1" t="str">
        <f>"9781934559093"</f>
        <v>9781934559093</v>
      </c>
      <c r="C1138" s="1" t="s">
        <v>2342</v>
      </c>
      <c r="D1138" s="2">
        <v>37257</v>
      </c>
      <c r="E1138" s="1" t="s">
        <v>2347</v>
      </c>
      <c r="F1138" s="1" t="s">
        <v>234</v>
      </c>
    </row>
    <row r="1139" spans="1:6" ht="30" customHeight="1" x14ac:dyDescent="0.25">
      <c r="A1139" s="1" t="s">
        <v>2348</v>
      </c>
      <c r="B1139" s="1" t="str">
        <f>"9781934559109"</f>
        <v>9781934559109</v>
      </c>
      <c r="C1139" s="1" t="s">
        <v>2342</v>
      </c>
      <c r="D1139" s="2">
        <v>37987</v>
      </c>
      <c r="E1139" s="1" t="s">
        <v>2349</v>
      </c>
      <c r="F1139" s="1" t="s">
        <v>356</v>
      </c>
    </row>
    <row r="1140" spans="1:6" ht="30" customHeight="1" x14ac:dyDescent="0.25">
      <c r="A1140" s="1" t="s">
        <v>2350</v>
      </c>
      <c r="B1140" s="1" t="str">
        <f>"9781934559116"</f>
        <v>9781934559116</v>
      </c>
      <c r="C1140" s="1" t="s">
        <v>2339</v>
      </c>
      <c r="D1140" s="2">
        <v>38443</v>
      </c>
      <c r="E1140" s="1" t="s">
        <v>2351</v>
      </c>
      <c r="F1140" s="1" t="s">
        <v>13</v>
      </c>
    </row>
    <row r="1141" spans="1:6" ht="30" customHeight="1" x14ac:dyDescent="0.25">
      <c r="A1141" s="1" t="s">
        <v>2352</v>
      </c>
      <c r="B1141" s="1" t="str">
        <f>"9781934559123"</f>
        <v>9781934559123</v>
      </c>
      <c r="C1141" s="1" t="s">
        <v>2339</v>
      </c>
      <c r="D1141" s="2">
        <v>38443</v>
      </c>
      <c r="E1141" s="1" t="s">
        <v>2353</v>
      </c>
      <c r="F1141" s="1" t="s">
        <v>13</v>
      </c>
    </row>
    <row r="1142" spans="1:6" ht="30" customHeight="1" x14ac:dyDescent="0.25">
      <c r="A1142" s="1" t="s">
        <v>2354</v>
      </c>
      <c r="B1142" s="1" t="str">
        <f>"9781934559178"</f>
        <v>9781934559178</v>
      </c>
      <c r="C1142" s="1" t="s">
        <v>2342</v>
      </c>
      <c r="D1142" s="2">
        <v>38443</v>
      </c>
      <c r="E1142" s="1" t="s">
        <v>2355</v>
      </c>
      <c r="F1142" s="1" t="s">
        <v>13</v>
      </c>
    </row>
    <row r="1143" spans="1:6" ht="30" customHeight="1" x14ac:dyDescent="0.25">
      <c r="A1143" s="1" t="s">
        <v>2356</v>
      </c>
      <c r="B1143" s="1" t="str">
        <f>"9781934559192"</f>
        <v>9781934559192</v>
      </c>
      <c r="C1143" s="1" t="s">
        <v>2342</v>
      </c>
      <c r="D1143" s="2">
        <v>38353</v>
      </c>
      <c r="E1143" s="1" t="s">
        <v>2357</v>
      </c>
      <c r="F1143" s="1" t="s">
        <v>13</v>
      </c>
    </row>
    <row r="1144" spans="1:6" ht="30" customHeight="1" x14ac:dyDescent="0.25">
      <c r="A1144" s="1" t="s">
        <v>2358</v>
      </c>
      <c r="B1144" s="1" t="str">
        <f>"9781934559246"</f>
        <v>9781934559246</v>
      </c>
      <c r="C1144" s="1" t="s">
        <v>2342</v>
      </c>
      <c r="D1144" s="2">
        <v>37987</v>
      </c>
      <c r="E1144" s="1" t="s">
        <v>2359</v>
      </c>
      <c r="F1144" s="1" t="s">
        <v>13</v>
      </c>
    </row>
    <row r="1145" spans="1:6" ht="30" customHeight="1" x14ac:dyDescent="0.25">
      <c r="A1145" s="1" t="s">
        <v>2360</v>
      </c>
      <c r="B1145" s="1" t="str">
        <f>"9781934559253"</f>
        <v>9781934559253</v>
      </c>
      <c r="C1145" s="1" t="s">
        <v>2339</v>
      </c>
      <c r="D1145" s="2">
        <v>37316</v>
      </c>
      <c r="E1145" s="1" t="s">
        <v>2361</v>
      </c>
      <c r="F1145" s="1" t="s">
        <v>13</v>
      </c>
    </row>
    <row r="1146" spans="1:6" ht="30" customHeight="1" x14ac:dyDescent="0.25">
      <c r="A1146" s="1" t="s">
        <v>2362</v>
      </c>
      <c r="B1146" s="1" t="str">
        <f>"9781934559277"</f>
        <v>9781934559277</v>
      </c>
      <c r="C1146" s="1" t="s">
        <v>2342</v>
      </c>
      <c r="D1146" s="2">
        <v>38353</v>
      </c>
      <c r="E1146" s="1" t="s">
        <v>2363</v>
      </c>
      <c r="F1146" s="1" t="s">
        <v>13</v>
      </c>
    </row>
    <row r="1147" spans="1:6" ht="30" customHeight="1" x14ac:dyDescent="0.25">
      <c r="A1147" s="1" t="s">
        <v>2364</v>
      </c>
      <c r="B1147" s="1" t="str">
        <f>"9781934559260"</f>
        <v>9781934559260</v>
      </c>
      <c r="C1147" s="1" t="s">
        <v>2339</v>
      </c>
      <c r="D1147" s="2">
        <v>37591</v>
      </c>
      <c r="E1147" s="1" t="s">
        <v>2365</v>
      </c>
      <c r="F1147" s="1" t="s">
        <v>13</v>
      </c>
    </row>
    <row r="1148" spans="1:6" ht="30" customHeight="1" x14ac:dyDescent="0.25">
      <c r="A1148" s="1" t="s">
        <v>2366</v>
      </c>
      <c r="B1148" s="1" t="str">
        <f>"9781934559338"</f>
        <v>9781934559338</v>
      </c>
      <c r="C1148" s="1" t="s">
        <v>2342</v>
      </c>
      <c r="D1148" s="2">
        <v>38718</v>
      </c>
      <c r="E1148" s="1" t="s">
        <v>2357</v>
      </c>
      <c r="F1148" s="1" t="s">
        <v>13</v>
      </c>
    </row>
    <row r="1149" spans="1:6" ht="30" customHeight="1" x14ac:dyDescent="0.25">
      <c r="A1149" s="1" t="s">
        <v>2367</v>
      </c>
      <c r="B1149" s="1" t="str">
        <f>"9781934559345"</f>
        <v>9781934559345</v>
      </c>
      <c r="C1149" s="1" t="s">
        <v>2339</v>
      </c>
      <c r="D1149" s="2">
        <v>37653</v>
      </c>
      <c r="E1149" s="1" t="s">
        <v>2368</v>
      </c>
      <c r="F1149" s="1" t="s">
        <v>13</v>
      </c>
    </row>
    <row r="1150" spans="1:6" ht="30" customHeight="1" x14ac:dyDescent="0.25">
      <c r="A1150" s="1" t="s">
        <v>2369</v>
      </c>
      <c r="B1150" s="1" t="str">
        <f>"9781934559352"</f>
        <v>9781934559352</v>
      </c>
      <c r="C1150" s="1" t="s">
        <v>2339</v>
      </c>
      <c r="D1150" s="2">
        <v>37500</v>
      </c>
      <c r="E1150" s="1" t="s">
        <v>2370</v>
      </c>
      <c r="F1150" s="1" t="s">
        <v>13</v>
      </c>
    </row>
    <row r="1151" spans="1:6" ht="30" customHeight="1" x14ac:dyDescent="0.25">
      <c r="A1151" s="1" t="s">
        <v>2371</v>
      </c>
      <c r="B1151" s="1" t="str">
        <f>"9781934559383"</f>
        <v>9781934559383</v>
      </c>
      <c r="C1151" s="1" t="s">
        <v>2342</v>
      </c>
      <c r="D1151" s="2">
        <v>38139</v>
      </c>
      <c r="E1151" s="1" t="s">
        <v>2372</v>
      </c>
      <c r="F1151" s="1" t="s">
        <v>214</v>
      </c>
    </row>
    <row r="1152" spans="1:6" ht="30" customHeight="1" x14ac:dyDescent="0.25">
      <c r="A1152" s="1" t="s">
        <v>2373</v>
      </c>
      <c r="B1152" s="1" t="str">
        <f>"9781934559413"</f>
        <v>9781934559413</v>
      </c>
      <c r="C1152" s="1" t="s">
        <v>2342</v>
      </c>
      <c r="D1152" s="2">
        <v>37622</v>
      </c>
      <c r="E1152" s="1" t="s">
        <v>2374</v>
      </c>
      <c r="F1152" s="1" t="s">
        <v>13</v>
      </c>
    </row>
    <row r="1153" spans="1:6" ht="30" customHeight="1" x14ac:dyDescent="0.25">
      <c r="A1153" s="1" t="s">
        <v>2375</v>
      </c>
      <c r="B1153" s="1" t="str">
        <f>"9781934559420"</f>
        <v>9781934559420</v>
      </c>
      <c r="C1153" s="1" t="s">
        <v>2342</v>
      </c>
      <c r="D1153" s="2">
        <v>38718</v>
      </c>
      <c r="E1153" s="1" t="s">
        <v>2376</v>
      </c>
      <c r="F1153" s="1" t="s">
        <v>13</v>
      </c>
    </row>
    <row r="1154" spans="1:6" ht="30" customHeight="1" x14ac:dyDescent="0.25">
      <c r="A1154" s="1" t="s">
        <v>2377</v>
      </c>
      <c r="B1154" s="1" t="str">
        <f>"9781845441838"</f>
        <v>9781845441838</v>
      </c>
      <c r="C1154" s="1" t="s">
        <v>971</v>
      </c>
      <c r="D1154" s="2">
        <v>38247</v>
      </c>
      <c r="E1154" s="1" t="s">
        <v>2378</v>
      </c>
      <c r="F1154" s="1" t="s">
        <v>30</v>
      </c>
    </row>
    <row r="1155" spans="1:6" ht="30" customHeight="1" x14ac:dyDescent="0.25">
      <c r="A1155" s="1" t="s">
        <v>2379</v>
      </c>
      <c r="B1155" s="1" t="str">
        <f>"9781845931865"</f>
        <v>9781845931865</v>
      </c>
      <c r="C1155" s="1" t="s">
        <v>2321</v>
      </c>
      <c r="D1155" s="2">
        <v>39083</v>
      </c>
      <c r="E1155" s="1" t="s">
        <v>2380</v>
      </c>
      <c r="F1155" s="1" t="s">
        <v>95</v>
      </c>
    </row>
    <row r="1156" spans="1:6" ht="30" customHeight="1" x14ac:dyDescent="0.25">
      <c r="A1156" s="1" t="s">
        <v>2381</v>
      </c>
      <c r="B1156" s="1" t="str">
        <f>"9780335225934"</f>
        <v>9780335225934</v>
      </c>
      <c r="C1156" s="1" t="s">
        <v>2247</v>
      </c>
      <c r="D1156" s="2">
        <v>38534</v>
      </c>
      <c r="E1156" s="1" t="s">
        <v>2382</v>
      </c>
      <c r="F1156" s="1" t="s">
        <v>2383</v>
      </c>
    </row>
    <row r="1157" spans="1:6" ht="30" customHeight="1" x14ac:dyDescent="0.25">
      <c r="A1157" s="1" t="s">
        <v>2384</v>
      </c>
      <c r="B1157" s="1" t="str">
        <f>"9780335225620"</f>
        <v>9780335225620</v>
      </c>
      <c r="C1157" s="1" t="s">
        <v>2247</v>
      </c>
      <c r="D1157" s="2">
        <v>38292</v>
      </c>
      <c r="E1157" s="1" t="s">
        <v>2385</v>
      </c>
      <c r="F1157" s="1" t="s">
        <v>30</v>
      </c>
    </row>
    <row r="1158" spans="1:6" ht="30" customHeight="1" x14ac:dyDescent="0.25">
      <c r="A1158" s="1" t="s">
        <v>2386</v>
      </c>
      <c r="B1158" s="1" t="str">
        <f>"9781846420016"</f>
        <v>9781846420016</v>
      </c>
      <c r="C1158" s="1" t="s">
        <v>2387</v>
      </c>
      <c r="D1158" s="2">
        <v>38061</v>
      </c>
      <c r="E1158" s="1" t="s">
        <v>2388</v>
      </c>
      <c r="F1158" s="1" t="s">
        <v>291</v>
      </c>
    </row>
    <row r="1159" spans="1:6" ht="30" customHeight="1" x14ac:dyDescent="0.25">
      <c r="A1159" s="1" t="s">
        <v>2389</v>
      </c>
      <c r="B1159" s="1" t="str">
        <f>"9781846420023"</f>
        <v>9781846420023</v>
      </c>
      <c r="C1159" s="1" t="s">
        <v>2387</v>
      </c>
      <c r="D1159" s="2">
        <v>38245</v>
      </c>
      <c r="E1159" s="1" t="s">
        <v>2390</v>
      </c>
      <c r="F1159" s="1" t="s">
        <v>13</v>
      </c>
    </row>
    <row r="1160" spans="1:6" ht="30" customHeight="1" x14ac:dyDescent="0.25">
      <c r="A1160" s="1" t="s">
        <v>2391</v>
      </c>
      <c r="B1160" s="1" t="str">
        <f>"9781846420030"</f>
        <v>9781846420030</v>
      </c>
      <c r="C1160" s="1" t="s">
        <v>2387</v>
      </c>
      <c r="D1160" s="2">
        <v>38122</v>
      </c>
      <c r="E1160" s="1" t="s">
        <v>2392</v>
      </c>
      <c r="F1160" s="1" t="s">
        <v>904</v>
      </c>
    </row>
    <row r="1161" spans="1:6" ht="30" customHeight="1" x14ac:dyDescent="0.25">
      <c r="A1161" s="1" t="s">
        <v>2393</v>
      </c>
      <c r="B1161" s="1" t="str">
        <f>"9781846420047"</f>
        <v>9781846420047</v>
      </c>
      <c r="C1161" s="1" t="s">
        <v>2387</v>
      </c>
      <c r="D1161" s="2">
        <v>38061</v>
      </c>
      <c r="E1161" s="1" t="s">
        <v>2394</v>
      </c>
      <c r="F1161" s="1" t="s">
        <v>13</v>
      </c>
    </row>
    <row r="1162" spans="1:6" ht="30" customHeight="1" x14ac:dyDescent="0.25">
      <c r="A1162" s="1" t="s">
        <v>2395</v>
      </c>
      <c r="B1162" s="1" t="str">
        <f>"9781846420061"</f>
        <v>9781846420061</v>
      </c>
      <c r="C1162" s="1" t="s">
        <v>2387</v>
      </c>
      <c r="D1162" s="2">
        <v>38153</v>
      </c>
      <c r="E1162" s="1" t="s">
        <v>2396</v>
      </c>
      <c r="F1162" s="1" t="s">
        <v>13</v>
      </c>
    </row>
    <row r="1163" spans="1:6" ht="30" customHeight="1" x14ac:dyDescent="0.25">
      <c r="A1163" s="1" t="s">
        <v>2397</v>
      </c>
      <c r="B1163" s="1" t="str">
        <f>"9781846420078"</f>
        <v>9781846420078</v>
      </c>
      <c r="C1163" s="1" t="s">
        <v>2387</v>
      </c>
      <c r="D1163" s="2">
        <v>38071</v>
      </c>
      <c r="E1163" s="1" t="s">
        <v>2398</v>
      </c>
      <c r="F1163" s="1" t="s">
        <v>13</v>
      </c>
    </row>
    <row r="1164" spans="1:6" ht="30" customHeight="1" x14ac:dyDescent="0.25">
      <c r="A1164" s="1" t="s">
        <v>2399</v>
      </c>
      <c r="B1164" s="1" t="str">
        <f>"9781846420092"</f>
        <v>9781846420092</v>
      </c>
      <c r="C1164" s="1" t="s">
        <v>2387</v>
      </c>
      <c r="D1164" s="2">
        <v>38188</v>
      </c>
      <c r="E1164" s="1" t="s">
        <v>2400</v>
      </c>
      <c r="F1164" s="1" t="s">
        <v>13</v>
      </c>
    </row>
    <row r="1165" spans="1:6" ht="30" customHeight="1" x14ac:dyDescent="0.25">
      <c r="A1165" s="1" t="s">
        <v>2401</v>
      </c>
      <c r="B1165" s="1" t="str">
        <f>"9781846420115"</f>
        <v>9781846420115</v>
      </c>
      <c r="C1165" s="1" t="s">
        <v>2387</v>
      </c>
      <c r="D1165" s="2">
        <v>38183</v>
      </c>
      <c r="E1165" s="1" t="s">
        <v>2402</v>
      </c>
      <c r="F1165" s="1" t="s">
        <v>13</v>
      </c>
    </row>
    <row r="1166" spans="1:6" ht="30" customHeight="1" x14ac:dyDescent="0.25">
      <c r="A1166" s="1" t="s">
        <v>2403</v>
      </c>
      <c r="B1166" s="1" t="str">
        <f>"9781846420160"</f>
        <v>9781846420160</v>
      </c>
      <c r="C1166" s="1" t="s">
        <v>2387</v>
      </c>
      <c r="D1166" s="2">
        <v>38153</v>
      </c>
      <c r="E1166" s="1" t="s">
        <v>2404</v>
      </c>
      <c r="F1166" s="1" t="s">
        <v>13</v>
      </c>
    </row>
    <row r="1167" spans="1:6" ht="30" customHeight="1" x14ac:dyDescent="0.25">
      <c r="A1167" s="1" t="s">
        <v>2405</v>
      </c>
      <c r="B1167" s="1" t="str">
        <f>"9781846420207"</f>
        <v>9781846420207</v>
      </c>
      <c r="C1167" s="1" t="s">
        <v>2387</v>
      </c>
      <c r="D1167" s="2">
        <v>38245</v>
      </c>
      <c r="E1167" s="1" t="s">
        <v>2406</v>
      </c>
      <c r="F1167" s="1" t="s">
        <v>13</v>
      </c>
    </row>
    <row r="1168" spans="1:6" ht="30" customHeight="1" x14ac:dyDescent="0.25">
      <c r="A1168" s="1" t="s">
        <v>2407</v>
      </c>
      <c r="B1168" s="1" t="str">
        <f>"9781846420221"</f>
        <v>9781846420221</v>
      </c>
      <c r="C1168" s="1" t="s">
        <v>2387</v>
      </c>
      <c r="D1168" s="2">
        <v>38275</v>
      </c>
      <c r="E1168" s="1" t="s">
        <v>2408</v>
      </c>
      <c r="F1168" s="1" t="s">
        <v>13</v>
      </c>
    </row>
    <row r="1169" spans="1:6" ht="30" customHeight="1" x14ac:dyDescent="0.25">
      <c r="A1169" s="1" t="s">
        <v>2409</v>
      </c>
      <c r="B1169" s="1" t="str">
        <f>"9781846420238"</f>
        <v>9781846420238</v>
      </c>
      <c r="C1169" s="1" t="s">
        <v>2387</v>
      </c>
      <c r="D1169" s="2">
        <v>38161</v>
      </c>
      <c r="E1169" s="1" t="s">
        <v>2410</v>
      </c>
      <c r="F1169" s="1" t="s">
        <v>70</v>
      </c>
    </row>
    <row r="1170" spans="1:6" ht="30" customHeight="1" x14ac:dyDescent="0.25">
      <c r="A1170" s="1" t="s">
        <v>2411</v>
      </c>
      <c r="B1170" s="1" t="str">
        <f>"9781846420252"</f>
        <v>9781846420252</v>
      </c>
      <c r="C1170" s="1" t="s">
        <v>2387</v>
      </c>
      <c r="D1170" s="2">
        <v>38204</v>
      </c>
      <c r="E1170" s="1" t="s">
        <v>2412</v>
      </c>
      <c r="F1170" s="1" t="s">
        <v>13</v>
      </c>
    </row>
    <row r="1171" spans="1:6" ht="30" customHeight="1" x14ac:dyDescent="0.25">
      <c r="A1171" s="1" t="s">
        <v>2413</v>
      </c>
      <c r="B1171" s="1" t="str">
        <f>"9781846420269"</f>
        <v>9781846420269</v>
      </c>
      <c r="C1171" s="1" t="s">
        <v>2387</v>
      </c>
      <c r="D1171" s="2">
        <v>38048</v>
      </c>
      <c r="E1171" s="1" t="s">
        <v>2414</v>
      </c>
      <c r="F1171" s="1" t="s">
        <v>304</v>
      </c>
    </row>
    <row r="1172" spans="1:6" ht="30" customHeight="1" x14ac:dyDescent="0.25">
      <c r="A1172" s="1" t="s">
        <v>2415</v>
      </c>
      <c r="B1172" s="1" t="str">
        <f>"9781846420283"</f>
        <v>9781846420283</v>
      </c>
      <c r="C1172" s="1" t="s">
        <v>2387</v>
      </c>
      <c r="D1172" s="2">
        <v>38055</v>
      </c>
      <c r="E1172" s="1" t="s">
        <v>2416</v>
      </c>
      <c r="F1172" s="1" t="s">
        <v>13</v>
      </c>
    </row>
    <row r="1173" spans="1:6" ht="30" customHeight="1" x14ac:dyDescent="0.25">
      <c r="A1173" s="1" t="s">
        <v>2417</v>
      </c>
      <c r="B1173" s="1" t="str">
        <f>"9781846420290"</f>
        <v>9781846420290</v>
      </c>
      <c r="C1173" s="1" t="s">
        <v>2387</v>
      </c>
      <c r="D1173" s="2">
        <v>38214</v>
      </c>
      <c r="E1173" s="1" t="s">
        <v>2418</v>
      </c>
      <c r="F1173" s="1" t="s">
        <v>13</v>
      </c>
    </row>
    <row r="1174" spans="1:6" ht="30" customHeight="1" x14ac:dyDescent="0.25">
      <c r="A1174" s="1" t="s">
        <v>2419</v>
      </c>
      <c r="B1174" s="1" t="str">
        <f>"9781846420313"</f>
        <v>9781846420313</v>
      </c>
      <c r="C1174" s="1" t="s">
        <v>2387</v>
      </c>
      <c r="D1174" s="2">
        <v>37909</v>
      </c>
      <c r="E1174" s="1" t="s">
        <v>2420</v>
      </c>
      <c r="F1174" s="1" t="s">
        <v>13</v>
      </c>
    </row>
    <row r="1175" spans="1:6" ht="30" customHeight="1" x14ac:dyDescent="0.25">
      <c r="A1175" s="1" t="s">
        <v>2421</v>
      </c>
      <c r="B1175" s="1" t="str">
        <f>"9781846420320"</f>
        <v>9781846420320</v>
      </c>
      <c r="C1175" s="1" t="s">
        <v>2387</v>
      </c>
      <c r="D1175" s="2">
        <v>38275</v>
      </c>
      <c r="E1175" s="1" t="s">
        <v>2422</v>
      </c>
      <c r="F1175" s="1" t="s">
        <v>13</v>
      </c>
    </row>
    <row r="1176" spans="1:6" ht="30" customHeight="1" x14ac:dyDescent="0.25">
      <c r="A1176" s="1" t="s">
        <v>2423</v>
      </c>
      <c r="B1176" s="1" t="str">
        <f>"9781846420337"</f>
        <v>9781846420337</v>
      </c>
      <c r="C1176" s="1" t="s">
        <v>2387</v>
      </c>
      <c r="D1176" s="2">
        <v>38012</v>
      </c>
      <c r="E1176" s="1" t="s">
        <v>2424</v>
      </c>
      <c r="F1176" s="1" t="s">
        <v>13</v>
      </c>
    </row>
    <row r="1177" spans="1:6" ht="30" customHeight="1" x14ac:dyDescent="0.25">
      <c r="A1177" s="1" t="s">
        <v>2425</v>
      </c>
      <c r="B1177" s="1" t="str">
        <f>"9781846420351"</f>
        <v>9781846420351</v>
      </c>
      <c r="C1177" s="1" t="s">
        <v>2387</v>
      </c>
      <c r="D1177" s="2">
        <v>37940</v>
      </c>
      <c r="E1177" s="1" t="s">
        <v>2426</v>
      </c>
      <c r="F1177" s="1" t="s">
        <v>13</v>
      </c>
    </row>
    <row r="1178" spans="1:6" ht="30" customHeight="1" x14ac:dyDescent="0.25">
      <c r="A1178" s="1" t="s">
        <v>2427</v>
      </c>
      <c r="B1178" s="1" t="str">
        <f>"9781846420368"</f>
        <v>9781846420368</v>
      </c>
      <c r="C1178" s="1" t="s">
        <v>2387</v>
      </c>
      <c r="D1178" s="2">
        <v>38122</v>
      </c>
      <c r="E1178" s="1" t="s">
        <v>2428</v>
      </c>
      <c r="F1178" s="1" t="s">
        <v>13</v>
      </c>
    </row>
    <row r="1179" spans="1:6" ht="30" customHeight="1" x14ac:dyDescent="0.25">
      <c r="A1179" s="1" t="s">
        <v>2429</v>
      </c>
      <c r="B1179" s="1" t="str">
        <f>"9781846420382"</f>
        <v>9781846420382</v>
      </c>
      <c r="C1179" s="1" t="s">
        <v>2387</v>
      </c>
      <c r="D1179" s="2">
        <v>38214</v>
      </c>
      <c r="E1179" s="1" t="s">
        <v>2430</v>
      </c>
      <c r="F1179" s="1" t="s">
        <v>13</v>
      </c>
    </row>
    <row r="1180" spans="1:6" ht="30" customHeight="1" x14ac:dyDescent="0.25">
      <c r="A1180" s="1" t="s">
        <v>2431</v>
      </c>
      <c r="B1180" s="1" t="str">
        <f>"9781846420399"</f>
        <v>9781846420399</v>
      </c>
      <c r="C1180" s="1" t="s">
        <v>2387</v>
      </c>
      <c r="D1180" s="2">
        <v>38061</v>
      </c>
      <c r="E1180" s="1" t="s">
        <v>2432</v>
      </c>
      <c r="F1180" s="1" t="s">
        <v>158</v>
      </c>
    </row>
    <row r="1181" spans="1:6" ht="30" customHeight="1" x14ac:dyDescent="0.25">
      <c r="A1181" s="1" t="s">
        <v>2433</v>
      </c>
      <c r="B1181" s="1" t="str">
        <f>"9781846420443"</f>
        <v>9781846420443</v>
      </c>
      <c r="C1181" s="1" t="s">
        <v>2387</v>
      </c>
      <c r="D1181" s="2">
        <v>38061</v>
      </c>
      <c r="E1181" s="1" t="s">
        <v>2434</v>
      </c>
      <c r="F1181" s="1" t="s">
        <v>13</v>
      </c>
    </row>
    <row r="1182" spans="1:6" ht="30" customHeight="1" x14ac:dyDescent="0.25">
      <c r="A1182" s="1" t="s">
        <v>2435</v>
      </c>
      <c r="B1182" s="1" t="str">
        <f>"9781846420481"</f>
        <v>9781846420481</v>
      </c>
      <c r="C1182" s="1" t="s">
        <v>2387</v>
      </c>
      <c r="D1182" s="2">
        <v>38122</v>
      </c>
      <c r="E1182" s="1" t="s">
        <v>2436</v>
      </c>
      <c r="F1182" s="1" t="s">
        <v>70</v>
      </c>
    </row>
    <row r="1183" spans="1:6" ht="30" customHeight="1" x14ac:dyDescent="0.25">
      <c r="A1183" s="1" t="s">
        <v>2437</v>
      </c>
      <c r="B1183" s="1" t="str">
        <f>"9781846420535"</f>
        <v>9781846420535</v>
      </c>
      <c r="C1183" s="1" t="s">
        <v>2387</v>
      </c>
      <c r="D1183" s="2">
        <v>38153</v>
      </c>
      <c r="E1183" s="1" t="s">
        <v>2438</v>
      </c>
      <c r="F1183" s="1" t="s">
        <v>95</v>
      </c>
    </row>
    <row r="1184" spans="1:6" ht="30" customHeight="1" x14ac:dyDescent="0.25">
      <c r="A1184" s="1" t="s">
        <v>2439</v>
      </c>
      <c r="B1184" s="1" t="str">
        <f>"9781846420542"</f>
        <v>9781846420542</v>
      </c>
      <c r="C1184" s="1" t="s">
        <v>2387</v>
      </c>
      <c r="D1184" s="2">
        <v>38061</v>
      </c>
      <c r="E1184" s="1" t="s">
        <v>2440</v>
      </c>
      <c r="F1184" s="1" t="s">
        <v>599</v>
      </c>
    </row>
    <row r="1185" spans="1:6" ht="30" customHeight="1" x14ac:dyDescent="0.25">
      <c r="A1185" s="1" t="s">
        <v>2441</v>
      </c>
      <c r="B1185" s="1" t="str">
        <f>"9781846420559"</f>
        <v>9781846420559</v>
      </c>
      <c r="C1185" s="1" t="s">
        <v>2387</v>
      </c>
      <c r="D1185" s="2">
        <v>38032</v>
      </c>
      <c r="E1185" s="1" t="s">
        <v>2442</v>
      </c>
      <c r="F1185" s="1" t="s">
        <v>2443</v>
      </c>
    </row>
    <row r="1186" spans="1:6" ht="30" customHeight="1" x14ac:dyDescent="0.25">
      <c r="A1186" s="1" t="s">
        <v>2444</v>
      </c>
      <c r="B1186" s="1" t="str">
        <f>"9781846420566"</f>
        <v>9781846420566</v>
      </c>
      <c r="C1186" s="1" t="s">
        <v>2387</v>
      </c>
      <c r="D1186" s="2">
        <v>38275</v>
      </c>
      <c r="E1186" s="1" t="s">
        <v>2445</v>
      </c>
      <c r="F1186" s="1" t="s">
        <v>13</v>
      </c>
    </row>
    <row r="1187" spans="1:6" ht="30" customHeight="1" x14ac:dyDescent="0.25">
      <c r="A1187" s="1" t="s">
        <v>2446</v>
      </c>
      <c r="B1187" s="1" t="str">
        <f>"9781846420580"</f>
        <v>9781846420580</v>
      </c>
      <c r="C1187" s="1" t="s">
        <v>2387</v>
      </c>
      <c r="D1187" s="2">
        <v>38001</v>
      </c>
      <c r="E1187" s="1" t="s">
        <v>2447</v>
      </c>
      <c r="F1187" s="1" t="s">
        <v>13</v>
      </c>
    </row>
    <row r="1188" spans="1:6" ht="30" customHeight="1" x14ac:dyDescent="0.25">
      <c r="A1188" s="1" t="s">
        <v>2448</v>
      </c>
      <c r="B1188" s="1" t="str">
        <f>"9781846420597"</f>
        <v>9781846420597</v>
      </c>
      <c r="C1188" s="1" t="s">
        <v>2387</v>
      </c>
      <c r="D1188" s="2">
        <v>38061</v>
      </c>
      <c r="E1188" s="1" t="s">
        <v>2449</v>
      </c>
      <c r="F1188" s="1" t="s">
        <v>13</v>
      </c>
    </row>
    <row r="1189" spans="1:6" ht="30" customHeight="1" x14ac:dyDescent="0.25">
      <c r="A1189" s="1" t="s">
        <v>2450</v>
      </c>
      <c r="B1189" s="1" t="str">
        <f>"9781846420627"</f>
        <v>9781846420627</v>
      </c>
      <c r="C1189" s="1" t="s">
        <v>2387</v>
      </c>
      <c r="D1189" s="2">
        <v>38275</v>
      </c>
      <c r="E1189" s="1" t="s">
        <v>2451</v>
      </c>
      <c r="F1189" s="1" t="s">
        <v>13</v>
      </c>
    </row>
    <row r="1190" spans="1:6" ht="30" customHeight="1" x14ac:dyDescent="0.25">
      <c r="A1190" s="1" t="s">
        <v>2452</v>
      </c>
      <c r="B1190" s="1" t="str">
        <f>"9781846420634"</f>
        <v>9781846420634</v>
      </c>
      <c r="C1190" s="1" t="s">
        <v>2387</v>
      </c>
      <c r="D1190" s="2">
        <v>38245</v>
      </c>
      <c r="E1190" s="1" t="s">
        <v>2453</v>
      </c>
      <c r="F1190" s="1" t="s">
        <v>13</v>
      </c>
    </row>
    <row r="1191" spans="1:6" ht="30" customHeight="1" x14ac:dyDescent="0.25">
      <c r="A1191" s="1" t="s">
        <v>2454</v>
      </c>
      <c r="B1191" s="1" t="str">
        <f>"9781846420702"</f>
        <v>9781846420702</v>
      </c>
      <c r="C1191" s="1" t="s">
        <v>2387</v>
      </c>
      <c r="D1191" s="2">
        <v>37751</v>
      </c>
      <c r="E1191" s="1" t="s">
        <v>2455</v>
      </c>
      <c r="F1191" s="1" t="s">
        <v>13</v>
      </c>
    </row>
    <row r="1192" spans="1:6" ht="30" customHeight="1" x14ac:dyDescent="0.25">
      <c r="A1192" s="1" t="s">
        <v>2456</v>
      </c>
      <c r="B1192" s="1" t="str">
        <f>"9781846420733"</f>
        <v>9781846420733</v>
      </c>
      <c r="C1192" s="1" t="s">
        <v>2387</v>
      </c>
      <c r="D1192" s="2">
        <v>38183</v>
      </c>
      <c r="E1192" s="1" t="s">
        <v>2457</v>
      </c>
      <c r="F1192" s="1" t="s">
        <v>13</v>
      </c>
    </row>
    <row r="1193" spans="1:6" ht="30" customHeight="1" x14ac:dyDescent="0.25">
      <c r="A1193" s="1" t="s">
        <v>2458</v>
      </c>
      <c r="B1193" s="1" t="str">
        <f>"9781846420771"</f>
        <v>9781846420771</v>
      </c>
      <c r="C1193" s="1" t="s">
        <v>2387</v>
      </c>
      <c r="D1193" s="2">
        <v>38308</v>
      </c>
      <c r="E1193" s="1" t="s">
        <v>2459</v>
      </c>
      <c r="F1193" s="1" t="s">
        <v>2460</v>
      </c>
    </row>
    <row r="1194" spans="1:6" ht="30" customHeight="1" x14ac:dyDescent="0.25">
      <c r="A1194" s="1" t="s">
        <v>2461</v>
      </c>
      <c r="B1194" s="1" t="str">
        <f>"9781846420795"</f>
        <v>9781846420795</v>
      </c>
      <c r="C1194" s="1" t="s">
        <v>2387</v>
      </c>
      <c r="D1194" s="2">
        <v>38001</v>
      </c>
      <c r="E1194" s="1" t="s">
        <v>2462</v>
      </c>
      <c r="F1194" s="1" t="s">
        <v>13</v>
      </c>
    </row>
    <row r="1195" spans="1:6" ht="30" customHeight="1" x14ac:dyDescent="0.25">
      <c r="A1195" s="1" t="s">
        <v>2463</v>
      </c>
      <c r="B1195" s="1" t="str">
        <f>"9781846420818"</f>
        <v>9781846420818</v>
      </c>
      <c r="C1195" s="1" t="s">
        <v>2387</v>
      </c>
      <c r="D1195" s="2">
        <v>38032</v>
      </c>
      <c r="E1195" s="1" t="s">
        <v>2464</v>
      </c>
      <c r="F1195" s="1" t="s">
        <v>13</v>
      </c>
    </row>
    <row r="1196" spans="1:6" ht="30" customHeight="1" x14ac:dyDescent="0.25">
      <c r="A1196" s="1" t="s">
        <v>2465</v>
      </c>
      <c r="B1196" s="1" t="str">
        <f>"9781846420825"</f>
        <v>9781846420825</v>
      </c>
      <c r="C1196" s="1" t="s">
        <v>2387</v>
      </c>
      <c r="D1196" s="2">
        <v>37787</v>
      </c>
      <c r="E1196" s="1" t="s">
        <v>2466</v>
      </c>
      <c r="F1196" s="1" t="s">
        <v>13</v>
      </c>
    </row>
    <row r="1197" spans="1:6" ht="30" customHeight="1" x14ac:dyDescent="0.25">
      <c r="A1197" s="1" t="s">
        <v>2467</v>
      </c>
      <c r="B1197" s="1" t="str">
        <f>"9781846420856"</f>
        <v>9781846420856</v>
      </c>
      <c r="C1197" s="1" t="s">
        <v>2387</v>
      </c>
      <c r="D1197" s="2">
        <v>38791</v>
      </c>
      <c r="E1197" s="1" t="s">
        <v>2468</v>
      </c>
      <c r="F1197" s="1" t="s">
        <v>13</v>
      </c>
    </row>
    <row r="1198" spans="1:6" ht="30" customHeight="1" x14ac:dyDescent="0.25">
      <c r="A1198" s="1" t="s">
        <v>2469</v>
      </c>
      <c r="B1198" s="1" t="str">
        <f>"9781846420870"</f>
        <v>9781846420870</v>
      </c>
      <c r="C1198" s="1" t="s">
        <v>2387</v>
      </c>
      <c r="D1198" s="2">
        <v>38426</v>
      </c>
      <c r="E1198" s="1" t="s">
        <v>2470</v>
      </c>
      <c r="F1198" s="1" t="s">
        <v>13</v>
      </c>
    </row>
    <row r="1199" spans="1:6" ht="30" customHeight="1" x14ac:dyDescent="0.25">
      <c r="A1199" s="1" t="s">
        <v>2471</v>
      </c>
      <c r="B1199" s="1" t="str">
        <f>"9781846420887"</f>
        <v>9781846420887</v>
      </c>
      <c r="C1199" s="1" t="s">
        <v>2387</v>
      </c>
      <c r="D1199" s="2">
        <v>38426</v>
      </c>
      <c r="E1199" s="1" t="s">
        <v>2472</v>
      </c>
      <c r="F1199" s="1" t="s">
        <v>13</v>
      </c>
    </row>
    <row r="1200" spans="1:6" ht="30" customHeight="1" x14ac:dyDescent="0.25">
      <c r="A1200" s="1" t="s">
        <v>2473</v>
      </c>
      <c r="B1200" s="1" t="str">
        <f>"9781846420917"</f>
        <v>9781846420917</v>
      </c>
      <c r="C1200" s="1" t="s">
        <v>2387</v>
      </c>
      <c r="D1200" s="2">
        <v>38426</v>
      </c>
      <c r="E1200" s="1" t="s">
        <v>2474</v>
      </c>
      <c r="F1200" s="1" t="s">
        <v>33</v>
      </c>
    </row>
    <row r="1201" spans="1:6" ht="30" customHeight="1" x14ac:dyDescent="0.25">
      <c r="A1201" s="1" t="s">
        <v>2475</v>
      </c>
      <c r="B1201" s="1" t="str">
        <f>"9781846420924"</f>
        <v>9781846420924</v>
      </c>
      <c r="C1201" s="1" t="s">
        <v>2387</v>
      </c>
      <c r="D1201" s="2">
        <v>38426</v>
      </c>
      <c r="E1201" s="1" t="s">
        <v>2476</v>
      </c>
      <c r="F1201" s="1" t="s">
        <v>13</v>
      </c>
    </row>
    <row r="1202" spans="1:6" ht="30" customHeight="1" x14ac:dyDescent="0.25">
      <c r="A1202" s="1" t="s">
        <v>2477</v>
      </c>
      <c r="B1202" s="1" t="str">
        <f>"9781846420931"</f>
        <v>9781846420931</v>
      </c>
      <c r="C1202" s="1" t="s">
        <v>2387</v>
      </c>
      <c r="D1202" s="2">
        <v>38367</v>
      </c>
      <c r="E1202" s="1" t="s">
        <v>2478</v>
      </c>
      <c r="F1202" s="1" t="s">
        <v>13</v>
      </c>
    </row>
    <row r="1203" spans="1:6" ht="30" customHeight="1" x14ac:dyDescent="0.25">
      <c r="A1203" s="1" t="s">
        <v>2479</v>
      </c>
      <c r="B1203" s="1" t="str">
        <f>"9781846420948"</f>
        <v>9781846420948</v>
      </c>
      <c r="C1203" s="1" t="s">
        <v>2387</v>
      </c>
      <c r="D1203" s="2">
        <v>38367</v>
      </c>
      <c r="E1203" s="1" t="s">
        <v>2480</v>
      </c>
      <c r="F1203" s="1" t="s">
        <v>904</v>
      </c>
    </row>
    <row r="1204" spans="1:6" ht="30" customHeight="1" x14ac:dyDescent="0.25">
      <c r="A1204" s="1" t="s">
        <v>2481</v>
      </c>
      <c r="B1204" s="1" t="str">
        <f>"9781846420955"</f>
        <v>9781846420955</v>
      </c>
      <c r="C1204" s="1" t="s">
        <v>2387</v>
      </c>
      <c r="D1204" s="2">
        <v>38398</v>
      </c>
      <c r="E1204" s="1" t="s">
        <v>2482</v>
      </c>
      <c r="F1204" s="1" t="s">
        <v>214</v>
      </c>
    </row>
    <row r="1205" spans="1:6" ht="30" customHeight="1" x14ac:dyDescent="0.25">
      <c r="A1205" s="1" t="s">
        <v>2483</v>
      </c>
      <c r="B1205" s="1" t="str">
        <f>"9781846420962"</f>
        <v>9781846420962</v>
      </c>
      <c r="C1205" s="1" t="s">
        <v>2387</v>
      </c>
      <c r="D1205" s="2">
        <v>38398</v>
      </c>
      <c r="E1205" s="1" t="s">
        <v>2484</v>
      </c>
      <c r="F1205" s="1" t="s">
        <v>13</v>
      </c>
    </row>
    <row r="1206" spans="1:6" ht="30" customHeight="1" x14ac:dyDescent="0.25">
      <c r="A1206" s="1" t="s">
        <v>2485</v>
      </c>
      <c r="B1206" s="1" t="str">
        <f>"9781846420979"</f>
        <v>9781846420979</v>
      </c>
      <c r="C1206" s="1" t="s">
        <v>2387</v>
      </c>
      <c r="D1206" s="2">
        <v>38398</v>
      </c>
      <c r="E1206" s="1" t="s">
        <v>2486</v>
      </c>
      <c r="F1206" s="1" t="s">
        <v>70</v>
      </c>
    </row>
    <row r="1207" spans="1:6" ht="30" customHeight="1" x14ac:dyDescent="0.25">
      <c r="A1207" s="1" t="s">
        <v>2487</v>
      </c>
      <c r="B1207" s="1" t="str">
        <f>"9781846421020"</f>
        <v>9781846421020</v>
      </c>
      <c r="C1207" s="1" t="s">
        <v>2387</v>
      </c>
      <c r="D1207" s="2">
        <v>38336</v>
      </c>
      <c r="E1207" s="1" t="s">
        <v>2488</v>
      </c>
      <c r="F1207" s="1" t="s">
        <v>70</v>
      </c>
    </row>
    <row r="1208" spans="1:6" ht="30" customHeight="1" x14ac:dyDescent="0.25">
      <c r="A1208" s="1" t="s">
        <v>2489</v>
      </c>
      <c r="B1208" s="1" t="str">
        <f>"9781846421037"</f>
        <v>9781846421037</v>
      </c>
      <c r="C1208" s="1" t="s">
        <v>2387</v>
      </c>
      <c r="D1208" s="2">
        <v>38367</v>
      </c>
      <c r="E1208" s="1" t="s">
        <v>2490</v>
      </c>
      <c r="F1208" s="1" t="s">
        <v>13</v>
      </c>
    </row>
    <row r="1209" spans="1:6" ht="30" customHeight="1" x14ac:dyDescent="0.25">
      <c r="A1209" s="1" t="s">
        <v>2491</v>
      </c>
      <c r="B1209" s="1" t="str">
        <f>"9781846421044"</f>
        <v>9781846421044</v>
      </c>
      <c r="C1209" s="1" t="s">
        <v>2387</v>
      </c>
      <c r="D1209" s="2">
        <v>38367</v>
      </c>
      <c r="E1209" s="1" t="s">
        <v>2492</v>
      </c>
      <c r="F1209" s="1" t="s">
        <v>13</v>
      </c>
    </row>
    <row r="1210" spans="1:6" ht="30" customHeight="1" x14ac:dyDescent="0.25">
      <c r="A1210" s="1" t="s">
        <v>2493</v>
      </c>
      <c r="B1210" s="1" t="str">
        <f>"9781846421051"</f>
        <v>9781846421051</v>
      </c>
      <c r="C1210" s="1" t="s">
        <v>2387</v>
      </c>
      <c r="D1210" s="2">
        <v>38367</v>
      </c>
      <c r="E1210" s="1" t="s">
        <v>2494</v>
      </c>
      <c r="F1210" s="1" t="s">
        <v>13</v>
      </c>
    </row>
    <row r="1211" spans="1:6" ht="30" customHeight="1" x14ac:dyDescent="0.25">
      <c r="A1211" s="1" t="s">
        <v>2495</v>
      </c>
      <c r="B1211" s="1" t="str">
        <f>"9781846421068"</f>
        <v>9781846421068</v>
      </c>
      <c r="C1211" s="1" t="s">
        <v>2387</v>
      </c>
      <c r="D1211" s="2">
        <v>38367</v>
      </c>
      <c r="E1211" s="1" t="s">
        <v>2496</v>
      </c>
      <c r="F1211" s="1" t="s">
        <v>13</v>
      </c>
    </row>
    <row r="1212" spans="1:6" ht="30" customHeight="1" x14ac:dyDescent="0.25">
      <c r="A1212" s="1" t="s">
        <v>2497</v>
      </c>
      <c r="B1212" s="1" t="str">
        <f>"9781846421112"</f>
        <v>9781846421112</v>
      </c>
      <c r="C1212" s="1" t="s">
        <v>2387</v>
      </c>
      <c r="D1212" s="2">
        <v>38321</v>
      </c>
      <c r="E1212" s="1" t="s">
        <v>2498</v>
      </c>
      <c r="F1212" s="1" t="s">
        <v>13</v>
      </c>
    </row>
    <row r="1213" spans="1:6" ht="30" customHeight="1" x14ac:dyDescent="0.25">
      <c r="A1213" s="1" t="s">
        <v>2499</v>
      </c>
      <c r="B1213" s="1" t="str">
        <f>"9781846421129"</f>
        <v>9781846421129</v>
      </c>
      <c r="C1213" s="1" t="s">
        <v>2387</v>
      </c>
      <c r="D1213" s="2">
        <v>38341</v>
      </c>
      <c r="E1213" s="1" t="s">
        <v>2500</v>
      </c>
      <c r="F1213" s="1" t="s">
        <v>176</v>
      </c>
    </row>
    <row r="1214" spans="1:6" ht="30" customHeight="1" x14ac:dyDescent="0.25">
      <c r="A1214" s="1" t="s">
        <v>2501</v>
      </c>
      <c r="B1214" s="1" t="str">
        <f>"9781846421136"</f>
        <v>9781846421136</v>
      </c>
      <c r="C1214" s="1" t="s">
        <v>2387</v>
      </c>
      <c r="D1214" s="2">
        <v>38336</v>
      </c>
      <c r="E1214" s="1" t="s">
        <v>2502</v>
      </c>
      <c r="F1214" s="1" t="s">
        <v>30</v>
      </c>
    </row>
    <row r="1215" spans="1:6" ht="30" customHeight="1" x14ac:dyDescent="0.25">
      <c r="A1215" s="1" t="s">
        <v>2503</v>
      </c>
      <c r="B1215" s="1" t="str">
        <f>"9781846421143"</f>
        <v>9781846421143</v>
      </c>
      <c r="C1215" s="1" t="s">
        <v>2387</v>
      </c>
      <c r="D1215" s="2">
        <v>38336</v>
      </c>
      <c r="E1215" s="1" t="s">
        <v>2504</v>
      </c>
      <c r="F1215" s="1" t="s">
        <v>406</v>
      </c>
    </row>
    <row r="1216" spans="1:6" ht="30" customHeight="1" x14ac:dyDescent="0.25">
      <c r="A1216" s="1" t="s">
        <v>2505</v>
      </c>
      <c r="B1216" s="1" t="str">
        <f>"9781846421150"</f>
        <v>9781846421150</v>
      </c>
      <c r="C1216" s="1" t="s">
        <v>2387</v>
      </c>
      <c r="D1216" s="2">
        <v>38306</v>
      </c>
      <c r="E1216" s="1" t="s">
        <v>2506</v>
      </c>
      <c r="F1216" s="1" t="s">
        <v>904</v>
      </c>
    </row>
    <row r="1217" spans="1:6" ht="30" customHeight="1" x14ac:dyDescent="0.25">
      <c r="A1217" s="1" t="s">
        <v>2507</v>
      </c>
      <c r="B1217" s="1" t="str">
        <f>"9781846421167"</f>
        <v>9781846421167</v>
      </c>
      <c r="C1217" s="1" t="s">
        <v>2387</v>
      </c>
      <c r="D1217" s="2">
        <v>38308</v>
      </c>
      <c r="E1217" s="1" t="s">
        <v>2508</v>
      </c>
      <c r="F1217" s="1" t="s">
        <v>13</v>
      </c>
    </row>
    <row r="1218" spans="1:6" ht="30" customHeight="1" x14ac:dyDescent="0.25">
      <c r="A1218" s="1" t="s">
        <v>2509</v>
      </c>
      <c r="B1218" s="1" t="str">
        <f>"9781846421181"</f>
        <v>9781846421181</v>
      </c>
      <c r="C1218" s="1" t="s">
        <v>2387</v>
      </c>
      <c r="D1218" s="2">
        <v>38306</v>
      </c>
      <c r="E1218" s="1" t="s">
        <v>2510</v>
      </c>
      <c r="F1218" s="1" t="s">
        <v>13</v>
      </c>
    </row>
    <row r="1219" spans="1:6" ht="30" customHeight="1" x14ac:dyDescent="0.25">
      <c r="A1219" s="1" t="s">
        <v>2511</v>
      </c>
      <c r="B1219" s="1" t="str">
        <f>"9781846421198"</f>
        <v>9781846421198</v>
      </c>
      <c r="C1219" s="1" t="s">
        <v>2387</v>
      </c>
      <c r="D1219" s="2">
        <v>38306</v>
      </c>
      <c r="E1219" s="1" t="s">
        <v>2512</v>
      </c>
      <c r="F1219" s="1" t="s">
        <v>13</v>
      </c>
    </row>
    <row r="1220" spans="1:6" ht="30" customHeight="1" x14ac:dyDescent="0.25">
      <c r="A1220" s="1" t="s">
        <v>2513</v>
      </c>
      <c r="B1220" s="1" t="str">
        <f>"9781846421211"</f>
        <v>9781846421211</v>
      </c>
      <c r="C1220" s="1" t="s">
        <v>2387</v>
      </c>
      <c r="D1220" s="2">
        <v>37787</v>
      </c>
      <c r="E1220" s="1" t="s">
        <v>2514</v>
      </c>
      <c r="F1220" s="1" t="s">
        <v>13</v>
      </c>
    </row>
    <row r="1221" spans="1:6" ht="30" customHeight="1" x14ac:dyDescent="0.25">
      <c r="A1221" s="1" t="s">
        <v>2515</v>
      </c>
      <c r="B1221" s="1" t="str">
        <f>"9781846421235"</f>
        <v>9781846421235</v>
      </c>
      <c r="C1221" s="1" t="s">
        <v>2387</v>
      </c>
      <c r="D1221" s="2">
        <v>38487</v>
      </c>
      <c r="E1221" s="1" t="s">
        <v>2516</v>
      </c>
      <c r="F1221" s="1" t="s">
        <v>158</v>
      </c>
    </row>
    <row r="1222" spans="1:6" ht="30" customHeight="1" x14ac:dyDescent="0.25">
      <c r="A1222" s="1" t="s">
        <v>2517</v>
      </c>
      <c r="B1222" s="1" t="str">
        <f>"9781846421242"</f>
        <v>9781846421242</v>
      </c>
      <c r="C1222" s="1" t="s">
        <v>2387</v>
      </c>
      <c r="D1222" s="2">
        <v>38471</v>
      </c>
      <c r="E1222" s="1" t="s">
        <v>2518</v>
      </c>
      <c r="F1222" s="1" t="s">
        <v>13</v>
      </c>
    </row>
    <row r="1223" spans="1:6" ht="30" customHeight="1" x14ac:dyDescent="0.25">
      <c r="A1223" s="1" t="s">
        <v>2519</v>
      </c>
      <c r="B1223" s="1" t="str">
        <f>"9781846421297"</f>
        <v>9781846421297</v>
      </c>
      <c r="C1223" s="1" t="s">
        <v>2387</v>
      </c>
      <c r="D1223" s="2">
        <v>38457</v>
      </c>
      <c r="E1223" s="1" t="s">
        <v>2520</v>
      </c>
      <c r="F1223" s="1" t="s">
        <v>13</v>
      </c>
    </row>
    <row r="1224" spans="1:6" ht="30" customHeight="1" x14ac:dyDescent="0.25">
      <c r="A1224" s="1" t="s">
        <v>2521</v>
      </c>
      <c r="B1224" s="1" t="str">
        <f>"9781846421303"</f>
        <v>9781846421303</v>
      </c>
      <c r="C1224" s="1" t="s">
        <v>2387</v>
      </c>
      <c r="D1224" s="2">
        <v>38457</v>
      </c>
      <c r="E1224" s="1" t="s">
        <v>2522</v>
      </c>
      <c r="F1224" s="1" t="s">
        <v>13</v>
      </c>
    </row>
    <row r="1225" spans="1:6" ht="30" customHeight="1" x14ac:dyDescent="0.25">
      <c r="A1225" s="1" t="s">
        <v>2523</v>
      </c>
      <c r="B1225" s="1" t="str">
        <f>"9781846421310"</f>
        <v>9781846421310</v>
      </c>
      <c r="C1225" s="1" t="s">
        <v>2387</v>
      </c>
      <c r="D1225" s="2">
        <v>38457</v>
      </c>
      <c r="E1225" s="1" t="s">
        <v>2524</v>
      </c>
      <c r="F1225" s="1" t="s">
        <v>13</v>
      </c>
    </row>
    <row r="1226" spans="1:6" ht="30" customHeight="1" x14ac:dyDescent="0.25">
      <c r="A1226" s="1" t="s">
        <v>2525</v>
      </c>
      <c r="B1226" s="1" t="str">
        <f>"9781846421334"</f>
        <v>9781846421334</v>
      </c>
      <c r="C1226" s="1" t="s">
        <v>2387</v>
      </c>
      <c r="D1226" s="2">
        <v>38548</v>
      </c>
      <c r="E1226" s="1" t="s">
        <v>2526</v>
      </c>
      <c r="F1226" s="1" t="s">
        <v>13</v>
      </c>
    </row>
    <row r="1227" spans="1:6" ht="30" customHeight="1" x14ac:dyDescent="0.25">
      <c r="A1227" s="1" t="s">
        <v>2527</v>
      </c>
      <c r="B1227" s="1" t="str">
        <f>"9781846421358"</f>
        <v>9781846421358</v>
      </c>
      <c r="C1227" s="1" t="s">
        <v>2387</v>
      </c>
      <c r="D1227" s="2">
        <v>38457</v>
      </c>
      <c r="E1227" s="1" t="s">
        <v>2528</v>
      </c>
      <c r="F1227" s="1" t="s">
        <v>13</v>
      </c>
    </row>
    <row r="1228" spans="1:6" ht="30" customHeight="1" x14ac:dyDescent="0.25">
      <c r="A1228" s="1" t="s">
        <v>2529</v>
      </c>
      <c r="B1228" s="1" t="str">
        <f>"9781846421419"</f>
        <v>9781846421419</v>
      </c>
      <c r="C1228" s="1" t="s">
        <v>2387</v>
      </c>
      <c r="D1228" s="2">
        <v>38524</v>
      </c>
      <c r="E1228" s="1" t="s">
        <v>2530</v>
      </c>
      <c r="F1228" s="1" t="s">
        <v>13</v>
      </c>
    </row>
    <row r="1229" spans="1:6" ht="30" customHeight="1" x14ac:dyDescent="0.25">
      <c r="A1229" s="1" t="s">
        <v>2531</v>
      </c>
      <c r="B1229" s="1" t="str">
        <f>"9781846421426"</f>
        <v>9781846421426</v>
      </c>
      <c r="C1229" s="1" t="s">
        <v>2387</v>
      </c>
      <c r="D1229" s="2">
        <v>38532</v>
      </c>
      <c r="E1229" s="1" t="s">
        <v>2532</v>
      </c>
      <c r="F1229" s="1" t="s">
        <v>13</v>
      </c>
    </row>
    <row r="1230" spans="1:6" ht="30" customHeight="1" x14ac:dyDescent="0.25">
      <c r="A1230" s="1" t="s">
        <v>2533</v>
      </c>
      <c r="B1230" s="1" t="str">
        <f>"9781846421433"</f>
        <v>9781846421433</v>
      </c>
      <c r="C1230" s="1" t="s">
        <v>2387</v>
      </c>
      <c r="D1230" s="2">
        <v>38490</v>
      </c>
      <c r="E1230" s="1" t="s">
        <v>2534</v>
      </c>
      <c r="F1230" s="1" t="s">
        <v>104</v>
      </c>
    </row>
    <row r="1231" spans="1:6" ht="30" customHeight="1" x14ac:dyDescent="0.25">
      <c r="A1231" s="1" t="s">
        <v>2535</v>
      </c>
      <c r="B1231" s="1" t="str">
        <f>"9781846421495"</f>
        <v>9781846421495</v>
      </c>
      <c r="C1231" s="1" t="s">
        <v>2387</v>
      </c>
      <c r="D1231" s="2">
        <v>38518</v>
      </c>
      <c r="E1231" s="1" t="s">
        <v>2536</v>
      </c>
      <c r="F1231" s="1" t="s">
        <v>2537</v>
      </c>
    </row>
    <row r="1232" spans="1:6" ht="30" customHeight="1" x14ac:dyDescent="0.25">
      <c r="A1232" s="1" t="s">
        <v>2538</v>
      </c>
      <c r="B1232" s="1" t="str">
        <f>"9781846421501"</f>
        <v>9781846421501</v>
      </c>
      <c r="C1232" s="1" t="s">
        <v>2387</v>
      </c>
      <c r="D1232" s="2">
        <v>38487</v>
      </c>
      <c r="E1232" s="1" t="s">
        <v>2539</v>
      </c>
      <c r="F1232" s="1" t="s">
        <v>13</v>
      </c>
    </row>
    <row r="1233" spans="1:6" ht="30" customHeight="1" x14ac:dyDescent="0.25">
      <c r="A1233" s="1" t="s">
        <v>2540</v>
      </c>
      <c r="B1233" s="1" t="str">
        <f>"9781846421549"</f>
        <v>9781846421549</v>
      </c>
      <c r="C1233" s="1" t="s">
        <v>2387</v>
      </c>
      <c r="D1233" s="2">
        <v>37302</v>
      </c>
      <c r="E1233" s="1" t="s">
        <v>2541</v>
      </c>
      <c r="F1233" s="1" t="s">
        <v>13</v>
      </c>
    </row>
    <row r="1234" spans="1:6" ht="30" customHeight="1" x14ac:dyDescent="0.25">
      <c r="A1234" s="1" t="s">
        <v>2542</v>
      </c>
      <c r="B1234" s="1" t="str">
        <f>"9781846421587"</f>
        <v>9781846421587</v>
      </c>
      <c r="C1234" s="1" t="s">
        <v>2387</v>
      </c>
      <c r="D1234" s="2">
        <v>37970</v>
      </c>
      <c r="E1234" s="1" t="s">
        <v>2543</v>
      </c>
      <c r="F1234" s="1" t="s">
        <v>599</v>
      </c>
    </row>
    <row r="1235" spans="1:6" ht="30" customHeight="1" x14ac:dyDescent="0.25">
      <c r="A1235" s="1" t="s">
        <v>2544</v>
      </c>
      <c r="B1235" s="1" t="str">
        <f>"9781846421594"</f>
        <v>9781846421594</v>
      </c>
      <c r="C1235" s="1" t="s">
        <v>2387</v>
      </c>
      <c r="D1235" s="2">
        <v>37362</v>
      </c>
      <c r="E1235" s="1" t="s">
        <v>2545</v>
      </c>
      <c r="F1235" s="1" t="s">
        <v>13</v>
      </c>
    </row>
    <row r="1236" spans="1:6" ht="30" customHeight="1" x14ac:dyDescent="0.25">
      <c r="A1236" s="1" t="s">
        <v>2546</v>
      </c>
      <c r="B1236" s="1" t="str">
        <f>"9781846421747"</f>
        <v>9781846421747</v>
      </c>
      <c r="C1236" s="1" t="s">
        <v>2387</v>
      </c>
      <c r="D1236" s="2">
        <v>37575</v>
      </c>
      <c r="E1236" s="1" t="s">
        <v>2547</v>
      </c>
      <c r="F1236" s="1" t="s">
        <v>13</v>
      </c>
    </row>
    <row r="1237" spans="1:6" ht="30" customHeight="1" x14ac:dyDescent="0.25">
      <c r="A1237" s="1" t="s">
        <v>2548</v>
      </c>
      <c r="B1237" s="1" t="str">
        <f>"9781846421761"</f>
        <v>9781846421761</v>
      </c>
      <c r="C1237" s="1" t="s">
        <v>2387</v>
      </c>
      <c r="D1237" s="2">
        <v>37330</v>
      </c>
      <c r="E1237" s="1" t="s">
        <v>2549</v>
      </c>
      <c r="F1237" s="1" t="s">
        <v>13</v>
      </c>
    </row>
    <row r="1238" spans="1:6" ht="30" customHeight="1" x14ac:dyDescent="0.25">
      <c r="A1238" s="1" t="s">
        <v>2550</v>
      </c>
      <c r="B1238" s="1" t="str">
        <f>"9781846421914"</f>
        <v>9781846421914</v>
      </c>
      <c r="C1238" s="1" t="s">
        <v>2387</v>
      </c>
      <c r="D1238" s="2">
        <v>37667</v>
      </c>
      <c r="E1238" s="1" t="s">
        <v>2551</v>
      </c>
      <c r="F1238" s="1" t="s">
        <v>13</v>
      </c>
    </row>
    <row r="1239" spans="1:6" ht="30" customHeight="1" x14ac:dyDescent="0.25">
      <c r="A1239" s="1" t="s">
        <v>2552</v>
      </c>
      <c r="B1239" s="1" t="str">
        <f>"9781846422027"</f>
        <v>9781846422027</v>
      </c>
      <c r="C1239" s="1" t="s">
        <v>2387</v>
      </c>
      <c r="D1239" s="2">
        <v>37575</v>
      </c>
      <c r="E1239" s="1" t="s">
        <v>2553</v>
      </c>
      <c r="F1239" s="1" t="s">
        <v>13</v>
      </c>
    </row>
    <row r="1240" spans="1:6" ht="30" customHeight="1" x14ac:dyDescent="0.25">
      <c r="A1240" s="1" t="s">
        <v>2554</v>
      </c>
      <c r="B1240" s="1" t="str">
        <f>"9781846422348"</f>
        <v>9781846422348</v>
      </c>
      <c r="C1240" s="1" t="s">
        <v>2387</v>
      </c>
      <c r="D1240" s="2">
        <v>38601</v>
      </c>
      <c r="E1240" s="1" t="s">
        <v>2555</v>
      </c>
      <c r="F1240" s="1" t="s">
        <v>158</v>
      </c>
    </row>
    <row r="1241" spans="1:6" ht="30" customHeight="1" x14ac:dyDescent="0.25">
      <c r="A1241" s="1" t="s">
        <v>2556</v>
      </c>
      <c r="B1241" s="1" t="str">
        <f>"9781846422355"</f>
        <v>9781846422355</v>
      </c>
      <c r="C1241" s="1" t="s">
        <v>2387</v>
      </c>
      <c r="D1241" s="2">
        <v>38623</v>
      </c>
      <c r="E1241" s="1" t="s">
        <v>2557</v>
      </c>
      <c r="F1241" s="1" t="s">
        <v>13</v>
      </c>
    </row>
    <row r="1242" spans="1:6" ht="30" customHeight="1" x14ac:dyDescent="0.25">
      <c r="A1242" s="1" t="s">
        <v>2558</v>
      </c>
      <c r="B1242" s="1" t="str">
        <f>"9781846422362"</f>
        <v>9781846422362</v>
      </c>
      <c r="C1242" s="1" t="s">
        <v>2387</v>
      </c>
      <c r="D1242" s="2">
        <v>38548</v>
      </c>
      <c r="E1242" s="1" t="s">
        <v>2559</v>
      </c>
      <c r="F1242" s="1" t="s">
        <v>904</v>
      </c>
    </row>
    <row r="1243" spans="1:6" ht="30" customHeight="1" x14ac:dyDescent="0.25">
      <c r="A1243" s="1" t="s">
        <v>2560</v>
      </c>
      <c r="B1243" s="1" t="str">
        <f>"9781846422379"</f>
        <v>9781846422379</v>
      </c>
      <c r="C1243" s="1" t="s">
        <v>2387</v>
      </c>
      <c r="D1243" s="2">
        <v>38610</v>
      </c>
      <c r="E1243" s="1" t="s">
        <v>2561</v>
      </c>
      <c r="F1243" s="1" t="s">
        <v>13</v>
      </c>
    </row>
    <row r="1244" spans="1:6" ht="30" customHeight="1" x14ac:dyDescent="0.25">
      <c r="A1244" s="1" t="s">
        <v>2562</v>
      </c>
      <c r="B1244" s="1" t="str">
        <f>"9781846422393"</f>
        <v>9781846422393</v>
      </c>
      <c r="C1244" s="1" t="s">
        <v>2387</v>
      </c>
      <c r="D1244" s="2">
        <v>38625</v>
      </c>
      <c r="E1244" s="1" t="s">
        <v>2563</v>
      </c>
      <c r="F1244" s="1" t="s">
        <v>70</v>
      </c>
    </row>
    <row r="1245" spans="1:6" ht="30" customHeight="1" x14ac:dyDescent="0.25">
      <c r="A1245" s="1" t="s">
        <v>2564</v>
      </c>
      <c r="B1245" s="1" t="str">
        <f>"9781846422409"</f>
        <v>9781846422409</v>
      </c>
      <c r="C1245" s="1" t="s">
        <v>2387</v>
      </c>
      <c r="D1245" s="2">
        <v>38590</v>
      </c>
      <c r="E1245" s="1" t="s">
        <v>2565</v>
      </c>
      <c r="F1245" s="1" t="s">
        <v>13</v>
      </c>
    </row>
    <row r="1246" spans="1:6" ht="30" customHeight="1" x14ac:dyDescent="0.25">
      <c r="A1246" s="1" t="s">
        <v>2566</v>
      </c>
      <c r="B1246" s="1" t="str">
        <f>"9781846422454"</f>
        <v>9781846422454</v>
      </c>
      <c r="C1246" s="1" t="s">
        <v>2387</v>
      </c>
      <c r="D1246" s="2">
        <v>38608</v>
      </c>
      <c r="E1246" s="1" t="s">
        <v>2567</v>
      </c>
      <c r="F1246" s="1" t="s">
        <v>13</v>
      </c>
    </row>
    <row r="1247" spans="1:6" ht="30" customHeight="1" x14ac:dyDescent="0.25">
      <c r="A1247" s="1" t="s">
        <v>2568</v>
      </c>
      <c r="B1247" s="1" t="str">
        <f>"9781846422478"</f>
        <v>9781846422478</v>
      </c>
      <c r="C1247" s="1" t="s">
        <v>2387</v>
      </c>
      <c r="D1247" s="2">
        <v>38640</v>
      </c>
      <c r="E1247" s="1" t="s">
        <v>2569</v>
      </c>
      <c r="F1247" s="1" t="s">
        <v>13</v>
      </c>
    </row>
    <row r="1248" spans="1:6" ht="30" customHeight="1" x14ac:dyDescent="0.25">
      <c r="A1248" s="1" t="s">
        <v>2570</v>
      </c>
      <c r="B1248" s="1" t="str">
        <f>"9781846422485"</f>
        <v>9781846422485</v>
      </c>
      <c r="C1248" s="1" t="s">
        <v>2387</v>
      </c>
      <c r="D1248" s="2">
        <v>38652</v>
      </c>
      <c r="E1248" s="1" t="s">
        <v>2571</v>
      </c>
      <c r="F1248" s="1" t="s">
        <v>13</v>
      </c>
    </row>
    <row r="1249" spans="1:6" ht="30" customHeight="1" x14ac:dyDescent="0.25">
      <c r="A1249" s="1" t="s">
        <v>2572</v>
      </c>
      <c r="B1249" s="1" t="str">
        <f>"9781846422508"</f>
        <v>9781846422508</v>
      </c>
      <c r="C1249" s="1" t="s">
        <v>2387</v>
      </c>
      <c r="D1249" s="2">
        <v>38621</v>
      </c>
      <c r="E1249" s="1" t="s">
        <v>2573</v>
      </c>
      <c r="F1249" s="1" t="s">
        <v>13</v>
      </c>
    </row>
    <row r="1250" spans="1:6" ht="30" customHeight="1" x14ac:dyDescent="0.25">
      <c r="A1250" s="1" t="s">
        <v>2574</v>
      </c>
      <c r="B1250" s="1" t="str">
        <f>"9781846422515"</f>
        <v>9781846422515</v>
      </c>
      <c r="C1250" s="1" t="s">
        <v>2387</v>
      </c>
      <c r="D1250" s="2">
        <v>38640</v>
      </c>
      <c r="E1250" s="1" t="s">
        <v>2390</v>
      </c>
      <c r="F1250" s="1" t="s">
        <v>13</v>
      </c>
    </row>
    <row r="1251" spans="1:6" ht="30" customHeight="1" x14ac:dyDescent="0.25">
      <c r="A1251" s="1" t="s">
        <v>2575</v>
      </c>
      <c r="B1251" s="1" t="str">
        <f>"9781846422539"</f>
        <v>9781846422539</v>
      </c>
      <c r="C1251" s="1" t="s">
        <v>2387</v>
      </c>
      <c r="D1251" s="2">
        <v>38848</v>
      </c>
      <c r="E1251" s="1" t="s">
        <v>2576</v>
      </c>
      <c r="F1251" s="1" t="s">
        <v>13</v>
      </c>
    </row>
    <row r="1252" spans="1:6" ht="30" customHeight="1" x14ac:dyDescent="0.25">
      <c r="A1252" s="1" t="s">
        <v>2577</v>
      </c>
      <c r="B1252" s="1" t="str">
        <f>"9781846422546"</f>
        <v>9781846422546</v>
      </c>
      <c r="C1252" s="1" t="s">
        <v>2387</v>
      </c>
      <c r="D1252" s="2">
        <v>38862</v>
      </c>
      <c r="E1252" s="1" t="s">
        <v>2578</v>
      </c>
      <c r="F1252" s="1" t="s">
        <v>599</v>
      </c>
    </row>
    <row r="1253" spans="1:6" ht="30" customHeight="1" x14ac:dyDescent="0.25">
      <c r="A1253" s="1" t="s">
        <v>2579</v>
      </c>
      <c r="B1253" s="1" t="str">
        <f>"9781846423161"</f>
        <v>9781846423161</v>
      </c>
      <c r="C1253" s="1" t="s">
        <v>2387</v>
      </c>
      <c r="D1253" s="2">
        <v>37270</v>
      </c>
      <c r="E1253" s="1" t="s">
        <v>2580</v>
      </c>
      <c r="F1253" s="1" t="s">
        <v>291</v>
      </c>
    </row>
    <row r="1254" spans="1:6" ht="30" customHeight="1" x14ac:dyDescent="0.25">
      <c r="A1254" s="1" t="s">
        <v>2581</v>
      </c>
      <c r="B1254" s="1" t="str">
        <f>"9781846423178"</f>
        <v>9781846423178</v>
      </c>
      <c r="C1254" s="1" t="s">
        <v>2387</v>
      </c>
      <c r="D1254" s="2">
        <v>37271</v>
      </c>
      <c r="E1254" s="1" t="s">
        <v>2582</v>
      </c>
      <c r="F1254" s="1" t="s">
        <v>13</v>
      </c>
    </row>
    <row r="1255" spans="1:6" ht="30" customHeight="1" x14ac:dyDescent="0.25">
      <c r="A1255" s="1" t="s">
        <v>2583</v>
      </c>
      <c r="B1255" s="1" t="str">
        <f>"9781846423185"</f>
        <v>9781846423185</v>
      </c>
      <c r="C1255" s="1" t="s">
        <v>2387</v>
      </c>
      <c r="D1255" s="2">
        <v>37271</v>
      </c>
      <c r="E1255" s="1" t="s">
        <v>2584</v>
      </c>
      <c r="F1255" s="1" t="s">
        <v>13</v>
      </c>
    </row>
    <row r="1256" spans="1:6" ht="30" customHeight="1" x14ac:dyDescent="0.25">
      <c r="A1256" s="1" t="s">
        <v>2585</v>
      </c>
      <c r="B1256" s="1" t="str">
        <f>"9781846423192"</f>
        <v>9781846423192</v>
      </c>
      <c r="C1256" s="1" t="s">
        <v>2387</v>
      </c>
      <c r="D1256" s="2">
        <v>37271</v>
      </c>
      <c r="E1256" s="1" t="s">
        <v>2586</v>
      </c>
      <c r="F1256" s="1" t="s">
        <v>13</v>
      </c>
    </row>
    <row r="1257" spans="1:6" ht="30" customHeight="1" x14ac:dyDescent="0.25">
      <c r="A1257" s="1" t="s">
        <v>2587</v>
      </c>
      <c r="B1257" s="1" t="str">
        <f>"9781846423208"</f>
        <v>9781846423208</v>
      </c>
      <c r="C1257" s="1" t="s">
        <v>2387</v>
      </c>
      <c r="D1257" s="2">
        <v>37271</v>
      </c>
      <c r="E1257" s="1" t="s">
        <v>2588</v>
      </c>
      <c r="F1257" s="1" t="s">
        <v>2537</v>
      </c>
    </row>
    <row r="1258" spans="1:6" ht="30" customHeight="1" x14ac:dyDescent="0.25">
      <c r="A1258" s="1" t="s">
        <v>2589</v>
      </c>
      <c r="B1258" s="1" t="str">
        <f>"9781846423215"</f>
        <v>9781846423215</v>
      </c>
      <c r="C1258" s="1" t="s">
        <v>2387</v>
      </c>
      <c r="D1258" s="2">
        <v>37273</v>
      </c>
      <c r="E1258" s="1" t="s">
        <v>2590</v>
      </c>
      <c r="F1258" s="1" t="s">
        <v>205</v>
      </c>
    </row>
    <row r="1259" spans="1:6" ht="30" customHeight="1" x14ac:dyDescent="0.25">
      <c r="A1259" s="1" t="s">
        <v>2591</v>
      </c>
      <c r="B1259" s="1" t="str">
        <f>"9781846423222"</f>
        <v>9781846423222</v>
      </c>
      <c r="C1259" s="1" t="s">
        <v>2387</v>
      </c>
      <c r="D1259" s="2">
        <v>37274</v>
      </c>
      <c r="E1259" s="1" t="s">
        <v>2592</v>
      </c>
      <c r="F1259" s="1" t="s">
        <v>13</v>
      </c>
    </row>
    <row r="1260" spans="1:6" ht="30" customHeight="1" x14ac:dyDescent="0.25">
      <c r="A1260" s="1" t="s">
        <v>2593</v>
      </c>
      <c r="B1260" s="1" t="str">
        <f>"9781846423253"</f>
        <v>9781846423253</v>
      </c>
      <c r="C1260" s="1" t="s">
        <v>2387</v>
      </c>
      <c r="D1260" s="2">
        <v>37302</v>
      </c>
      <c r="E1260" s="1" t="s">
        <v>2541</v>
      </c>
      <c r="F1260" s="1" t="s">
        <v>13</v>
      </c>
    </row>
    <row r="1261" spans="1:6" ht="30" customHeight="1" x14ac:dyDescent="0.25">
      <c r="A1261" s="1" t="s">
        <v>2594</v>
      </c>
      <c r="B1261" s="1" t="str">
        <f>"9781846423284"</f>
        <v>9781846423284</v>
      </c>
      <c r="C1261" s="1" t="s">
        <v>2387</v>
      </c>
      <c r="D1261" s="2">
        <v>37330</v>
      </c>
      <c r="E1261" s="1" t="s">
        <v>2595</v>
      </c>
      <c r="F1261" s="1" t="s">
        <v>214</v>
      </c>
    </row>
    <row r="1262" spans="1:6" ht="30" customHeight="1" x14ac:dyDescent="0.25">
      <c r="A1262" s="1" t="s">
        <v>2596</v>
      </c>
      <c r="B1262" s="1" t="str">
        <f>"9781846423352"</f>
        <v>9781846423352</v>
      </c>
      <c r="C1262" s="1" t="s">
        <v>2387</v>
      </c>
      <c r="D1262" s="2">
        <v>41773</v>
      </c>
      <c r="E1262" s="1" t="s">
        <v>2597</v>
      </c>
      <c r="F1262" s="1" t="s">
        <v>13</v>
      </c>
    </row>
    <row r="1263" spans="1:6" ht="30" customHeight="1" x14ac:dyDescent="0.25">
      <c r="A1263" s="1" t="s">
        <v>2598</v>
      </c>
      <c r="B1263" s="1" t="str">
        <f>"9781846423369"</f>
        <v>9781846423369</v>
      </c>
      <c r="C1263" s="1" t="s">
        <v>2387</v>
      </c>
      <c r="D1263" s="2">
        <v>37371</v>
      </c>
      <c r="E1263" s="1" t="s">
        <v>2599</v>
      </c>
      <c r="F1263" s="1" t="s">
        <v>95</v>
      </c>
    </row>
    <row r="1264" spans="1:6" ht="30" customHeight="1" x14ac:dyDescent="0.25">
      <c r="A1264" s="1" t="s">
        <v>2600</v>
      </c>
      <c r="B1264" s="1" t="str">
        <f>"9781846423376"</f>
        <v>9781846423376</v>
      </c>
      <c r="C1264" s="1" t="s">
        <v>2387</v>
      </c>
      <c r="D1264" s="2">
        <v>37375</v>
      </c>
      <c r="E1264" s="1" t="s">
        <v>2601</v>
      </c>
      <c r="F1264" s="1" t="s">
        <v>13</v>
      </c>
    </row>
    <row r="1265" spans="1:6" ht="30" customHeight="1" x14ac:dyDescent="0.25">
      <c r="A1265" s="1" t="s">
        <v>2602</v>
      </c>
      <c r="B1265" s="1" t="str">
        <f>"9781846423406"</f>
        <v>9781846423406</v>
      </c>
      <c r="C1265" s="1" t="s">
        <v>2387</v>
      </c>
      <c r="D1265" s="2">
        <v>37403</v>
      </c>
      <c r="E1265" s="1" t="s">
        <v>2603</v>
      </c>
      <c r="F1265" s="1" t="s">
        <v>13</v>
      </c>
    </row>
    <row r="1266" spans="1:6" ht="30" customHeight="1" x14ac:dyDescent="0.25">
      <c r="A1266" s="1" t="s">
        <v>2604</v>
      </c>
      <c r="B1266" s="1" t="str">
        <f>"9781846423420"</f>
        <v>9781846423420</v>
      </c>
      <c r="C1266" s="1" t="s">
        <v>2387</v>
      </c>
      <c r="D1266" s="2">
        <v>37422</v>
      </c>
      <c r="E1266" s="1" t="s">
        <v>533</v>
      </c>
      <c r="F1266" s="1" t="s">
        <v>13</v>
      </c>
    </row>
    <row r="1267" spans="1:6" ht="30" customHeight="1" x14ac:dyDescent="0.25">
      <c r="A1267" s="1" t="s">
        <v>2605</v>
      </c>
      <c r="B1267" s="1" t="str">
        <f>"9781846423444"</f>
        <v>9781846423444</v>
      </c>
      <c r="C1267" s="1" t="s">
        <v>2387</v>
      </c>
      <c r="D1267" s="2">
        <v>37426</v>
      </c>
      <c r="E1267" s="1" t="s">
        <v>2606</v>
      </c>
      <c r="F1267" s="1" t="s">
        <v>13</v>
      </c>
    </row>
    <row r="1268" spans="1:6" ht="30" customHeight="1" x14ac:dyDescent="0.25">
      <c r="A1268" s="1" t="s">
        <v>2607</v>
      </c>
      <c r="B1268" s="1" t="str">
        <f>"9781846423451"</f>
        <v>9781846423451</v>
      </c>
      <c r="C1268" s="1" t="s">
        <v>2387</v>
      </c>
      <c r="D1268" s="2">
        <v>37426</v>
      </c>
      <c r="E1268" s="1" t="s">
        <v>2608</v>
      </c>
      <c r="F1268" s="1" t="s">
        <v>13</v>
      </c>
    </row>
    <row r="1269" spans="1:6" ht="30" customHeight="1" x14ac:dyDescent="0.25">
      <c r="A1269" s="1" t="s">
        <v>2609</v>
      </c>
      <c r="B1269" s="1" t="str">
        <f>"9781846423475"</f>
        <v>9781846423475</v>
      </c>
      <c r="C1269" s="1" t="s">
        <v>2387</v>
      </c>
      <c r="D1269" s="2">
        <v>37437</v>
      </c>
      <c r="E1269" s="1" t="s">
        <v>2610</v>
      </c>
      <c r="F1269" s="1" t="s">
        <v>13</v>
      </c>
    </row>
    <row r="1270" spans="1:6" ht="30" customHeight="1" x14ac:dyDescent="0.25">
      <c r="A1270" s="1" t="s">
        <v>2611</v>
      </c>
      <c r="B1270" s="1" t="str">
        <f>"9781846423505"</f>
        <v>9781846423505</v>
      </c>
      <c r="C1270" s="1" t="s">
        <v>2387</v>
      </c>
      <c r="D1270" s="2">
        <v>37452</v>
      </c>
      <c r="E1270" s="1" t="s">
        <v>2612</v>
      </c>
      <c r="F1270" s="1" t="s">
        <v>13</v>
      </c>
    </row>
    <row r="1271" spans="1:6" ht="30" customHeight="1" x14ac:dyDescent="0.25">
      <c r="A1271" s="1" t="s">
        <v>2613</v>
      </c>
      <c r="B1271" s="1" t="str">
        <f>"9781846423574"</f>
        <v>9781846423574</v>
      </c>
      <c r="C1271" s="1" t="s">
        <v>2387</v>
      </c>
      <c r="D1271" s="2">
        <v>37514</v>
      </c>
      <c r="E1271" s="1" t="s">
        <v>2464</v>
      </c>
      <c r="F1271" s="1" t="s">
        <v>13</v>
      </c>
    </row>
    <row r="1272" spans="1:6" ht="30" customHeight="1" x14ac:dyDescent="0.25">
      <c r="A1272" s="1" t="s">
        <v>2614</v>
      </c>
      <c r="B1272" s="1" t="str">
        <f>"9781846423581"</f>
        <v>9781846423581</v>
      </c>
      <c r="C1272" s="1" t="s">
        <v>2387</v>
      </c>
      <c r="D1272" s="2">
        <v>37514</v>
      </c>
      <c r="E1272" s="1" t="s">
        <v>2615</v>
      </c>
      <c r="F1272" s="1" t="s">
        <v>13</v>
      </c>
    </row>
    <row r="1273" spans="1:6" ht="30" customHeight="1" x14ac:dyDescent="0.25">
      <c r="A1273" s="1" t="s">
        <v>2616</v>
      </c>
      <c r="B1273" s="1" t="str">
        <f>"9781846423598"</f>
        <v>9781846423598</v>
      </c>
      <c r="C1273" s="1" t="s">
        <v>2387</v>
      </c>
      <c r="D1273" s="2">
        <v>37514</v>
      </c>
      <c r="E1273" s="1" t="s">
        <v>2617</v>
      </c>
      <c r="F1273" s="1" t="s">
        <v>13</v>
      </c>
    </row>
    <row r="1274" spans="1:6" ht="30" customHeight="1" x14ac:dyDescent="0.25">
      <c r="A1274" s="1" t="s">
        <v>2618</v>
      </c>
      <c r="B1274" s="1" t="str">
        <f>"9781846423611"</f>
        <v>9781846423611</v>
      </c>
      <c r="C1274" s="1" t="s">
        <v>2387</v>
      </c>
      <c r="D1274" s="2">
        <v>37544</v>
      </c>
      <c r="E1274" s="1" t="s">
        <v>2619</v>
      </c>
      <c r="F1274" s="1" t="s">
        <v>13</v>
      </c>
    </row>
    <row r="1275" spans="1:6" ht="30" customHeight="1" x14ac:dyDescent="0.25">
      <c r="A1275" s="1" t="s">
        <v>2620</v>
      </c>
      <c r="B1275" s="1" t="str">
        <f>"9781846423628"</f>
        <v>9781846423628</v>
      </c>
      <c r="C1275" s="1" t="s">
        <v>2387</v>
      </c>
      <c r="D1275" s="2">
        <v>37544</v>
      </c>
      <c r="E1275" s="1" t="s">
        <v>2621</v>
      </c>
      <c r="F1275" s="1" t="s">
        <v>13</v>
      </c>
    </row>
    <row r="1276" spans="1:6" ht="30" customHeight="1" x14ac:dyDescent="0.25">
      <c r="A1276" s="1" t="s">
        <v>2622</v>
      </c>
      <c r="B1276" s="1" t="str">
        <f>"9781846423642"</f>
        <v>9781846423642</v>
      </c>
      <c r="C1276" s="1" t="s">
        <v>2387</v>
      </c>
      <c r="D1276" s="2">
        <v>37570</v>
      </c>
      <c r="E1276" s="1" t="s">
        <v>2623</v>
      </c>
      <c r="F1276" s="1" t="s">
        <v>13</v>
      </c>
    </row>
    <row r="1277" spans="1:6" ht="30" customHeight="1" x14ac:dyDescent="0.25">
      <c r="A1277" s="1" t="s">
        <v>2624</v>
      </c>
      <c r="B1277" s="1" t="str">
        <f>"9781846423703"</f>
        <v>9781846423703</v>
      </c>
      <c r="C1277" s="1" t="s">
        <v>2387</v>
      </c>
      <c r="D1277" s="2">
        <v>37575</v>
      </c>
      <c r="E1277" s="1" t="s">
        <v>2625</v>
      </c>
      <c r="F1277" s="1" t="s">
        <v>13</v>
      </c>
    </row>
    <row r="1278" spans="1:6" ht="30" customHeight="1" x14ac:dyDescent="0.25">
      <c r="A1278" s="1" t="s">
        <v>2626</v>
      </c>
      <c r="B1278" s="1" t="str">
        <f>"9781846423710"</f>
        <v>9781846423710</v>
      </c>
      <c r="C1278" s="1" t="s">
        <v>2387</v>
      </c>
      <c r="D1278" s="2">
        <v>37575</v>
      </c>
      <c r="E1278" s="1" t="s">
        <v>2627</v>
      </c>
      <c r="F1278" s="1" t="s">
        <v>13</v>
      </c>
    </row>
    <row r="1279" spans="1:6" ht="30" customHeight="1" x14ac:dyDescent="0.25">
      <c r="A1279" s="1" t="s">
        <v>2628</v>
      </c>
      <c r="B1279" s="1" t="str">
        <f>"9781846423727"</f>
        <v>9781846423727</v>
      </c>
      <c r="C1279" s="1" t="s">
        <v>2387</v>
      </c>
      <c r="D1279" s="2">
        <v>37575</v>
      </c>
      <c r="E1279" s="1" t="s">
        <v>2629</v>
      </c>
      <c r="F1279" s="1" t="s">
        <v>13</v>
      </c>
    </row>
    <row r="1280" spans="1:6" ht="30" customHeight="1" x14ac:dyDescent="0.25">
      <c r="A1280" s="1" t="s">
        <v>2630</v>
      </c>
      <c r="B1280" s="1" t="str">
        <f>"9781846423758"</f>
        <v>9781846423758</v>
      </c>
      <c r="C1280" s="1" t="s">
        <v>2387</v>
      </c>
      <c r="D1280" s="2">
        <v>37590</v>
      </c>
      <c r="E1280" s="1" t="s">
        <v>2631</v>
      </c>
      <c r="F1280" s="1" t="s">
        <v>13</v>
      </c>
    </row>
    <row r="1281" spans="1:6" ht="30" customHeight="1" x14ac:dyDescent="0.25">
      <c r="A1281" s="1" t="s">
        <v>2632</v>
      </c>
      <c r="B1281" s="1" t="str">
        <f>"9781846423765"</f>
        <v>9781846423765</v>
      </c>
      <c r="C1281" s="1" t="s">
        <v>2387</v>
      </c>
      <c r="D1281" s="2">
        <v>37590</v>
      </c>
      <c r="E1281" s="1" t="s">
        <v>2633</v>
      </c>
      <c r="F1281" s="1" t="s">
        <v>13</v>
      </c>
    </row>
    <row r="1282" spans="1:6" ht="30" customHeight="1" x14ac:dyDescent="0.25">
      <c r="A1282" s="1" t="s">
        <v>2634</v>
      </c>
      <c r="B1282" s="1" t="str">
        <f>"9781846423772"</f>
        <v>9781846423772</v>
      </c>
      <c r="C1282" s="1" t="s">
        <v>2387</v>
      </c>
      <c r="D1282" s="2">
        <v>37603</v>
      </c>
      <c r="E1282" s="1" t="s">
        <v>2635</v>
      </c>
      <c r="F1282" s="1" t="s">
        <v>13</v>
      </c>
    </row>
    <row r="1283" spans="1:6" ht="30" customHeight="1" x14ac:dyDescent="0.25">
      <c r="A1283" s="1" t="s">
        <v>2636</v>
      </c>
      <c r="B1283" s="1" t="str">
        <f>"9781846423789"</f>
        <v>9781846423789</v>
      </c>
      <c r="C1283" s="1" t="s">
        <v>2387</v>
      </c>
      <c r="D1283" s="2">
        <v>37605</v>
      </c>
      <c r="E1283" s="1" t="s">
        <v>2637</v>
      </c>
      <c r="F1283" s="1" t="s">
        <v>13</v>
      </c>
    </row>
    <row r="1284" spans="1:6" ht="30" customHeight="1" x14ac:dyDescent="0.25">
      <c r="A1284" s="1" t="s">
        <v>2638</v>
      </c>
      <c r="B1284" s="1" t="str">
        <f>"9781846423819"</f>
        <v>9781846423819</v>
      </c>
      <c r="C1284" s="1" t="s">
        <v>2387</v>
      </c>
      <c r="D1284" s="2">
        <v>37636</v>
      </c>
      <c r="E1284" s="1" t="s">
        <v>2639</v>
      </c>
      <c r="F1284" s="1" t="s">
        <v>13</v>
      </c>
    </row>
    <row r="1285" spans="1:6" ht="30" customHeight="1" x14ac:dyDescent="0.25">
      <c r="A1285" s="1" t="s">
        <v>2640</v>
      </c>
      <c r="B1285" s="1" t="str">
        <f>"9781846423833"</f>
        <v>9781846423833</v>
      </c>
      <c r="C1285" s="1" t="s">
        <v>2387</v>
      </c>
      <c r="D1285" s="2">
        <v>37652</v>
      </c>
      <c r="E1285" s="1" t="s">
        <v>2641</v>
      </c>
      <c r="F1285" s="1" t="s">
        <v>13</v>
      </c>
    </row>
    <row r="1286" spans="1:6" ht="30" customHeight="1" x14ac:dyDescent="0.25">
      <c r="A1286" s="1" t="s">
        <v>2642</v>
      </c>
      <c r="B1286" s="1" t="str">
        <f>"9781846423864"</f>
        <v>9781846423864</v>
      </c>
      <c r="C1286" s="1" t="s">
        <v>2387</v>
      </c>
      <c r="D1286" s="2">
        <v>37667</v>
      </c>
      <c r="E1286" s="1" t="s">
        <v>2643</v>
      </c>
      <c r="F1286" s="1" t="s">
        <v>13</v>
      </c>
    </row>
    <row r="1287" spans="1:6" ht="30" customHeight="1" x14ac:dyDescent="0.25">
      <c r="A1287" s="1" t="s">
        <v>2644</v>
      </c>
      <c r="B1287" s="1" t="str">
        <f>"9781846423871"</f>
        <v>9781846423871</v>
      </c>
      <c r="C1287" s="1" t="s">
        <v>2387</v>
      </c>
      <c r="D1287" s="2">
        <v>37667</v>
      </c>
      <c r="E1287" s="1" t="s">
        <v>2645</v>
      </c>
      <c r="F1287" s="1" t="s">
        <v>13</v>
      </c>
    </row>
    <row r="1288" spans="1:6" ht="30" customHeight="1" x14ac:dyDescent="0.25">
      <c r="A1288" s="1" t="s">
        <v>2646</v>
      </c>
      <c r="B1288" s="1" t="str">
        <f>"9781846423918"</f>
        <v>9781846423918</v>
      </c>
      <c r="C1288" s="1" t="s">
        <v>2387</v>
      </c>
      <c r="D1288" s="2">
        <v>37672</v>
      </c>
      <c r="E1288" s="1" t="s">
        <v>2647</v>
      </c>
      <c r="F1288" s="1" t="s">
        <v>599</v>
      </c>
    </row>
    <row r="1289" spans="1:6" ht="30" customHeight="1" x14ac:dyDescent="0.25">
      <c r="A1289" s="1" t="s">
        <v>2648</v>
      </c>
      <c r="B1289" s="1" t="str">
        <f>"9781846423925"</f>
        <v>9781846423925</v>
      </c>
      <c r="C1289" s="1" t="s">
        <v>2387</v>
      </c>
      <c r="D1289" s="2">
        <v>37672</v>
      </c>
      <c r="E1289" s="1" t="s">
        <v>2649</v>
      </c>
      <c r="F1289" s="1" t="s">
        <v>13</v>
      </c>
    </row>
    <row r="1290" spans="1:6" ht="30" customHeight="1" x14ac:dyDescent="0.25">
      <c r="A1290" s="1" t="s">
        <v>2650</v>
      </c>
      <c r="B1290" s="1" t="str">
        <f>"9781846423932"</f>
        <v>9781846423932</v>
      </c>
      <c r="C1290" s="1" t="s">
        <v>2387</v>
      </c>
      <c r="D1290" s="2">
        <v>37680</v>
      </c>
      <c r="E1290" s="1" t="s">
        <v>2651</v>
      </c>
      <c r="F1290" s="1" t="s">
        <v>13</v>
      </c>
    </row>
    <row r="1291" spans="1:6" ht="30" customHeight="1" x14ac:dyDescent="0.25">
      <c r="A1291" s="1" t="s">
        <v>2652</v>
      </c>
      <c r="B1291" s="1" t="str">
        <f>"9781846423949"</f>
        <v>9781846423949</v>
      </c>
      <c r="C1291" s="1" t="s">
        <v>2387</v>
      </c>
      <c r="D1291" s="2">
        <v>37694</v>
      </c>
      <c r="E1291" s="1" t="s">
        <v>2653</v>
      </c>
      <c r="F1291" s="1" t="s">
        <v>13</v>
      </c>
    </row>
    <row r="1292" spans="1:6" ht="30" customHeight="1" x14ac:dyDescent="0.25">
      <c r="A1292" s="1" t="s">
        <v>2654</v>
      </c>
      <c r="B1292" s="1" t="str">
        <f>"9781846423963"</f>
        <v>9781846423963</v>
      </c>
      <c r="C1292" s="1" t="s">
        <v>2387</v>
      </c>
      <c r="D1292" s="2">
        <v>37695</v>
      </c>
      <c r="E1292" s="1" t="s">
        <v>2655</v>
      </c>
      <c r="F1292" s="1" t="s">
        <v>176</v>
      </c>
    </row>
    <row r="1293" spans="1:6" ht="30" customHeight="1" x14ac:dyDescent="0.25">
      <c r="A1293" s="1" t="s">
        <v>2656</v>
      </c>
      <c r="B1293" s="1" t="str">
        <f>"9781846423970"</f>
        <v>9781846423970</v>
      </c>
      <c r="C1293" s="1" t="s">
        <v>2387</v>
      </c>
      <c r="D1293" s="2">
        <v>37695</v>
      </c>
      <c r="E1293" s="1" t="s">
        <v>2657</v>
      </c>
      <c r="F1293" s="1" t="s">
        <v>13</v>
      </c>
    </row>
    <row r="1294" spans="1:6" ht="30" customHeight="1" x14ac:dyDescent="0.25">
      <c r="A1294" s="1" t="s">
        <v>2658</v>
      </c>
      <c r="B1294" s="1" t="str">
        <f>"9781846423994"</f>
        <v>9781846423994</v>
      </c>
      <c r="C1294" s="1" t="s">
        <v>2387</v>
      </c>
      <c r="D1294" s="2">
        <v>37695</v>
      </c>
      <c r="E1294" s="1" t="s">
        <v>2659</v>
      </c>
      <c r="F1294" s="1" t="s">
        <v>13</v>
      </c>
    </row>
    <row r="1295" spans="1:6" ht="30" customHeight="1" x14ac:dyDescent="0.25">
      <c r="A1295" s="1" t="s">
        <v>2660</v>
      </c>
      <c r="B1295" s="1" t="str">
        <f>"9781846424007"</f>
        <v>9781846424007</v>
      </c>
      <c r="C1295" s="1" t="s">
        <v>2387</v>
      </c>
      <c r="D1295" s="2">
        <v>37695</v>
      </c>
      <c r="E1295" s="1" t="s">
        <v>2661</v>
      </c>
      <c r="F1295" s="1" t="s">
        <v>158</v>
      </c>
    </row>
    <row r="1296" spans="1:6" ht="30" customHeight="1" x14ac:dyDescent="0.25">
      <c r="A1296" s="1" t="s">
        <v>2662</v>
      </c>
      <c r="B1296" s="1" t="str">
        <f>"9781846424014"</f>
        <v>9781846424014</v>
      </c>
      <c r="C1296" s="1" t="s">
        <v>2387</v>
      </c>
      <c r="D1296" s="2">
        <v>37699</v>
      </c>
      <c r="E1296" s="1" t="s">
        <v>2663</v>
      </c>
      <c r="F1296" s="1" t="s">
        <v>13</v>
      </c>
    </row>
    <row r="1297" spans="1:6" ht="30" customHeight="1" x14ac:dyDescent="0.25">
      <c r="A1297" s="1" t="s">
        <v>2664</v>
      </c>
      <c r="B1297" s="1" t="str">
        <f>"9781846424069"</f>
        <v>9781846424069</v>
      </c>
      <c r="C1297" s="1" t="s">
        <v>2387</v>
      </c>
      <c r="D1297" s="2">
        <v>37756</v>
      </c>
      <c r="E1297" s="1" t="s">
        <v>2665</v>
      </c>
      <c r="F1297" s="1" t="s">
        <v>13</v>
      </c>
    </row>
    <row r="1298" spans="1:6" ht="30" customHeight="1" x14ac:dyDescent="0.25">
      <c r="A1298" s="1" t="s">
        <v>2666</v>
      </c>
      <c r="B1298" s="1" t="str">
        <f>"9781846424076"</f>
        <v>9781846424076</v>
      </c>
      <c r="C1298" s="1" t="s">
        <v>2387</v>
      </c>
      <c r="D1298" s="2">
        <v>37756</v>
      </c>
      <c r="E1298" s="1" t="s">
        <v>2667</v>
      </c>
      <c r="F1298" s="1" t="s">
        <v>13</v>
      </c>
    </row>
    <row r="1299" spans="1:6" ht="30" customHeight="1" x14ac:dyDescent="0.25">
      <c r="A1299" s="1" t="s">
        <v>2668</v>
      </c>
      <c r="B1299" s="1" t="str">
        <f>"9781846424083"</f>
        <v>9781846424083</v>
      </c>
      <c r="C1299" s="1" t="s">
        <v>2387</v>
      </c>
      <c r="D1299" s="2">
        <v>37782</v>
      </c>
      <c r="E1299" s="1" t="s">
        <v>2669</v>
      </c>
      <c r="F1299" s="1" t="s">
        <v>13</v>
      </c>
    </row>
    <row r="1300" spans="1:6" ht="30" customHeight="1" x14ac:dyDescent="0.25">
      <c r="A1300" s="1" t="s">
        <v>2670</v>
      </c>
      <c r="B1300" s="1" t="str">
        <f>"9781846424090"</f>
        <v>9781846424090</v>
      </c>
      <c r="C1300" s="1" t="s">
        <v>2387</v>
      </c>
      <c r="D1300" s="2">
        <v>37787</v>
      </c>
      <c r="E1300" s="1" t="s">
        <v>2571</v>
      </c>
      <c r="F1300" s="1" t="s">
        <v>13</v>
      </c>
    </row>
    <row r="1301" spans="1:6" ht="30" customHeight="1" x14ac:dyDescent="0.25">
      <c r="A1301" s="1" t="s">
        <v>2671</v>
      </c>
      <c r="B1301" s="1" t="str">
        <f>"9781846424137"</f>
        <v>9781846424137</v>
      </c>
      <c r="C1301" s="1" t="s">
        <v>2387</v>
      </c>
      <c r="D1301" s="2">
        <v>37817</v>
      </c>
      <c r="E1301" s="1" t="s">
        <v>2672</v>
      </c>
      <c r="F1301" s="1" t="s">
        <v>148</v>
      </c>
    </row>
    <row r="1302" spans="1:6" ht="30" customHeight="1" x14ac:dyDescent="0.25">
      <c r="A1302" s="1" t="s">
        <v>2673</v>
      </c>
      <c r="B1302" s="1" t="str">
        <f>"9781846424168"</f>
        <v>9781846424168</v>
      </c>
      <c r="C1302" s="1" t="s">
        <v>2387</v>
      </c>
      <c r="D1302" s="2">
        <v>37848</v>
      </c>
      <c r="E1302" s="1" t="s">
        <v>2674</v>
      </c>
      <c r="F1302" s="1" t="s">
        <v>356</v>
      </c>
    </row>
    <row r="1303" spans="1:6" ht="30" customHeight="1" x14ac:dyDescent="0.25">
      <c r="A1303" s="1" t="s">
        <v>2675</v>
      </c>
      <c r="B1303" s="1" t="str">
        <f>"9781846424182"</f>
        <v>9781846424182</v>
      </c>
      <c r="C1303" s="1" t="s">
        <v>2387</v>
      </c>
      <c r="D1303" s="2">
        <v>37817</v>
      </c>
      <c r="E1303" s="1" t="s">
        <v>2676</v>
      </c>
      <c r="F1303" s="1" t="s">
        <v>13</v>
      </c>
    </row>
    <row r="1304" spans="1:6" ht="30" customHeight="1" x14ac:dyDescent="0.25">
      <c r="A1304" s="1" t="s">
        <v>2677</v>
      </c>
      <c r="B1304" s="1" t="str">
        <f>"9781846424199"</f>
        <v>9781846424199</v>
      </c>
      <c r="C1304" s="1" t="s">
        <v>2387</v>
      </c>
      <c r="D1304" s="2">
        <v>37848</v>
      </c>
      <c r="E1304" s="1" t="s">
        <v>2678</v>
      </c>
      <c r="F1304" s="1" t="s">
        <v>304</v>
      </c>
    </row>
    <row r="1305" spans="1:6" ht="30" customHeight="1" x14ac:dyDescent="0.25">
      <c r="A1305" s="1" t="s">
        <v>2679</v>
      </c>
      <c r="B1305" s="1" t="str">
        <f>"9781846424205"</f>
        <v>9781846424205</v>
      </c>
      <c r="C1305" s="1" t="s">
        <v>2387</v>
      </c>
      <c r="D1305" s="2">
        <v>37872</v>
      </c>
      <c r="E1305" s="1" t="s">
        <v>2680</v>
      </c>
      <c r="F1305" s="1" t="s">
        <v>406</v>
      </c>
    </row>
    <row r="1306" spans="1:6" ht="30" customHeight="1" x14ac:dyDescent="0.25">
      <c r="A1306" s="1" t="s">
        <v>2681</v>
      </c>
      <c r="B1306" s="1" t="str">
        <f>"9781846424236"</f>
        <v>9781846424236</v>
      </c>
      <c r="C1306" s="1" t="s">
        <v>2387</v>
      </c>
      <c r="D1306" s="2">
        <v>37879</v>
      </c>
      <c r="E1306" s="1" t="s">
        <v>2682</v>
      </c>
      <c r="F1306" s="1" t="s">
        <v>214</v>
      </c>
    </row>
    <row r="1307" spans="1:6" ht="30" customHeight="1" x14ac:dyDescent="0.25">
      <c r="A1307" s="1" t="s">
        <v>2683</v>
      </c>
      <c r="B1307" s="1" t="str">
        <f>"9781846424243"</f>
        <v>9781846424243</v>
      </c>
      <c r="C1307" s="1" t="s">
        <v>2387</v>
      </c>
      <c r="D1307" s="2">
        <v>37879</v>
      </c>
      <c r="E1307" s="1" t="s">
        <v>2684</v>
      </c>
      <c r="F1307" s="1" t="s">
        <v>13</v>
      </c>
    </row>
    <row r="1308" spans="1:6" ht="30" customHeight="1" x14ac:dyDescent="0.25">
      <c r="A1308" s="1" t="s">
        <v>2685</v>
      </c>
      <c r="B1308" s="1" t="str">
        <f>"9781846424267"</f>
        <v>9781846424267</v>
      </c>
      <c r="C1308" s="1" t="s">
        <v>2387</v>
      </c>
      <c r="D1308" s="2">
        <v>37882</v>
      </c>
      <c r="E1308" s="1" t="s">
        <v>2686</v>
      </c>
      <c r="F1308" s="1" t="s">
        <v>2687</v>
      </c>
    </row>
    <row r="1309" spans="1:6" ht="30" customHeight="1" x14ac:dyDescent="0.25">
      <c r="A1309" s="1" t="s">
        <v>2688</v>
      </c>
      <c r="B1309" s="1" t="str">
        <f>"9781846424274"</f>
        <v>9781846424274</v>
      </c>
      <c r="C1309" s="1" t="s">
        <v>2387</v>
      </c>
      <c r="D1309" s="2">
        <v>37882</v>
      </c>
      <c r="E1309" s="1" t="s">
        <v>2689</v>
      </c>
      <c r="F1309" s="1" t="s">
        <v>13</v>
      </c>
    </row>
    <row r="1310" spans="1:6" ht="30" customHeight="1" x14ac:dyDescent="0.25">
      <c r="A1310" s="1" t="s">
        <v>2690</v>
      </c>
      <c r="B1310" s="1" t="str">
        <f>"9781846424281"</f>
        <v>9781846424281</v>
      </c>
      <c r="C1310" s="1" t="s">
        <v>2387</v>
      </c>
      <c r="D1310" s="2">
        <v>37893</v>
      </c>
      <c r="E1310" s="1" t="s">
        <v>2691</v>
      </c>
      <c r="F1310" s="1" t="s">
        <v>406</v>
      </c>
    </row>
    <row r="1311" spans="1:6" ht="30" customHeight="1" x14ac:dyDescent="0.25">
      <c r="A1311" s="1" t="s">
        <v>2692</v>
      </c>
      <c r="B1311" s="1" t="str">
        <f>"9781846424298"</f>
        <v>9781846424298</v>
      </c>
      <c r="C1311" s="1" t="s">
        <v>2387</v>
      </c>
      <c r="D1311" s="2">
        <v>37909</v>
      </c>
      <c r="E1311" s="1" t="s">
        <v>2693</v>
      </c>
      <c r="F1311" s="1" t="s">
        <v>13</v>
      </c>
    </row>
    <row r="1312" spans="1:6" ht="30" customHeight="1" x14ac:dyDescent="0.25">
      <c r="A1312" s="1" t="s">
        <v>2694</v>
      </c>
      <c r="B1312" s="1" t="str">
        <f>"9781846424342"</f>
        <v>9781846424342</v>
      </c>
      <c r="C1312" s="1" t="s">
        <v>2387</v>
      </c>
      <c r="D1312" s="2">
        <v>37940</v>
      </c>
      <c r="E1312" s="1" t="s">
        <v>2695</v>
      </c>
      <c r="F1312" s="1" t="s">
        <v>599</v>
      </c>
    </row>
    <row r="1313" spans="1:6" ht="30" customHeight="1" x14ac:dyDescent="0.25">
      <c r="A1313" s="1" t="s">
        <v>2696</v>
      </c>
      <c r="B1313" s="1" t="str">
        <f>"9781846424465"</f>
        <v>9781846424465</v>
      </c>
      <c r="C1313" s="1" t="s">
        <v>2387</v>
      </c>
      <c r="D1313" s="2">
        <v>38657</v>
      </c>
      <c r="E1313" s="1" t="s">
        <v>2697</v>
      </c>
      <c r="F1313" s="1" t="s">
        <v>13</v>
      </c>
    </row>
    <row r="1314" spans="1:6" ht="30" customHeight="1" x14ac:dyDescent="0.25">
      <c r="A1314" s="1" t="s">
        <v>2698</v>
      </c>
      <c r="B1314" s="1" t="str">
        <f>"9781846424489"</f>
        <v>9781846424489</v>
      </c>
      <c r="C1314" s="1" t="s">
        <v>2387</v>
      </c>
      <c r="D1314" s="2">
        <v>38660</v>
      </c>
      <c r="E1314" s="1" t="s">
        <v>2699</v>
      </c>
      <c r="F1314" s="1" t="s">
        <v>13</v>
      </c>
    </row>
    <row r="1315" spans="1:6" ht="30" customHeight="1" x14ac:dyDescent="0.25">
      <c r="A1315" s="1" t="s">
        <v>2700</v>
      </c>
      <c r="B1315" s="1" t="str">
        <f>"9781846424502"</f>
        <v>9781846424502</v>
      </c>
      <c r="C1315" s="1" t="s">
        <v>2387</v>
      </c>
      <c r="D1315" s="2">
        <v>38671</v>
      </c>
      <c r="E1315" s="1" t="s">
        <v>2701</v>
      </c>
      <c r="F1315" s="1" t="s">
        <v>13</v>
      </c>
    </row>
    <row r="1316" spans="1:6" ht="30" customHeight="1" x14ac:dyDescent="0.25">
      <c r="A1316" s="1" t="s">
        <v>2702</v>
      </c>
      <c r="B1316" s="1" t="str">
        <f>"9781846424526"</f>
        <v>9781846424526</v>
      </c>
      <c r="C1316" s="1" t="s">
        <v>2387</v>
      </c>
      <c r="D1316" s="2">
        <v>38673</v>
      </c>
      <c r="E1316" s="1" t="s">
        <v>2703</v>
      </c>
      <c r="F1316" s="1" t="s">
        <v>13</v>
      </c>
    </row>
    <row r="1317" spans="1:6" ht="30" customHeight="1" x14ac:dyDescent="0.25">
      <c r="A1317" s="1" t="s">
        <v>2704</v>
      </c>
      <c r="B1317" s="1" t="str">
        <f>"9781846424533"</f>
        <v>9781846424533</v>
      </c>
      <c r="C1317" s="1" t="s">
        <v>2387</v>
      </c>
      <c r="D1317" s="2">
        <v>38680</v>
      </c>
      <c r="E1317" s="1" t="s">
        <v>2705</v>
      </c>
      <c r="F1317" s="1" t="s">
        <v>13</v>
      </c>
    </row>
    <row r="1318" spans="1:6" ht="30" customHeight="1" x14ac:dyDescent="0.25">
      <c r="A1318" s="1" t="s">
        <v>2706</v>
      </c>
      <c r="B1318" s="1" t="str">
        <f>"9781846424557"</f>
        <v>9781846424557</v>
      </c>
      <c r="C1318" s="1" t="s">
        <v>2387</v>
      </c>
      <c r="D1318" s="2">
        <v>38693</v>
      </c>
      <c r="E1318" s="1" t="s">
        <v>2707</v>
      </c>
      <c r="F1318" s="1" t="s">
        <v>13</v>
      </c>
    </row>
    <row r="1319" spans="1:6" ht="30" customHeight="1" x14ac:dyDescent="0.25">
      <c r="A1319" s="1" t="s">
        <v>2708</v>
      </c>
      <c r="B1319" s="1" t="str">
        <f>"9781846424564"</f>
        <v>9781846424564</v>
      </c>
      <c r="C1319" s="1" t="s">
        <v>2387</v>
      </c>
      <c r="D1319" s="2">
        <v>38699</v>
      </c>
      <c r="E1319" s="1" t="s">
        <v>2709</v>
      </c>
      <c r="F1319" s="1" t="s">
        <v>214</v>
      </c>
    </row>
    <row r="1320" spans="1:6" ht="30" customHeight="1" x14ac:dyDescent="0.25">
      <c r="A1320" s="1" t="s">
        <v>2710</v>
      </c>
      <c r="B1320" s="1" t="str">
        <f>"9781846424571"</f>
        <v>9781846424571</v>
      </c>
      <c r="C1320" s="1" t="s">
        <v>2387</v>
      </c>
      <c r="D1320" s="2">
        <v>38699</v>
      </c>
      <c r="E1320" s="1" t="s">
        <v>2711</v>
      </c>
      <c r="F1320" s="1" t="s">
        <v>13</v>
      </c>
    </row>
    <row r="1321" spans="1:6" ht="30" customHeight="1" x14ac:dyDescent="0.25">
      <c r="A1321" s="1" t="s">
        <v>2712</v>
      </c>
      <c r="B1321" s="1" t="str">
        <f>"9781846424588"</f>
        <v>9781846424588</v>
      </c>
      <c r="C1321" s="1" t="s">
        <v>2387</v>
      </c>
      <c r="D1321" s="2">
        <v>38699</v>
      </c>
      <c r="E1321" s="1" t="s">
        <v>2713</v>
      </c>
      <c r="F1321" s="1" t="s">
        <v>13</v>
      </c>
    </row>
    <row r="1322" spans="1:6" ht="30" customHeight="1" x14ac:dyDescent="0.25">
      <c r="A1322" s="1" t="s">
        <v>2714</v>
      </c>
      <c r="B1322" s="1" t="str">
        <f>"9781846424601"</f>
        <v>9781846424601</v>
      </c>
      <c r="C1322" s="1" t="s">
        <v>2387</v>
      </c>
      <c r="D1322" s="2">
        <v>38700</v>
      </c>
      <c r="E1322" s="1" t="s">
        <v>2715</v>
      </c>
      <c r="F1322" s="1" t="s">
        <v>13</v>
      </c>
    </row>
    <row r="1323" spans="1:6" ht="30" customHeight="1" x14ac:dyDescent="0.25">
      <c r="A1323" s="1" t="s">
        <v>2716</v>
      </c>
      <c r="B1323" s="1" t="str">
        <f>"9781846424618"</f>
        <v>9781846424618</v>
      </c>
      <c r="C1323" s="1" t="s">
        <v>2387</v>
      </c>
      <c r="D1323" s="2">
        <v>38701</v>
      </c>
      <c r="E1323" s="1" t="s">
        <v>2464</v>
      </c>
      <c r="F1323" s="1" t="s">
        <v>13</v>
      </c>
    </row>
    <row r="1324" spans="1:6" ht="30" customHeight="1" x14ac:dyDescent="0.25">
      <c r="A1324" s="1" t="s">
        <v>2717</v>
      </c>
      <c r="B1324" s="1" t="str">
        <f>"9781846424632"</f>
        <v>9781846424632</v>
      </c>
      <c r="C1324" s="1" t="s">
        <v>2387</v>
      </c>
      <c r="D1324" s="2">
        <v>38701</v>
      </c>
      <c r="E1324" s="1" t="s">
        <v>2718</v>
      </c>
      <c r="F1324" s="1" t="s">
        <v>13</v>
      </c>
    </row>
    <row r="1325" spans="1:6" ht="30" customHeight="1" x14ac:dyDescent="0.25">
      <c r="A1325" s="1" t="s">
        <v>2719</v>
      </c>
      <c r="B1325" s="1" t="str">
        <f>"9781846424663"</f>
        <v>9781846424663</v>
      </c>
      <c r="C1325" s="1" t="s">
        <v>2387</v>
      </c>
      <c r="D1325" s="2">
        <v>38702</v>
      </c>
      <c r="E1325" s="1" t="s">
        <v>2720</v>
      </c>
      <c r="F1325" s="1" t="s">
        <v>13</v>
      </c>
    </row>
    <row r="1326" spans="1:6" ht="30" customHeight="1" x14ac:dyDescent="0.25">
      <c r="A1326" s="1" t="s">
        <v>2721</v>
      </c>
      <c r="B1326" s="1" t="str">
        <f>"9781846424670"</f>
        <v>9781846424670</v>
      </c>
      <c r="C1326" s="1" t="s">
        <v>2387</v>
      </c>
      <c r="D1326" s="2">
        <v>38702</v>
      </c>
      <c r="E1326" s="1" t="s">
        <v>2722</v>
      </c>
      <c r="F1326" s="1" t="s">
        <v>13</v>
      </c>
    </row>
    <row r="1327" spans="1:6" ht="30" customHeight="1" x14ac:dyDescent="0.25">
      <c r="A1327" s="1" t="s">
        <v>2723</v>
      </c>
      <c r="B1327" s="1" t="str">
        <f>"9781846424694"</f>
        <v>9781846424694</v>
      </c>
      <c r="C1327" s="1" t="s">
        <v>2387</v>
      </c>
      <c r="D1327" s="2">
        <v>38723</v>
      </c>
      <c r="E1327" s="1" t="s">
        <v>2724</v>
      </c>
      <c r="F1327" s="1" t="s">
        <v>158</v>
      </c>
    </row>
    <row r="1328" spans="1:6" ht="30" customHeight="1" x14ac:dyDescent="0.25">
      <c r="A1328" s="1" t="s">
        <v>2725</v>
      </c>
      <c r="B1328" s="1" t="str">
        <f>"9781846424793"</f>
        <v>9781846424793</v>
      </c>
      <c r="C1328" s="1" t="s">
        <v>2387</v>
      </c>
      <c r="D1328" s="2">
        <v>38754</v>
      </c>
      <c r="E1328" s="1" t="s">
        <v>2726</v>
      </c>
      <c r="F1328" s="1" t="s">
        <v>13</v>
      </c>
    </row>
    <row r="1329" spans="1:6" ht="30" customHeight="1" x14ac:dyDescent="0.25">
      <c r="A1329" s="1" t="s">
        <v>2727</v>
      </c>
      <c r="B1329" s="1" t="str">
        <f>"9781846424830"</f>
        <v>9781846424830</v>
      </c>
      <c r="C1329" s="1" t="s">
        <v>2387</v>
      </c>
      <c r="D1329" s="2">
        <v>38763</v>
      </c>
      <c r="E1329" s="1" t="s">
        <v>2728</v>
      </c>
      <c r="F1329" s="1" t="s">
        <v>13</v>
      </c>
    </row>
    <row r="1330" spans="1:6" ht="30" customHeight="1" x14ac:dyDescent="0.25">
      <c r="A1330" s="1" t="s">
        <v>2729</v>
      </c>
      <c r="B1330" s="1" t="str">
        <f>"9781846424847"</f>
        <v>9781846424847</v>
      </c>
      <c r="C1330" s="1" t="s">
        <v>2387</v>
      </c>
      <c r="D1330" s="2">
        <v>38763</v>
      </c>
      <c r="E1330" s="1" t="s">
        <v>2730</v>
      </c>
      <c r="F1330" s="1" t="s">
        <v>904</v>
      </c>
    </row>
    <row r="1331" spans="1:6" ht="30" customHeight="1" x14ac:dyDescent="0.25">
      <c r="A1331" s="1" t="s">
        <v>2731</v>
      </c>
      <c r="B1331" s="1" t="str">
        <f>"9781846424878"</f>
        <v>9781846424878</v>
      </c>
      <c r="C1331" s="1" t="s">
        <v>2387</v>
      </c>
      <c r="D1331" s="2">
        <v>38765</v>
      </c>
      <c r="E1331" s="1" t="s">
        <v>2732</v>
      </c>
      <c r="F1331" s="1" t="s">
        <v>158</v>
      </c>
    </row>
    <row r="1332" spans="1:6" ht="30" customHeight="1" x14ac:dyDescent="0.25">
      <c r="A1332" s="1" t="s">
        <v>2733</v>
      </c>
      <c r="B1332" s="1" t="str">
        <f>"9781846424892"</f>
        <v>9781846424892</v>
      </c>
      <c r="C1332" s="1" t="s">
        <v>2387</v>
      </c>
      <c r="D1332" s="2">
        <v>38789</v>
      </c>
      <c r="E1332" s="1" t="s">
        <v>2734</v>
      </c>
      <c r="F1332" s="1" t="s">
        <v>13</v>
      </c>
    </row>
    <row r="1333" spans="1:6" ht="30" customHeight="1" x14ac:dyDescent="0.25">
      <c r="A1333" s="1" t="s">
        <v>2735</v>
      </c>
      <c r="B1333" s="1" t="str">
        <f>"9781846424908"</f>
        <v>9781846424908</v>
      </c>
      <c r="C1333" s="1" t="s">
        <v>2387</v>
      </c>
      <c r="D1333" s="2">
        <v>38791</v>
      </c>
      <c r="E1333" s="1" t="s">
        <v>2736</v>
      </c>
      <c r="F1333" s="1" t="s">
        <v>13</v>
      </c>
    </row>
    <row r="1334" spans="1:6" ht="30" customHeight="1" x14ac:dyDescent="0.25">
      <c r="A1334" s="1" t="s">
        <v>2737</v>
      </c>
      <c r="B1334" s="1" t="str">
        <f>"9781846424915"</f>
        <v>9781846424915</v>
      </c>
      <c r="C1334" s="1" t="s">
        <v>2387</v>
      </c>
      <c r="D1334" s="2">
        <v>38791</v>
      </c>
      <c r="E1334" s="1" t="s">
        <v>2738</v>
      </c>
      <c r="F1334" s="1" t="s">
        <v>13</v>
      </c>
    </row>
    <row r="1335" spans="1:6" ht="30" customHeight="1" x14ac:dyDescent="0.25">
      <c r="A1335" s="1" t="s">
        <v>2739</v>
      </c>
      <c r="B1335" s="1" t="str">
        <f>"9781846424922"</f>
        <v>9781846424922</v>
      </c>
      <c r="C1335" s="1" t="s">
        <v>2387</v>
      </c>
      <c r="D1335" s="2">
        <v>38793</v>
      </c>
      <c r="E1335" s="1" t="s">
        <v>2740</v>
      </c>
      <c r="F1335" s="1" t="s">
        <v>87</v>
      </c>
    </row>
    <row r="1336" spans="1:6" ht="30" customHeight="1" x14ac:dyDescent="0.25">
      <c r="A1336" s="1" t="s">
        <v>2741</v>
      </c>
      <c r="B1336" s="1" t="str">
        <f>"9781846424939"</f>
        <v>9781846424939</v>
      </c>
      <c r="C1336" s="1" t="s">
        <v>2387</v>
      </c>
      <c r="D1336" s="2">
        <v>38797</v>
      </c>
      <c r="E1336" s="1" t="s">
        <v>2742</v>
      </c>
      <c r="F1336" s="1" t="s">
        <v>13</v>
      </c>
    </row>
    <row r="1337" spans="1:6" ht="30" customHeight="1" x14ac:dyDescent="0.25">
      <c r="A1337" s="1" t="s">
        <v>2743</v>
      </c>
      <c r="B1337" s="1" t="str">
        <f>"9781846424946"</f>
        <v>9781846424946</v>
      </c>
      <c r="C1337" s="1" t="s">
        <v>2387</v>
      </c>
      <c r="D1337" s="2">
        <v>38797</v>
      </c>
      <c r="E1337" s="1" t="s">
        <v>2744</v>
      </c>
      <c r="F1337" s="1" t="s">
        <v>30</v>
      </c>
    </row>
    <row r="1338" spans="1:6" ht="30" customHeight="1" x14ac:dyDescent="0.25">
      <c r="A1338" s="1" t="s">
        <v>2745</v>
      </c>
      <c r="B1338" s="1" t="str">
        <f>"9781846424953"</f>
        <v>9781846424953</v>
      </c>
      <c r="C1338" s="1" t="s">
        <v>2387</v>
      </c>
      <c r="D1338" s="2">
        <v>38799</v>
      </c>
      <c r="E1338" s="1" t="s">
        <v>2746</v>
      </c>
      <c r="F1338" s="1" t="s">
        <v>599</v>
      </c>
    </row>
    <row r="1339" spans="1:6" ht="30" customHeight="1" x14ac:dyDescent="0.25">
      <c r="A1339" s="1" t="s">
        <v>2747</v>
      </c>
      <c r="B1339" s="1" t="str">
        <f>"9781846424960"</f>
        <v>9781846424960</v>
      </c>
      <c r="C1339" s="1" t="s">
        <v>2387</v>
      </c>
      <c r="D1339" s="2">
        <v>38799</v>
      </c>
      <c r="E1339" s="1" t="s">
        <v>2748</v>
      </c>
      <c r="F1339" s="1" t="s">
        <v>13</v>
      </c>
    </row>
    <row r="1340" spans="1:6" ht="30" customHeight="1" x14ac:dyDescent="0.25">
      <c r="A1340" s="1" t="s">
        <v>2749</v>
      </c>
      <c r="B1340" s="1" t="str">
        <f>"9781846424984"</f>
        <v>9781846424984</v>
      </c>
      <c r="C1340" s="1" t="s">
        <v>2387</v>
      </c>
      <c r="D1340" s="2">
        <v>38804</v>
      </c>
      <c r="E1340" s="1" t="s">
        <v>2750</v>
      </c>
      <c r="F1340" s="1" t="s">
        <v>356</v>
      </c>
    </row>
    <row r="1341" spans="1:6" ht="30" customHeight="1" x14ac:dyDescent="0.25">
      <c r="A1341" s="1" t="s">
        <v>2751</v>
      </c>
      <c r="B1341" s="1" t="str">
        <f>"9781846424991"</f>
        <v>9781846424991</v>
      </c>
      <c r="C1341" s="1" t="s">
        <v>2387</v>
      </c>
      <c r="D1341" s="2">
        <v>38806</v>
      </c>
      <c r="E1341" s="1" t="s">
        <v>2752</v>
      </c>
      <c r="F1341" s="1" t="s">
        <v>13</v>
      </c>
    </row>
    <row r="1342" spans="1:6" ht="30" customHeight="1" x14ac:dyDescent="0.25">
      <c r="A1342" s="1" t="s">
        <v>2753</v>
      </c>
      <c r="B1342" s="1" t="str">
        <f>"9781846425004"</f>
        <v>9781846425004</v>
      </c>
      <c r="C1342" s="1" t="s">
        <v>2387</v>
      </c>
      <c r="D1342" s="2">
        <v>38807</v>
      </c>
      <c r="E1342" s="1" t="s">
        <v>2754</v>
      </c>
      <c r="F1342" s="1" t="s">
        <v>13</v>
      </c>
    </row>
    <row r="1343" spans="1:6" ht="30" customHeight="1" x14ac:dyDescent="0.25">
      <c r="A1343" s="1" t="s">
        <v>2755</v>
      </c>
      <c r="B1343" s="1" t="str">
        <f>"9781846425028"</f>
        <v>9781846425028</v>
      </c>
      <c r="C1343" s="1" t="s">
        <v>2387</v>
      </c>
      <c r="D1343" s="2">
        <v>38862</v>
      </c>
      <c r="E1343" s="1" t="s">
        <v>2756</v>
      </c>
      <c r="F1343" s="1" t="s">
        <v>2757</v>
      </c>
    </row>
    <row r="1344" spans="1:6" ht="30" customHeight="1" x14ac:dyDescent="0.25">
      <c r="A1344" s="1" t="s">
        <v>2758</v>
      </c>
      <c r="B1344" s="1" t="str">
        <f>"9781846425042"</f>
        <v>9781846425042</v>
      </c>
      <c r="C1344" s="1" t="s">
        <v>2387</v>
      </c>
      <c r="D1344" s="2">
        <v>38813</v>
      </c>
      <c r="E1344" s="1" t="s">
        <v>2759</v>
      </c>
      <c r="F1344" s="1" t="s">
        <v>13</v>
      </c>
    </row>
    <row r="1345" spans="1:6" ht="30" customHeight="1" x14ac:dyDescent="0.25">
      <c r="A1345" s="1" t="s">
        <v>2760</v>
      </c>
      <c r="B1345" s="1" t="str">
        <f>"9781846425059"</f>
        <v>9781846425059</v>
      </c>
      <c r="C1345" s="1" t="s">
        <v>2387</v>
      </c>
      <c r="D1345" s="2">
        <v>38820</v>
      </c>
      <c r="E1345" s="1" t="s">
        <v>2672</v>
      </c>
      <c r="F1345" s="1" t="s">
        <v>13</v>
      </c>
    </row>
    <row r="1346" spans="1:6" ht="30" customHeight="1" x14ac:dyDescent="0.25">
      <c r="A1346" s="1" t="s">
        <v>2761</v>
      </c>
      <c r="B1346" s="1" t="str">
        <f>"9781846425066"</f>
        <v>9781846425066</v>
      </c>
      <c r="C1346" s="1" t="s">
        <v>2387</v>
      </c>
      <c r="D1346" s="2">
        <v>38834</v>
      </c>
      <c r="E1346" s="1" t="s">
        <v>2762</v>
      </c>
      <c r="F1346" s="1" t="s">
        <v>904</v>
      </c>
    </row>
    <row r="1347" spans="1:6" ht="30" customHeight="1" x14ac:dyDescent="0.25">
      <c r="A1347" s="1" t="s">
        <v>2763</v>
      </c>
      <c r="B1347" s="1" t="str">
        <f>"9781846425080"</f>
        <v>9781846425080</v>
      </c>
      <c r="C1347" s="1" t="s">
        <v>2387</v>
      </c>
      <c r="D1347" s="2">
        <v>38852</v>
      </c>
      <c r="E1347" s="1" t="s">
        <v>2764</v>
      </c>
      <c r="F1347" s="1" t="s">
        <v>13</v>
      </c>
    </row>
    <row r="1348" spans="1:6" ht="30" customHeight="1" x14ac:dyDescent="0.25">
      <c r="A1348" s="1" t="s">
        <v>2765</v>
      </c>
      <c r="B1348" s="1" t="str">
        <f>"9781846425127"</f>
        <v>9781846425127</v>
      </c>
      <c r="C1348" s="1" t="s">
        <v>2387</v>
      </c>
      <c r="D1348" s="2">
        <v>38862</v>
      </c>
      <c r="E1348" s="1" t="s">
        <v>2766</v>
      </c>
      <c r="F1348" s="1" t="s">
        <v>95</v>
      </c>
    </row>
    <row r="1349" spans="1:6" ht="30" customHeight="1" x14ac:dyDescent="0.25">
      <c r="A1349" s="1" t="s">
        <v>2767</v>
      </c>
      <c r="B1349" s="1" t="str">
        <f>"9781846425134"</f>
        <v>9781846425134</v>
      </c>
      <c r="C1349" s="1" t="s">
        <v>2387</v>
      </c>
      <c r="D1349" s="2">
        <v>38862</v>
      </c>
      <c r="E1349" s="1" t="s">
        <v>2768</v>
      </c>
      <c r="F1349" s="1" t="s">
        <v>13</v>
      </c>
    </row>
    <row r="1350" spans="1:6" ht="30" customHeight="1" x14ac:dyDescent="0.25">
      <c r="A1350" s="1" t="s">
        <v>2769</v>
      </c>
      <c r="B1350" s="1" t="str">
        <f>"9781846425141"</f>
        <v>9781846425141</v>
      </c>
      <c r="C1350" s="1" t="s">
        <v>2387</v>
      </c>
      <c r="D1350" s="2">
        <v>38862</v>
      </c>
      <c r="E1350" s="1" t="s">
        <v>2770</v>
      </c>
      <c r="F1350" s="1" t="s">
        <v>70</v>
      </c>
    </row>
    <row r="1351" spans="1:6" ht="30" customHeight="1" x14ac:dyDescent="0.25">
      <c r="A1351" s="1" t="s">
        <v>2771</v>
      </c>
      <c r="B1351" s="1" t="str">
        <f>"9781846425165"</f>
        <v>9781846425165</v>
      </c>
      <c r="C1351" s="1" t="s">
        <v>2387</v>
      </c>
      <c r="D1351" s="2">
        <v>38862</v>
      </c>
      <c r="E1351" s="1" t="s">
        <v>2772</v>
      </c>
      <c r="F1351" s="1" t="s">
        <v>148</v>
      </c>
    </row>
    <row r="1352" spans="1:6" ht="30" customHeight="1" x14ac:dyDescent="0.25">
      <c r="A1352" s="1" t="s">
        <v>2773</v>
      </c>
      <c r="B1352" s="1" t="str">
        <f>"9781846425172"</f>
        <v>9781846425172</v>
      </c>
      <c r="C1352" s="1" t="s">
        <v>2387</v>
      </c>
      <c r="D1352" s="2">
        <v>38876</v>
      </c>
      <c r="E1352" s="1" t="s">
        <v>2774</v>
      </c>
      <c r="F1352" s="1" t="s">
        <v>904</v>
      </c>
    </row>
    <row r="1353" spans="1:6" ht="30" customHeight="1" x14ac:dyDescent="0.25">
      <c r="A1353" s="1" t="s">
        <v>2775</v>
      </c>
      <c r="B1353" s="1" t="str">
        <f>"9781846425196"</f>
        <v>9781846425196</v>
      </c>
      <c r="C1353" s="1" t="s">
        <v>2387</v>
      </c>
      <c r="D1353" s="2">
        <v>38876</v>
      </c>
      <c r="E1353" s="1" t="s">
        <v>2776</v>
      </c>
      <c r="F1353" s="1" t="s">
        <v>13</v>
      </c>
    </row>
    <row r="1354" spans="1:6" ht="30" customHeight="1" x14ac:dyDescent="0.25">
      <c r="A1354" s="1" t="s">
        <v>2777</v>
      </c>
      <c r="B1354" s="1" t="str">
        <f>"9781846425202"</f>
        <v>9781846425202</v>
      </c>
      <c r="C1354" s="1" t="s">
        <v>2387</v>
      </c>
      <c r="D1354" s="2">
        <v>38883</v>
      </c>
      <c r="E1354" s="1" t="s">
        <v>2778</v>
      </c>
      <c r="F1354" s="1" t="s">
        <v>13</v>
      </c>
    </row>
    <row r="1355" spans="1:6" ht="30" customHeight="1" x14ac:dyDescent="0.25">
      <c r="A1355" s="1" t="s">
        <v>2779</v>
      </c>
      <c r="B1355" s="1" t="str">
        <f>"9781846425219"</f>
        <v>9781846425219</v>
      </c>
      <c r="C1355" s="1" t="s">
        <v>2387</v>
      </c>
      <c r="D1355" s="2">
        <v>38883</v>
      </c>
      <c r="E1355" s="1" t="s">
        <v>2780</v>
      </c>
      <c r="F1355" s="1" t="s">
        <v>406</v>
      </c>
    </row>
    <row r="1356" spans="1:6" ht="30" customHeight="1" x14ac:dyDescent="0.25">
      <c r="A1356" s="1" t="s">
        <v>2781</v>
      </c>
      <c r="B1356" s="1" t="str">
        <f>"9781846425240"</f>
        <v>9781846425240</v>
      </c>
      <c r="C1356" s="1" t="s">
        <v>2387</v>
      </c>
      <c r="D1356" s="2">
        <v>38883</v>
      </c>
      <c r="E1356" s="1" t="s">
        <v>2782</v>
      </c>
      <c r="F1356" s="1" t="s">
        <v>13</v>
      </c>
    </row>
    <row r="1357" spans="1:6" ht="30" customHeight="1" x14ac:dyDescent="0.25">
      <c r="A1357" s="1" t="s">
        <v>2783</v>
      </c>
      <c r="B1357" s="1" t="str">
        <f>"9781846425264"</f>
        <v>9781846425264</v>
      </c>
      <c r="C1357" s="1" t="s">
        <v>2387</v>
      </c>
      <c r="D1357" s="2">
        <v>38883</v>
      </c>
      <c r="E1357" s="1" t="s">
        <v>2784</v>
      </c>
      <c r="F1357" s="1" t="s">
        <v>87</v>
      </c>
    </row>
    <row r="1358" spans="1:6" ht="30" customHeight="1" x14ac:dyDescent="0.25">
      <c r="A1358" s="1" t="s">
        <v>2785</v>
      </c>
      <c r="B1358" s="1" t="str">
        <f>"9781846425271"</f>
        <v>9781846425271</v>
      </c>
      <c r="C1358" s="1" t="s">
        <v>2387</v>
      </c>
      <c r="D1358" s="2">
        <v>38883</v>
      </c>
      <c r="E1358" s="1" t="s">
        <v>2786</v>
      </c>
      <c r="F1358" s="1" t="s">
        <v>13</v>
      </c>
    </row>
    <row r="1359" spans="1:6" ht="30" customHeight="1" x14ac:dyDescent="0.25">
      <c r="A1359" s="1" t="s">
        <v>2787</v>
      </c>
      <c r="B1359" s="1" t="str">
        <f>"9781846425295"</f>
        <v>9781846425295</v>
      </c>
      <c r="C1359" s="1" t="s">
        <v>2387</v>
      </c>
      <c r="D1359" s="2">
        <v>38883</v>
      </c>
      <c r="E1359" s="1" t="s">
        <v>2788</v>
      </c>
      <c r="F1359" s="1" t="s">
        <v>13</v>
      </c>
    </row>
    <row r="1360" spans="1:6" ht="30" customHeight="1" x14ac:dyDescent="0.25">
      <c r="A1360" s="1" t="s">
        <v>2789</v>
      </c>
      <c r="B1360" s="1" t="str">
        <f>"9781846425301"</f>
        <v>9781846425301</v>
      </c>
      <c r="C1360" s="1" t="s">
        <v>2387</v>
      </c>
      <c r="D1360" s="2">
        <v>38883</v>
      </c>
      <c r="E1360" s="1" t="s">
        <v>2790</v>
      </c>
      <c r="F1360" s="1" t="s">
        <v>126</v>
      </c>
    </row>
    <row r="1361" spans="1:6" ht="30" customHeight="1" x14ac:dyDescent="0.25">
      <c r="A1361" s="1" t="s">
        <v>2791</v>
      </c>
      <c r="B1361" s="1" t="str">
        <f>"9781846425325"</f>
        <v>9781846425325</v>
      </c>
      <c r="C1361" s="1" t="s">
        <v>2387</v>
      </c>
      <c r="D1361" s="2">
        <v>38883</v>
      </c>
      <c r="E1361" s="1" t="s">
        <v>2792</v>
      </c>
      <c r="F1361" s="1" t="s">
        <v>13</v>
      </c>
    </row>
    <row r="1362" spans="1:6" ht="30" customHeight="1" x14ac:dyDescent="0.25">
      <c r="A1362" s="1" t="s">
        <v>2793</v>
      </c>
      <c r="B1362" s="1" t="str">
        <f>"9781846425332"</f>
        <v>9781846425332</v>
      </c>
      <c r="C1362" s="1" t="s">
        <v>2387</v>
      </c>
      <c r="D1362" s="2">
        <v>38883</v>
      </c>
      <c r="E1362" s="1" t="s">
        <v>2794</v>
      </c>
      <c r="F1362" s="1" t="s">
        <v>87</v>
      </c>
    </row>
    <row r="1363" spans="1:6" ht="30" customHeight="1" x14ac:dyDescent="0.25">
      <c r="A1363" s="1" t="s">
        <v>2795</v>
      </c>
      <c r="B1363" s="1" t="str">
        <f>"9781846425349"</f>
        <v>9781846425349</v>
      </c>
      <c r="C1363" s="1" t="s">
        <v>2387</v>
      </c>
      <c r="D1363" s="2">
        <v>38883</v>
      </c>
      <c r="E1363" s="1" t="s">
        <v>2796</v>
      </c>
      <c r="F1363" s="1" t="s">
        <v>294</v>
      </c>
    </row>
    <row r="1364" spans="1:6" ht="30" customHeight="1" x14ac:dyDescent="0.25">
      <c r="A1364" s="1" t="s">
        <v>2797</v>
      </c>
      <c r="B1364" s="1" t="str">
        <f>"9781846425356"</f>
        <v>9781846425356</v>
      </c>
      <c r="C1364" s="1" t="s">
        <v>2387</v>
      </c>
      <c r="D1364" s="2">
        <v>38894</v>
      </c>
      <c r="E1364" s="1" t="s">
        <v>2798</v>
      </c>
      <c r="F1364" s="1" t="s">
        <v>70</v>
      </c>
    </row>
    <row r="1365" spans="1:6" ht="30" customHeight="1" x14ac:dyDescent="0.25">
      <c r="A1365" s="1" t="s">
        <v>2799</v>
      </c>
      <c r="B1365" s="1" t="str">
        <f>"9781846425370"</f>
        <v>9781846425370</v>
      </c>
      <c r="C1365" s="1" t="s">
        <v>2387</v>
      </c>
      <c r="D1365" s="2">
        <v>38913</v>
      </c>
      <c r="E1365" s="1" t="s">
        <v>2800</v>
      </c>
      <c r="F1365" s="1" t="s">
        <v>13</v>
      </c>
    </row>
    <row r="1366" spans="1:6" ht="30" customHeight="1" x14ac:dyDescent="0.25">
      <c r="A1366" s="1" t="s">
        <v>2801</v>
      </c>
      <c r="B1366" s="1" t="str">
        <f>"9781846425417"</f>
        <v>9781846425417</v>
      </c>
      <c r="C1366" s="1" t="s">
        <v>2387</v>
      </c>
      <c r="D1366" s="2">
        <v>38913</v>
      </c>
      <c r="E1366" s="1" t="s">
        <v>2802</v>
      </c>
      <c r="F1366" s="1" t="s">
        <v>13</v>
      </c>
    </row>
    <row r="1367" spans="1:6" ht="30" customHeight="1" x14ac:dyDescent="0.25">
      <c r="A1367" s="1" t="s">
        <v>2803</v>
      </c>
      <c r="B1367" s="1" t="str">
        <f>"9781846425424"</f>
        <v>9781846425424</v>
      </c>
      <c r="C1367" s="1" t="s">
        <v>2387</v>
      </c>
      <c r="D1367" s="2">
        <v>38913</v>
      </c>
      <c r="E1367" s="1" t="s">
        <v>2804</v>
      </c>
      <c r="F1367" s="1" t="s">
        <v>13</v>
      </c>
    </row>
    <row r="1368" spans="1:6" ht="30" customHeight="1" x14ac:dyDescent="0.25">
      <c r="A1368" s="1" t="s">
        <v>2805</v>
      </c>
      <c r="B1368" s="1" t="str">
        <f>"9781846425431"</f>
        <v>9781846425431</v>
      </c>
      <c r="C1368" s="1" t="s">
        <v>2387</v>
      </c>
      <c r="D1368" s="2">
        <v>38913</v>
      </c>
      <c r="E1368" s="1" t="s">
        <v>2806</v>
      </c>
      <c r="F1368" s="1" t="s">
        <v>13</v>
      </c>
    </row>
    <row r="1369" spans="1:6" ht="30" customHeight="1" x14ac:dyDescent="0.25">
      <c r="A1369" s="1" t="s">
        <v>2807</v>
      </c>
      <c r="B1369" s="1" t="str">
        <f>"9781846425448"</f>
        <v>9781846425448</v>
      </c>
      <c r="C1369" s="1" t="s">
        <v>2387</v>
      </c>
      <c r="D1369" s="2">
        <v>38944</v>
      </c>
      <c r="E1369" s="1" t="s">
        <v>2808</v>
      </c>
      <c r="F1369" s="1" t="s">
        <v>13</v>
      </c>
    </row>
    <row r="1370" spans="1:6" ht="30" customHeight="1" x14ac:dyDescent="0.25">
      <c r="A1370" s="1" t="s">
        <v>2809</v>
      </c>
      <c r="B1370" s="1" t="str">
        <f>"9781846425462"</f>
        <v>9781846425462</v>
      </c>
      <c r="C1370" s="1" t="s">
        <v>2387</v>
      </c>
      <c r="D1370" s="2">
        <v>38944</v>
      </c>
      <c r="E1370" s="1" t="s">
        <v>2810</v>
      </c>
      <c r="F1370" s="1" t="s">
        <v>13</v>
      </c>
    </row>
    <row r="1371" spans="1:6" ht="30" customHeight="1" x14ac:dyDescent="0.25">
      <c r="A1371" s="1" t="s">
        <v>2811</v>
      </c>
      <c r="B1371" s="1" t="str">
        <f>"9781846425479"</f>
        <v>9781846425479</v>
      </c>
      <c r="C1371" s="1" t="s">
        <v>2387</v>
      </c>
      <c r="D1371" s="2">
        <v>38944</v>
      </c>
      <c r="E1371" s="1" t="s">
        <v>2812</v>
      </c>
      <c r="F1371" s="1" t="s">
        <v>13</v>
      </c>
    </row>
    <row r="1372" spans="1:6" ht="30" customHeight="1" x14ac:dyDescent="0.25">
      <c r="A1372" s="1" t="s">
        <v>2813</v>
      </c>
      <c r="B1372" s="1" t="str">
        <f>"9781846425493"</f>
        <v>9781846425493</v>
      </c>
      <c r="C1372" s="1" t="s">
        <v>2387</v>
      </c>
      <c r="D1372" s="2">
        <v>38944</v>
      </c>
      <c r="E1372" s="1" t="s">
        <v>2814</v>
      </c>
      <c r="F1372" s="1" t="s">
        <v>13</v>
      </c>
    </row>
    <row r="1373" spans="1:6" ht="30" customHeight="1" x14ac:dyDescent="0.25">
      <c r="A1373" s="1" t="s">
        <v>2815</v>
      </c>
      <c r="B1373" s="1" t="str">
        <f>"9781846426131"</f>
        <v>9781846426131</v>
      </c>
      <c r="C1373" s="1" t="s">
        <v>2387</v>
      </c>
      <c r="D1373" s="2">
        <v>37649</v>
      </c>
      <c r="E1373" s="1" t="s">
        <v>2536</v>
      </c>
      <c r="F1373" s="1" t="s">
        <v>13</v>
      </c>
    </row>
    <row r="1374" spans="1:6" ht="30" customHeight="1" x14ac:dyDescent="0.25">
      <c r="A1374" s="1" t="s">
        <v>2816</v>
      </c>
      <c r="B1374" s="1" t="str">
        <f>"9781846426476"</f>
        <v>9781846426476</v>
      </c>
      <c r="C1374" s="1" t="s">
        <v>2387</v>
      </c>
      <c r="D1374" s="2">
        <v>37514</v>
      </c>
      <c r="E1374" s="1" t="s">
        <v>2817</v>
      </c>
      <c r="F1374" s="1" t="s">
        <v>13</v>
      </c>
    </row>
    <row r="1375" spans="1:6" ht="30" customHeight="1" x14ac:dyDescent="0.25">
      <c r="A1375" s="1" t="s">
        <v>2818</v>
      </c>
      <c r="B1375" s="1" t="str">
        <f>"9781846426391"</f>
        <v>9781846426391</v>
      </c>
      <c r="C1375" s="1" t="s">
        <v>2387</v>
      </c>
      <c r="D1375" s="2">
        <v>37726</v>
      </c>
      <c r="E1375" s="1" t="s">
        <v>2819</v>
      </c>
      <c r="F1375" s="1" t="s">
        <v>13</v>
      </c>
    </row>
    <row r="1376" spans="1:6" ht="30" customHeight="1" x14ac:dyDescent="0.25">
      <c r="A1376" s="1" t="s">
        <v>2820</v>
      </c>
      <c r="B1376" s="1" t="str">
        <f>"9781846426414"</f>
        <v>9781846426414</v>
      </c>
      <c r="C1376" s="1" t="s">
        <v>2387</v>
      </c>
      <c r="D1376" s="2">
        <v>37879</v>
      </c>
      <c r="E1376" s="1" t="s">
        <v>233</v>
      </c>
      <c r="F1376" s="1" t="s">
        <v>176</v>
      </c>
    </row>
    <row r="1377" spans="1:6" ht="30" customHeight="1" x14ac:dyDescent="0.25">
      <c r="A1377" s="1" t="s">
        <v>2821</v>
      </c>
      <c r="B1377" s="1" t="str">
        <f>"9781846426407"</f>
        <v>9781846426407</v>
      </c>
      <c r="C1377" s="1" t="s">
        <v>2387</v>
      </c>
      <c r="D1377" s="2">
        <v>37715</v>
      </c>
      <c r="E1377" s="1" t="s">
        <v>2822</v>
      </c>
      <c r="F1377" s="1" t="s">
        <v>13</v>
      </c>
    </row>
    <row r="1378" spans="1:6" ht="30" customHeight="1" x14ac:dyDescent="0.25">
      <c r="A1378" s="1" t="s">
        <v>2823</v>
      </c>
      <c r="B1378" s="1" t="str">
        <f>"9781846426445"</f>
        <v>9781846426445</v>
      </c>
      <c r="C1378" s="1" t="s">
        <v>2387</v>
      </c>
      <c r="D1378" s="2">
        <v>38054</v>
      </c>
      <c r="E1378" s="1" t="s">
        <v>2824</v>
      </c>
      <c r="F1378" s="1" t="s">
        <v>13</v>
      </c>
    </row>
    <row r="1379" spans="1:6" ht="30" customHeight="1" x14ac:dyDescent="0.25">
      <c r="A1379" s="1" t="s">
        <v>2825</v>
      </c>
      <c r="B1379" s="1" t="str">
        <f>"9781846426452"</f>
        <v>9781846426452</v>
      </c>
      <c r="C1379" s="1" t="s">
        <v>2387</v>
      </c>
      <c r="D1379" s="2">
        <v>37652</v>
      </c>
      <c r="E1379" s="1" t="s">
        <v>2580</v>
      </c>
      <c r="F1379" s="1" t="s">
        <v>13</v>
      </c>
    </row>
    <row r="1380" spans="1:6" ht="30" customHeight="1" x14ac:dyDescent="0.25">
      <c r="A1380" s="1" t="s">
        <v>2826</v>
      </c>
      <c r="B1380" s="1" t="str">
        <f>"9781846426469"</f>
        <v>9781846426469</v>
      </c>
      <c r="C1380" s="1" t="s">
        <v>2387</v>
      </c>
      <c r="D1380" s="2">
        <v>38005</v>
      </c>
      <c r="E1380" s="1" t="s">
        <v>2827</v>
      </c>
      <c r="F1380" s="1" t="s">
        <v>13</v>
      </c>
    </row>
    <row r="1381" spans="1:6" ht="30" customHeight="1" x14ac:dyDescent="0.25">
      <c r="A1381" s="1" t="s">
        <v>2828</v>
      </c>
      <c r="B1381" s="1" t="str">
        <f>"9780826138064"</f>
        <v>9780826138064</v>
      </c>
      <c r="C1381" s="1" t="s">
        <v>2339</v>
      </c>
      <c r="D1381" s="2">
        <v>38718</v>
      </c>
      <c r="E1381" s="1" t="s">
        <v>2829</v>
      </c>
      <c r="F1381" s="1" t="s">
        <v>114</v>
      </c>
    </row>
    <row r="1382" spans="1:6" ht="30" customHeight="1" x14ac:dyDescent="0.25">
      <c r="A1382" s="1" t="s">
        <v>2830</v>
      </c>
      <c r="B1382" s="1" t="str">
        <f>"9780826137852"</f>
        <v>9780826137852</v>
      </c>
      <c r="C1382" s="1" t="s">
        <v>2339</v>
      </c>
      <c r="D1382" s="2">
        <v>38718</v>
      </c>
      <c r="E1382" s="1" t="s">
        <v>2831</v>
      </c>
      <c r="F1382" s="1" t="s">
        <v>127</v>
      </c>
    </row>
    <row r="1383" spans="1:6" ht="30" customHeight="1" x14ac:dyDescent="0.25">
      <c r="A1383" s="1" t="s">
        <v>2832</v>
      </c>
      <c r="B1383" s="1" t="str">
        <f>"9780826149930"</f>
        <v>9780826149930</v>
      </c>
      <c r="C1383" s="1" t="s">
        <v>2339</v>
      </c>
      <c r="D1383" s="2">
        <v>38718</v>
      </c>
      <c r="E1383" s="1" t="s">
        <v>2833</v>
      </c>
      <c r="F1383" s="1" t="s">
        <v>95</v>
      </c>
    </row>
    <row r="1384" spans="1:6" ht="30" customHeight="1" x14ac:dyDescent="0.25">
      <c r="A1384" s="1" t="s">
        <v>2834</v>
      </c>
      <c r="B1384" s="1" t="str">
        <f>"9780826169662"</f>
        <v>9780826169662</v>
      </c>
      <c r="C1384" s="1" t="s">
        <v>2339</v>
      </c>
      <c r="D1384" s="2">
        <v>38718</v>
      </c>
      <c r="E1384" s="1" t="s">
        <v>2835</v>
      </c>
      <c r="F1384" s="1" t="s">
        <v>158</v>
      </c>
    </row>
    <row r="1385" spans="1:6" ht="30" customHeight="1" x14ac:dyDescent="0.25">
      <c r="A1385" s="1" t="s">
        <v>2836</v>
      </c>
      <c r="B1385" s="1" t="str">
        <f>"9780826138460"</f>
        <v>9780826138460</v>
      </c>
      <c r="C1385" s="1" t="s">
        <v>2339</v>
      </c>
      <c r="D1385" s="2">
        <v>38718</v>
      </c>
      <c r="E1385" s="1" t="s">
        <v>2837</v>
      </c>
      <c r="F1385" s="1" t="s">
        <v>13</v>
      </c>
    </row>
    <row r="1386" spans="1:6" ht="30" customHeight="1" x14ac:dyDescent="0.25">
      <c r="A1386" s="1" t="s">
        <v>2838</v>
      </c>
      <c r="B1386" s="1" t="str">
        <f>"9780826103284"</f>
        <v>9780826103284</v>
      </c>
      <c r="C1386" s="1" t="s">
        <v>2339</v>
      </c>
      <c r="D1386" s="2">
        <v>38718</v>
      </c>
      <c r="E1386" s="1" t="s">
        <v>2839</v>
      </c>
      <c r="F1386" s="1" t="s">
        <v>87</v>
      </c>
    </row>
    <row r="1387" spans="1:6" ht="30" customHeight="1" x14ac:dyDescent="0.25">
      <c r="A1387" s="1" t="s">
        <v>2840</v>
      </c>
      <c r="B1387" s="1" t="str">
        <f>"9780826148445"</f>
        <v>9780826148445</v>
      </c>
      <c r="C1387" s="1" t="s">
        <v>2339</v>
      </c>
      <c r="D1387" s="2">
        <v>39052</v>
      </c>
      <c r="E1387" s="1" t="s">
        <v>2841</v>
      </c>
      <c r="F1387" s="1" t="s">
        <v>87</v>
      </c>
    </row>
    <row r="1388" spans="1:6" ht="30" customHeight="1" x14ac:dyDescent="0.25">
      <c r="A1388" s="1" t="s">
        <v>2842</v>
      </c>
      <c r="B1388" s="1" t="str">
        <f>"9780826170972"</f>
        <v>9780826170972</v>
      </c>
      <c r="C1388" s="1" t="s">
        <v>2339</v>
      </c>
      <c r="D1388" s="2">
        <v>38718</v>
      </c>
      <c r="E1388" s="1" t="s">
        <v>2843</v>
      </c>
      <c r="F1388" s="1" t="s">
        <v>268</v>
      </c>
    </row>
    <row r="1389" spans="1:6" ht="30" customHeight="1" x14ac:dyDescent="0.25">
      <c r="A1389" s="1" t="s">
        <v>2844</v>
      </c>
      <c r="B1389" s="1" t="str">
        <f>"9780826130440"</f>
        <v>9780826130440</v>
      </c>
      <c r="C1389" s="1" t="s">
        <v>2339</v>
      </c>
      <c r="D1389" s="2">
        <v>38718</v>
      </c>
      <c r="E1389" s="1" t="s">
        <v>2845</v>
      </c>
      <c r="F1389" s="1" t="s">
        <v>126</v>
      </c>
    </row>
    <row r="1390" spans="1:6" ht="30" customHeight="1" x14ac:dyDescent="0.25">
      <c r="A1390" s="1" t="s">
        <v>2846</v>
      </c>
      <c r="B1390" s="1" t="str">
        <f>"9780826114396"</f>
        <v>9780826114396</v>
      </c>
      <c r="C1390" s="1" t="s">
        <v>2339</v>
      </c>
      <c r="D1390" s="2">
        <v>38718</v>
      </c>
      <c r="E1390" s="1" t="s">
        <v>2847</v>
      </c>
      <c r="F1390" s="1" t="s">
        <v>126</v>
      </c>
    </row>
    <row r="1391" spans="1:6" ht="30" customHeight="1" x14ac:dyDescent="0.25">
      <c r="A1391" s="1" t="s">
        <v>2848</v>
      </c>
      <c r="B1391" s="1" t="str">
        <f>"9780826156167"</f>
        <v>9780826156167</v>
      </c>
      <c r="C1391" s="1" t="s">
        <v>2339</v>
      </c>
      <c r="D1391" s="2">
        <v>38718</v>
      </c>
      <c r="E1391" s="1" t="s">
        <v>2849</v>
      </c>
      <c r="F1391" s="1" t="s">
        <v>13</v>
      </c>
    </row>
    <row r="1392" spans="1:6" ht="30" customHeight="1" x14ac:dyDescent="0.25">
      <c r="A1392" s="1" t="s">
        <v>2850</v>
      </c>
      <c r="B1392" s="1" t="str">
        <f>"9780826146953"</f>
        <v>9780826146953</v>
      </c>
      <c r="C1392" s="1" t="s">
        <v>2339</v>
      </c>
      <c r="D1392" s="2">
        <v>39052</v>
      </c>
      <c r="E1392" s="1" t="s">
        <v>2851</v>
      </c>
      <c r="F1392" s="1" t="s">
        <v>126</v>
      </c>
    </row>
    <row r="1393" spans="1:6" ht="30" customHeight="1" x14ac:dyDescent="0.25">
      <c r="A1393" s="1" t="s">
        <v>2852</v>
      </c>
      <c r="B1393" s="1" t="str">
        <f>"9780826198136"</f>
        <v>9780826198136</v>
      </c>
      <c r="C1393" s="1" t="s">
        <v>2339</v>
      </c>
      <c r="D1393" s="2">
        <v>38718</v>
      </c>
      <c r="E1393" s="1" t="s">
        <v>2853</v>
      </c>
      <c r="F1393" s="1" t="s">
        <v>126</v>
      </c>
    </row>
    <row r="1394" spans="1:6" ht="30" customHeight="1" x14ac:dyDescent="0.25">
      <c r="A1394" s="1" t="s">
        <v>2854</v>
      </c>
      <c r="B1394" s="1" t="str">
        <f>"9780826126481"</f>
        <v>9780826126481</v>
      </c>
      <c r="C1394" s="1" t="s">
        <v>2339</v>
      </c>
      <c r="D1394" s="2">
        <v>38718</v>
      </c>
      <c r="E1394" s="1" t="s">
        <v>2855</v>
      </c>
      <c r="F1394" s="1" t="s">
        <v>13</v>
      </c>
    </row>
    <row r="1395" spans="1:6" ht="30" customHeight="1" x14ac:dyDescent="0.25">
      <c r="A1395" s="1" t="s">
        <v>2856</v>
      </c>
      <c r="B1395" s="1" t="str">
        <f>"9780826188168"</f>
        <v>9780826188168</v>
      </c>
      <c r="C1395" s="1" t="s">
        <v>2339</v>
      </c>
      <c r="D1395" s="2">
        <v>38718</v>
      </c>
      <c r="E1395" s="1" t="s">
        <v>2857</v>
      </c>
      <c r="F1395" s="1" t="s">
        <v>13</v>
      </c>
    </row>
    <row r="1396" spans="1:6" ht="30" customHeight="1" x14ac:dyDescent="0.25">
      <c r="A1396" s="1" t="s">
        <v>2858</v>
      </c>
      <c r="B1396" s="1" t="str">
        <f>"9780826140067"</f>
        <v>9780826140067</v>
      </c>
      <c r="C1396" s="1" t="s">
        <v>2339</v>
      </c>
      <c r="D1396" s="2">
        <v>39052</v>
      </c>
      <c r="E1396" s="1" t="s">
        <v>2859</v>
      </c>
      <c r="F1396" s="1" t="s">
        <v>126</v>
      </c>
    </row>
    <row r="1397" spans="1:6" ht="30" customHeight="1" x14ac:dyDescent="0.25">
      <c r="A1397" s="1" t="s">
        <v>2860</v>
      </c>
      <c r="B1397" s="1" t="str">
        <f>"9780826177650"</f>
        <v>9780826177650</v>
      </c>
      <c r="C1397" s="1" t="s">
        <v>2339</v>
      </c>
      <c r="D1397" s="2">
        <v>38718</v>
      </c>
      <c r="E1397" s="1" t="s">
        <v>2861</v>
      </c>
      <c r="F1397" s="1" t="s">
        <v>126</v>
      </c>
    </row>
    <row r="1398" spans="1:6" ht="30" customHeight="1" x14ac:dyDescent="0.25">
      <c r="A1398" s="1" t="s">
        <v>2862</v>
      </c>
      <c r="B1398" s="1" t="str">
        <f>"9780826137166"</f>
        <v>9780826137166</v>
      </c>
      <c r="C1398" s="1" t="s">
        <v>2339</v>
      </c>
      <c r="D1398" s="2">
        <v>39052</v>
      </c>
      <c r="E1398" s="1" t="s">
        <v>2863</v>
      </c>
      <c r="F1398" s="1" t="s">
        <v>126</v>
      </c>
    </row>
    <row r="1399" spans="1:6" ht="30" customHeight="1" x14ac:dyDescent="0.25">
      <c r="A1399" s="1" t="s">
        <v>2864</v>
      </c>
      <c r="B1399" s="1" t="str">
        <f>"9780826140470"</f>
        <v>9780826140470</v>
      </c>
      <c r="C1399" s="1" t="s">
        <v>2339</v>
      </c>
      <c r="D1399" s="2">
        <v>38718</v>
      </c>
      <c r="E1399" s="1" t="s">
        <v>2865</v>
      </c>
      <c r="F1399" s="1" t="s">
        <v>13</v>
      </c>
    </row>
    <row r="1400" spans="1:6" ht="30" customHeight="1" x14ac:dyDescent="0.25">
      <c r="A1400" s="1" t="s">
        <v>2866</v>
      </c>
      <c r="B1400" s="1" t="str">
        <f>"9780826100009"</f>
        <v>9780826100009</v>
      </c>
      <c r="C1400" s="1" t="s">
        <v>2339</v>
      </c>
      <c r="D1400" s="2">
        <v>38718</v>
      </c>
      <c r="E1400" s="1" t="s">
        <v>2867</v>
      </c>
      <c r="F1400" s="1" t="s">
        <v>87</v>
      </c>
    </row>
    <row r="1401" spans="1:6" ht="30" customHeight="1" x14ac:dyDescent="0.25">
      <c r="A1401" s="1" t="s">
        <v>2868</v>
      </c>
      <c r="B1401" s="1" t="str">
        <f>"9780826118233"</f>
        <v>9780826118233</v>
      </c>
      <c r="C1401" s="1" t="s">
        <v>2339</v>
      </c>
      <c r="D1401" s="2">
        <v>38718</v>
      </c>
      <c r="E1401" s="1" t="s">
        <v>2869</v>
      </c>
      <c r="F1401" s="1" t="s">
        <v>13</v>
      </c>
    </row>
    <row r="1402" spans="1:6" ht="30" customHeight="1" x14ac:dyDescent="0.25">
      <c r="A1402" s="1" t="s">
        <v>2870</v>
      </c>
      <c r="B1402" s="1" t="str">
        <f>"9780826132468"</f>
        <v>9780826132468</v>
      </c>
      <c r="C1402" s="1" t="s">
        <v>2339</v>
      </c>
      <c r="D1402" s="2">
        <v>38718</v>
      </c>
      <c r="E1402" s="1" t="s">
        <v>2871</v>
      </c>
      <c r="F1402" s="1" t="s">
        <v>13</v>
      </c>
    </row>
    <row r="1403" spans="1:6" ht="30" customHeight="1" x14ac:dyDescent="0.25">
      <c r="A1403" s="1" t="s">
        <v>2872</v>
      </c>
      <c r="B1403" s="1" t="str">
        <f>"9780826128577"</f>
        <v>9780826128577</v>
      </c>
      <c r="C1403" s="1" t="s">
        <v>2339</v>
      </c>
      <c r="D1403" s="2">
        <v>38718</v>
      </c>
      <c r="E1403" s="1" t="s">
        <v>2873</v>
      </c>
      <c r="F1403" s="1" t="s">
        <v>2874</v>
      </c>
    </row>
    <row r="1404" spans="1:6" ht="30" customHeight="1" x14ac:dyDescent="0.25">
      <c r="A1404" s="1" t="s">
        <v>2875</v>
      </c>
      <c r="B1404" s="1" t="str">
        <f>"9780826173850"</f>
        <v>9780826173850</v>
      </c>
      <c r="C1404" s="1" t="s">
        <v>2339</v>
      </c>
      <c r="D1404" s="2">
        <v>38718</v>
      </c>
      <c r="E1404" s="1" t="s">
        <v>2876</v>
      </c>
      <c r="F1404" s="1" t="s">
        <v>2877</v>
      </c>
    </row>
    <row r="1405" spans="1:6" ht="30" customHeight="1" x14ac:dyDescent="0.25">
      <c r="A1405" s="1" t="s">
        <v>2878</v>
      </c>
      <c r="B1405" s="1" t="str">
        <f>"9780520940468"</f>
        <v>9780520940468</v>
      </c>
      <c r="C1405" s="1" t="s">
        <v>818</v>
      </c>
      <c r="D1405" s="2">
        <v>39008</v>
      </c>
      <c r="E1405" s="1" t="s">
        <v>2879</v>
      </c>
      <c r="F1405" s="1" t="s">
        <v>1338</v>
      </c>
    </row>
    <row r="1406" spans="1:6" ht="30" customHeight="1" x14ac:dyDescent="0.25">
      <c r="A1406" s="1" t="s">
        <v>2880</v>
      </c>
      <c r="B1406" s="1" t="str">
        <f>"9780520940451"</f>
        <v>9780520940451</v>
      </c>
      <c r="C1406" s="1" t="s">
        <v>818</v>
      </c>
      <c r="D1406" s="2">
        <v>39155</v>
      </c>
      <c r="E1406" s="1" t="s">
        <v>2881</v>
      </c>
      <c r="F1406" s="1" t="s">
        <v>95</v>
      </c>
    </row>
    <row r="1407" spans="1:6" ht="30" customHeight="1" x14ac:dyDescent="0.25">
      <c r="A1407" s="1" t="s">
        <v>2882</v>
      </c>
      <c r="B1407" s="1" t="str">
        <f>"9781846632273"</f>
        <v>9781846632273</v>
      </c>
      <c r="C1407" s="1" t="s">
        <v>971</v>
      </c>
      <c r="D1407" s="2">
        <v>39129</v>
      </c>
      <c r="E1407" s="1" t="s">
        <v>2883</v>
      </c>
      <c r="F1407" s="1" t="s">
        <v>2884</v>
      </c>
    </row>
    <row r="1408" spans="1:6" ht="30" customHeight="1" x14ac:dyDescent="0.25">
      <c r="A1408" s="1" t="s">
        <v>2885</v>
      </c>
      <c r="B1408" s="1" t="str">
        <f>"9780851999623"</f>
        <v>9780851999623</v>
      </c>
      <c r="C1408" s="1" t="s">
        <v>2321</v>
      </c>
      <c r="D1408" s="2">
        <v>36526</v>
      </c>
      <c r="E1408" s="1" t="s">
        <v>2886</v>
      </c>
      <c r="F1408" s="1" t="s">
        <v>70</v>
      </c>
    </row>
    <row r="1409" spans="1:6" ht="30" customHeight="1" x14ac:dyDescent="0.25">
      <c r="A1409" s="1" t="s">
        <v>2887</v>
      </c>
      <c r="B1409" s="1" t="str">
        <f>"9780851999418"</f>
        <v>9780851999418</v>
      </c>
      <c r="C1409" s="1" t="s">
        <v>2321</v>
      </c>
      <c r="D1409" s="2">
        <v>36892</v>
      </c>
      <c r="E1409" s="1" t="s">
        <v>2888</v>
      </c>
      <c r="F1409" s="1" t="s">
        <v>1400</v>
      </c>
    </row>
    <row r="1410" spans="1:6" ht="30" customHeight="1" x14ac:dyDescent="0.25">
      <c r="A1410" s="1" t="s">
        <v>2889</v>
      </c>
      <c r="B1410" s="1" t="str">
        <f>"9780851999289"</f>
        <v>9780851999289</v>
      </c>
      <c r="C1410" s="1" t="s">
        <v>2321</v>
      </c>
      <c r="D1410" s="2">
        <v>36526</v>
      </c>
      <c r="E1410" s="1" t="s">
        <v>2890</v>
      </c>
      <c r="F1410" s="1" t="s">
        <v>1400</v>
      </c>
    </row>
    <row r="1411" spans="1:6" ht="30" customHeight="1" x14ac:dyDescent="0.25">
      <c r="A1411" s="1" t="s">
        <v>2891</v>
      </c>
      <c r="B1411" s="1" t="str">
        <f>"9780851999371"</f>
        <v>9780851999371</v>
      </c>
      <c r="C1411" s="1" t="s">
        <v>2321</v>
      </c>
      <c r="D1411" s="2">
        <v>36526</v>
      </c>
      <c r="E1411" s="1" t="s">
        <v>2892</v>
      </c>
      <c r="F1411" s="1" t="s">
        <v>1400</v>
      </c>
    </row>
    <row r="1412" spans="1:6" ht="30" customHeight="1" x14ac:dyDescent="0.25">
      <c r="A1412" s="1" t="s">
        <v>2893</v>
      </c>
      <c r="B1412" s="1" t="str">
        <f>"9780851999166"</f>
        <v>9780851999166</v>
      </c>
      <c r="C1412" s="1" t="s">
        <v>2321</v>
      </c>
      <c r="D1412" s="2">
        <v>36526</v>
      </c>
      <c r="E1412" s="1" t="s">
        <v>2894</v>
      </c>
      <c r="F1412" s="1" t="s">
        <v>1400</v>
      </c>
    </row>
    <row r="1413" spans="1:6" ht="30" customHeight="1" x14ac:dyDescent="0.25">
      <c r="A1413" s="1" t="s">
        <v>2895</v>
      </c>
      <c r="B1413" s="1" t="str">
        <f>"9780851999302"</f>
        <v>9780851999302</v>
      </c>
      <c r="C1413" s="1" t="s">
        <v>2321</v>
      </c>
      <c r="D1413" s="2">
        <v>36526</v>
      </c>
      <c r="E1413" s="1" t="s">
        <v>2896</v>
      </c>
      <c r="F1413" s="1" t="s">
        <v>2897</v>
      </c>
    </row>
    <row r="1414" spans="1:6" ht="30" customHeight="1" x14ac:dyDescent="0.25">
      <c r="A1414" s="1" t="s">
        <v>2898</v>
      </c>
      <c r="B1414" s="1" t="str">
        <f>"9780851999500"</f>
        <v>9780851999500</v>
      </c>
      <c r="C1414" s="1" t="s">
        <v>2321</v>
      </c>
      <c r="D1414" s="2">
        <v>37987</v>
      </c>
      <c r="E1414" s="1" t="s">
        <v>2899</v>
      </c>
      <c r="F1414" s="1" t="s">
        <v>1400</v>
      </c>
    </row>
    <row r="1415" spans="1:6" ht="30" customHeight="1" x14ac:dyDescent="0.25">
      <c r="A1415" s="1" t="s">
        <v>2900</v>
      </c>
      <c r="B1415" s="1" t="str">
        <f>"9780851999258"</f>
        <v>9780851999258</v>
      </c>
      <c r="C1415" s="1" t="s">
        <v>2321</v>
      </c>
      <c r="D1415" s="2">
        <v>36526</v>
      </c>
      <c r="E1415" s="1" t="s">
        <v>2901</v>
      </c>
      <c r="F1415" s="1" t="s">
        <v>1400</v>
      </c>
    </row>
    <row r="1416" spans="1:6" ht="30" customHeight="1" x14ac:dyDescent="0.25">
      <c r="A1416" s="1" t="s">
        <v>2902</v>
      </c>
      <c r="B1416" s="1" t="str">
        <f>"9780335226672"</f>
        <v>9780335226672</v>
      </c>
      <c r="C1416" s="1" t="s">
        <v>2247</v>
      </c>
      <c r="D1416" s="2">
        <v>38718</v>
      </c>
      <c r="E1416" s="1" t="s">
        <v>2903</v>
      </c>
      <c r="F1416" s="1" t="s">
        <v>158</v>
      </c>
    </row>
    <row r="1417" spans="1:6" ht="30" customHeight="1" x14ac:dyDescent="0.25">
      <c r="A1417" s="1" t="s">
        <v>2904</v>
      </c>
      <c r="B1417" s="1" t="str">
        <f>"9780335226337"</f>
        <v>9780335226337</v>
      </c>
      <c r="C1417" s="1" t="s">
        <v>2247</v>
      </c>
      <c r="D1417" s="2">
        <v>38353</v>
      </c>
      <c r="E1417" s="1" t="s">
        <v>2905</v>
      </c>
      <c r="F1417" s="1" t="s">
        <v>33</v>
      </c>
    </row>
    <row r="1418" spans="1:6" ht="30" customHeight="1" x14ac:dyDescent="0.25">
      <c r="A1418" s="1" t="s">
        <v>2906</v>
      </c>
      <c r="B1418" s="1" t="str">
        <f>"9780335226320"</f>
        <v>9780335226320</v>
      </c>
      <c r="C1418" s="1" t="s">
        <v>2247</v>
      </c>
      <c r="D1418" s="2">
        <v>37987</v>
      </c>
      <c r="E1418" s="1" t="s">
        <v>2907</v>
      </c>
      <c r="F1418" s="1" t="s">
        <v>30</v>
      </c>
    </row>
    <row r="1419" spans="1:6" ht="30" customHeight="1" x14ac:dyDescent="0.25">
      <c r="A1419" s="1" t="s">
        <v>2908</v>
      </c>
      <c r="B1419" s="1" t="str">
        <f>"9780335226443"</f>
        <v>9780335226443</v>
      </c>
      <c r="C1419" s="1" t="s">
        <v>2247</v>
      </c>
      <c r="D1419" s="2">
        <v>37987</v>
      </c>
      <c r="E1419" s="1" t="s">
        <v>2909</v>
      </c>
      <c r="F1419" s="1" t="s">
        <v>30</v>
      </c>
    </row>
    <row r="1420" spans="1:6" ht="30" customHeight="1" x14ac:dyDescent="0.25">
      <c r="A1420" s="1" t="s">
        <v>2910</v>
      </c>
      <c r="B1420" s="1" t="str">
        <f>"9780335226641"</f>
        <v>9780335226641</v>
      </c>
      <c r="C1420" s="1" t="s">
        <v>2247</v>
      </c>
      <c r="D1420" s="2">
        <v>38718</v>
      </c>
      <c r="E1420" s="1" t="s">
        <v>2911</v>
      </c>
      <c r="F1420" s="1" t="s">
        <v>87</v>
      </c>
    </row>
    <row r="1421" spans="1:6" ht="30" customHeight="1" x14ac:dyDescent="0.25">
      <c r="A1421" s="1" t="s">
        <v>2912</v>
      </c>
      <c r="B1421" s="1" t="str">
        <f>"9780335226689"</f>
        <v>9780335226689</v>
      </c>
      <c r="C1421" s="1" t="s">
        <v>2247</v>
      </c>
      <c r="D1421" s="2">
        <v>37622</v>
      </c>
      <c r="E1421" s="1" t="s">
        <v>2913</v>
      </c>
      <c r="F1421" s="1" t="s">
        <v>87</v>
      </c>
    </row>
    <row r="1422" spans="1:6" ht="30" customHeight="1" x14ac:dyDescent="0.25">
      <c r="A1422" s="1" t="s">
        <v>2914</v>
      </c>
      <c r="B1422" s="1" t="str">
        <f>"9780335226658"</f>
        <v>9780335226658</v>
      </c>
      <c r="C1422" s="1" t="s">
        <v>2247</v>
      </c>
      <c r="D1422" s="2">
        <v>37622</v>
      </c>
      <c r="E1422" s="1" t="s">
        <v>2915</v>
      </c>
      <c r="F1422" s="1" t="s">
        <v>2916</v>
      </c>
    </row>
    <row r="1423" spans="1:6" ht="30" customHeight="1" x14ac:dyDescent="0.25">
      <c r="A1423" s="1" t="s">
        <v>2917</v>
      </c>
      <c r="B1423" s="1" t="str">
        <f>"9780335226559"</f>
        <v>9780335226559</v>
      </c>
      <c r="C1423" s="1" t="s">
        <v>2247</v>
      </c>
      <c r="D1423" s="2">
        <v>37987</v>
      </c>
      <c r="E1423" s="1" t="s">
        <v>2918</v>
      </c>
      <c r="F1423" s="1" t="s">
        <v>95</v>
      </c>
    </row>
    <row r="1424" spans="1:6" ht="30" customHeight="1" x14ac:dyDescent="0.25">
      <c r="A1424" s="1" t="s">
        <v>2919</v>
      </c>
      <c r="B1424" s="1" t="str">
        <f>"9780335226368"</f>
        <v>9780335226368</v>
      </c>
      <c r="C1424" s="1" t="s">
        <v>2247</v>
      </c>
      <c r="D1424" s="2">
        <v>37622</v>
      </c>
      <c r="E1424" s="1" t="s">
        <v>2920</v>
      </c>
      <c r="F1424" s="1" t="s">
        <v>126</v>
      </c>
    </row>
    <row r="1425" spans="1:6" ht="30" customHeight="1" x14ac:dyDescent="0.25">
      <c r="A1425" s="1" t="s">
        <v>2921</v>
      </c>
      <c r="B1425" s="1" t="str">
        <f>"9781588906755"</f>
        <v>9781588906755</v>
      </c>
      <c r="C1425" s="1" t="s">
        <v>1671</v>
      </c>
      <c r="D1425" s="2">
        <v>40544</v>
      </c>
      <c r="E1425" s="1" t="s">
        <v>2922</v>
      </c>
      <c r="F1425" s="1" t="s">
        <v>13</v>
      </c>
    </row>
    <row r="1426" spans="1:6" ht="30" customHeight="1" x14ac:dyDescent="0.25">
      <c r="A1426" s="1" t="s">
        <v>2923</v>
      </c>
      <c r="B1426" s="1" t="str">
        <f>"9781588906847"</f>
        <v>9781588906847</v>
      </c>
      <c r="C1426" s="1" t="s">
        <v>1671</v>
      </c>
      <c r="D1426" s="2">
        <v>38490</v>
      </c>
      <c r="E1426" s="1" t="s">
        <v>2924</v>
      </c>
      <c r="F1426" s="1" t="s">
        <v>70</v>
      </c>
    </row>
    <row r="1427" spans="1:6" ht="30" customHeight="1" x14ac:dyDescent="0.25">
      <c r="A1427" s="1" t="s">
        <v>2925</v>
      </c>
      <c r="B1427" s="1" t="str">
        <f>"9781588906830"</f>
        <v>9781588906830</v>
      </c>
      <c r="C1427" s="1" t="s">
        <v>1671</v>
      </c>
      <c r="D1427" s="2">
        <v>37748</v>
      </c>
      <c r="E1427" s="1" t="s">
        <v>2926</v>
      </c>
      <c r="F1427" s="1" t="s">
        <v>2073</v>
      </c>
    </row>
    <row r="1428" spans="1:6" ht="30" customHeight="1" x14ac:dyDescent="0.25">
      <c r="A1428" s="1" t="s">
        <v>2927</v>
      </c>
      <c r="B1428" s="1" t="str">
        <f>"9781588906793"</f>
        <v>9781588906793</v>
      </c>
      <c r="C1428" s="1" t="s">
        <v>1671</v>
      </c>
      <c r="D1428" s="2">
        <v>38107</v>
      </c>
      <c r="E1428" s="1" t="s">
        <v>2928</v>
      </c>
      <c r="F1428" s="1" t="s">
        <v>13</v>
      </c>
    </row>
    <row r="1429" spans="1:6" ht="30" customHeight="1" x14ac:dyDescent="0.25">
      <c r="A1429" s="1" t="s">
        <v>2929</v>
      </c>
      <c r="B1429" s="1" t="str">
        <f>"9781588906816"</f>
        <v>9781588906816</v>
      </c>
      <c r="C1429" s="1" t="s">
        <v>1671</v>
      </c>
      <c r="D1429" s="2">
        <v>36902</v>
      </c>
      <c r="E1429" s="1" t="s">
        <v>2930</v>
      </c>
      <c r="F1429" s="1" t="s">
        <v>13</v>
      </c>
    </row>
    <row r="1430" spans="1:6" ht="30" customHeight="1" x14ac:dyDescent="0.25">
      <c r="A1430" s="1" t="s">
        <v>2931</v>
      </c>
      <c r="B1430" s="1" t="str">
        <f>"9781588906779"</f>
        <v>9781588906779</v>
      </c>
      <c r="C1430" s="1" t="s">
        <v>1671</v>
      </c>
      <c r="D1430" s="2">
        <v>40544</v>
      </c>
      <c r="E1430" s="1" t="s">
        <v>2932</v>
      </c>
      <c r="F1430" s="1" t="s">
        <v>13</v>
      </c>
    </row>
    <row r="1431" spans="1:6" ht="30" customHeight="1" x14ac:dyDescent="0.25">
      <c r="A1431" s="1" t="s">
        <v>2933</v>
      </c>
      <c r="B1431" s="1" t="str">
        <f>"9781588906823"</f>
        <v>9781588906823</v>
      </c>
      <c r="C1431" s="1" t="s">
        <v>1671</v>
      </c>
      <c r="D1431" s="2">
        <v>37257</v>
      </c>
      <c r="E1431" s="1" t="s">
        <v>2934</v>
      </c>
      <c r="F1431" s="1" t="s">
        <v>13</v>
      </c>
    </row>
    <row r="1432" spans="1:6" ht="30" customHeight="1" x14ac:dyDescent="0.25">
      <c r="A1432" s="1" t="s">
        <v>2935</v>
      </c>
      <c r="B1432" s="1" t="str">
        <f>"9781588906762"</f>
        <v>9781588906762</v>
      </c>
      <c r="C1432" s="1" t="s">
        <v>1671</v>
      </c>
      <c r="D1432" s="2">
        <v>37926</v>
      </c>
      <c r="E1432" s="1" t="s">
        <v>2936</v>
      </c>
      <c r="F1432" s="1" t="s">
        <v>13</v>
      </c>
    </row>
    <row r="1433" spans="1:6" ht="30" customHeight="1" x14ac:dyDescent="0.25">
      <c r="A1433" s="1" t="s">
        <v>2937</v>
      </c>
      <c r="B1433" s="1" t="str">
        <f>"9781588906809"</f>
        <v>9781588906809</v>
      </c>
      <c r="C1433" s="1" t="s">
        <v>1671</v>
      </c>
      <c r="D1433" s="2">
        <v>37307</v>
      </c>
      <c r="E1433" s="1" t="s">
        <v>2938</v>
      </c>
      <c r="F1433" s="1" t="s">
        <v>13</v>
      </c>
    </row>
    <row r="1434" spans="1:6" ht="30" customHeight="1" x14ac:dyDescent="0.25">
      <c r="A1434" s="1" t="s">
        <v>2939</v>
      </c>
      <c r="B1434" s="1" t="str">
        <f>"9781588906854"</f>
        <v>9781588906854</v>
      </c>
      <c r="C1434" s="1" t="s">
        <v>1671</v>
      </c>
      <c r="D1434" s="2">
        <v>38154</v>
      </c>
      <c r="E1434" s="1" t="s">
        <v>2940</v>
      </c>
      <c r="F1434" s="1" t="s">
        <v>13</v>
      </c>
    </row>
    <row r="1435" spans="1:6" ht="30" customHeight="1" x14ac:dyDescent="0.25">
      <c r="A1435" s="1" t="s">
        <v>2941</v>
      </c>
      <c r="B1435" s="1" t="str">
        <f>"9781588906786"</f>
        <v>9781588906786</v>
      </c>
      <c r="C1435" s="1" t="s">
        <v>1671</v>
      </c>
      <c r="D1435" s="2">
        <v>38434</v>
      </c>
      <c r="E1435" s="1" t="s">
        <v>2942</v>
      </c>
      <c r="F1435" s="1" t="s">
        <v>13</v>
      </c>
    </row>
    <row r="1436" spans="1:6" ht="30" customHeight="1" x14ac:dyDescent="0.25">
      <c r="A1436" s="1" t="s">
        <v>2943</v>
      </c>
      <c r="B1436" s="1" t="str">
        <f>"9780080476155"</f>
        <v>9780080476155</v>
      </c>
      <c r="C1436" s="1" t="s">
        <v>900</v>
      </c>
      <c r="D1436" s="2">
        <v>37872</v>
      </c>
      <c r="E1436" s="1" t="s">
        <v>2944</v>
      </c>
      <c r="F1436" s="1" t="s">
        <v>963</v>
      </c>
    </row>
    <row r="1437" spans="1:6" ht="30" customHeight="1" x14ac:dyDescent="0.25">
      <c r="A1437" s="1" t="s">
        <v>2945</v>
      </c>
      <c r="B1437" s="1" t="str">
        <f>"9780080476575"</f>
        <v>9780080476575</v>
      </c>
      <c r="C1437" s="1" t="s">
        <v>900</v>
      </c>
      <c r="D1437" s="2">
        <v>38245</v>
      </c>
      <c r="E1437" s="1" t="s">
        <v>2946</v>
      </c>
      <c r="F1437" s="1" t="s">
        <v>13</v>
      </c>
    </row>
    <row r="1438" spans="1:6" ht="30" customHeight="1" x14ac:dyDescent="0.25">
      <c r="A1438" s="1" t="s">
        <v>2947</v>
      </c>
      <c r="B1438" s="1" t="str">
        <f>"9780851998589"</f>
        <v>9780851998589</v>
      </c>
      <c r="C1438" s="1" t="s">
        <v>2321</v>
      </c>
      <c r="D1438" s="2">
        <v>36892</v>
      </c>
      <c r="E1438" s="1" t="s">
        <v>2948</v>
      </c>
      <c r="F1438" s="1" t="s">
        <v>30</v>
      </c>
    </row>
    <row r="1439" spans="1:6" ht="30" customHeight="1" x14ac:dyDescent="0.25">
      <c r="A1439" s="1" t="s">
        <v>2949</v>
      </c>
      <c r="B1439" s="1" t="str">
        <f>"9780851999401"</f>
        <v>9780851999401</v>
      </c>
      <c r="C1439" s="1" t="s">
        <v>2321</v>
      </c>
      <c r="D1439" s="2">
        <v>36526</v>
      </c>
      <c r="E1439" s="1" t="s">
        <v>2950</v>
      </c>
      <c r="F1439" s="1" t="s">
        <v>2951</v>
      </c>
    </row>
    <row r="1440" spans="1:6" ht="30" customHeight="1" x14ac:dyDescent="0.25">
      <c r="A1440" s="1" t="s">
        <v>2952</v>
      </c>
      <c r="B1440" s="1" t="str">
        <f>"9780851998787"</f>
        <v>9780851998787</v>
      </c>
      <c r="C1440" s="1" t="s">
        <v>2321</v>
      </c>
      <c r="D1440" s="2">
        <v>37257</v>
      </c>
      <c r="E1440" s="1" t="s">
        <v>2953</v>
      </c>
      <c r="F1440" s="1" t="s">
        <v>1400</v>
      </c>
    </row>
    <row r="1441" spans="1:6" ht="30" customHeight="1" x14ac:dyDescent="0.25">
      <c r="A1441" s="1" t="s">
        <v>2954</v>
      </c>
      <c r="B1441" s="1" t="str">
        <f>"9780851990347"</f>
        <v>9780851990347</v>
      </c>
      <c r="C1441" s="1" t="s">
        <v>2321</v>
      </c>
      <c r="D1441" s="2">
        <v>37987</v>
      </c>
      <c r="E1441" s="1" t="s">
        <v>2955</v>
      </c>
      <c r="F1441" s="1" t="s">
        <v>70</v>
      </c>
    </row>
    <row r="1442" spans="1:6" ht="30" customHeight="1" x14ac:dyDescent="0.25">
      <c r="A1442" s="1" t="s">
        <v>2956</v>
      </c>
      <c r="B1442" s="1" t="str">
        <f>"9780851998886"</f>
        <v>9780851998886</v>
      </c>
      <c r="C1442" s="1" t="s">
        <v>2321</v>
      </c>
      <c r="D1442" s="2">
        <v>36892</v>
      </c>
      <c r="E1442" s="1" t="s">
        <v>2957</v>
      </c>
      <c r="F1442" s="1" t="s">
        <v>1400</v>
      </c>
    </row>
    <row r="1443" spans="1:6" ht="30" customHeight="1" x14ac:dyDescent="0.25">
      <c r="A1443" s="1" t="s">
        <v>2958</v>
      </c>
      <c r="B1443" s="1" t="str">
        <f>"9780080476100"</f>
        <v>9780080476100</v>
      </c>
      <c r="C1443" s="1" t="s">
        <v>900</v>
      </c>
      <c r="D1443" s="2">
        <v>40634</v>
      </c>
      <c r="E1443" s="1" t="s">
        <v>2959</v>
      </c>
      <c r="F1443" s="1" t="s">
        <v>21</v>
      </c>
    </row>
    <row r="1444" spans="1:6" ht="30" customHeight="1" x14ac:dyDescent="0.25">
      <c r="A1444" s="1" t="s">
        <v>2960</v>
      </c>
      <c r="B1444" s="1" t="str">
        <f>"9780080476568"</f>
        <v>9780080476568</v>
      </c>
      <c r="C1444" s="1" t="s">
        <v>900</v>
      </c>
      <c r="D1444" s="2">
        <v>38808</v>
      </c>
      <c r="E1444" s="1" t="s">
        <v>2961</v>
      </c>
      <c r="F1444" s="1" t="s">
        <v>13</v>
      </c>
    </row>
    <row r="1445" spans="1:6" ht="30" customHeight="1" x14ac:dyDescent="0.25">
      <c r="A1445" s="1" t="s">
        <v>2962</v>
      </c>
      <c r="B1445" s="1" t="str">
        <f>"9780080479675"</f>
        <v>9780080479675</v>
      </c>
      <c r="C1445" s="1" t="s">
        <v>900</v>
      </c>
      <c r="D1445" s="2">
        <v>39276</v>
      </c>
      <c r="E1445" s="1" t="s">
        <v>2963</v>
      </c>
      <c r="F1445" s="1" t="s">
        <v>117</v>
      </c>
    </row>
    <row r="1446" spans="1:6" ht="30" customHeight="1" x14ac:dyDescent="0.25">
      <c r="A1446" s="1" t="s">
        <v>2964</v>
      </c>
      <c r="B1446" s="1" t="str">
        <f>"9780080479965"</f>
        <v>9780080479965</v>
      </c>
      <c r="C1446" s="1" t="s">
        <v>900</v>
      </c>
      <c r="D1446" s="2">
        <v>38974</v>
      </c>
      <c r="E1446" s="1" t="s">
        <v>2965</v>
      </c>
      <c r="F1446" s="1" t="s">
        <v>2966</v>
      </c>
    </row>
    <row r="1447" spans="1:6" ht="30" customHeight="1" x14ac:dyDescent="0.25">
      <c r="A1447" s="1" t="s">
        <v>2967</v>
      </c>
      <c r="B1447" s="1" t="str">
        <f>"9780080489568"</f>
        <v>9780080489568</v>
      </c>
      <c r="C1447" s="1" t="s">
        <v>900</v>
      </c>
      <c r="D1447" s="2">
        <v>40661</v>
      </c>
      <c r="E1447" s="1" t="s">
        <v>2968</v>
      </c>
      <c r="F1447" s="1" t="s">
        <v>13</v>
      </c>
    </row>
    <row r="1448" spans="1:6" ht="30" customHeight="1" x14ac:dyDescent="0.25">
      <c r="A1448" s="1" t="s">
        <v>2969</v>
      </c>
      <c r="B1448" s="1" t="str">
        <f>"9780080480664"</f>
        <v>9780080480664</v>
      </c>
      <c r="C1448" s="1" t="s">
        <v>900</v>
      </c>
      <c r="D1448" s="2">
        <v>37449</v>
      </c>
      <c r="E1448" s="1" t="s">
        <v>2970</v>
      </c>
      <c r="F1448" s="1" t="s">
        <v>13</v>
      </c>
    </row>
    <row r="1449" spans="1:6" ht="30" customHeight="1" x14ac:dyDescent="0.25">
      <c r="A1449" s="1" t="s">
        <v>2971</v>
      </c>
      <c r="B1449" s="1" t="str">
        <f>"9780080489810"</f>
        <v>9780080489810</v>
      </c>
      <c r="C1449" s="1" t="s">
        <v>900</v>
      </c>
      <c r="D1449" s="2">
        <v>40661</v>
      </c>
      <c r="E1449" s="1" t="s">
        <v>2972</v>
      </c>
      <c r="F1449" s="1" t="s">
        <v>13</v>
      </c>
    </row>
    <row r="1450" spans="1:6" ht="30" customHeight="1" x14ac:dyDescent="0.25">
      <c r="A1450" s="1" t="s">
        <v>2973</v>
      </c>
      <c r="B1450" s="1" t="str">
        <f>"9780080490670"</f>
        <v>9780080490670</v>
      </c>
      <c r="C1450" s="1" t="s">
        <v>900</v>
      </c>
      <c r="D1450" s="2">
        <v>40661</v>
      </c>
      <c r="E1450" s="1" t="s">
        <v>1095</v>
      </c>
      <c r="F1450" s="1" t="s">
        <v>13</v>
      </c>
    </row>
    <row r="1451" spans="1:6" ht="30" customHeight="1" x14ac:dyDescent="0.25">
      <c r="A1451" s="1" t="s">
        <v>2974</v>
      </c>
      <c r="B1451" s="1" t="str">
        <f>"9780080491332"</f>
        <v>9780080491332</v>
      </c>
      <c r="C1451" s="1" t="s">
        <v>900</v>
      </c>
      <c r="D1451" s="2">
        <v>37340</v>
      </c>
      <c r="E1451" s="1" t="s">
        <v>2975</v>
      </c>
      <c r="F1451" s="1" t="s">
        <v>2976</v>
      </c>
    </row>
    <row r="1452" spans="1:6" ht="30" customHeight="1" x14ac:dyDescent="0.25">
      <c r="A1452" s="1" t="s">
        <v>2977</v>
      </c>
      <c r="B1452" s="1" t="str">
        <f>"9780080491356"</f>
        <v>9780080491356</v>
      </c>
      <c r="C1452" s="1" t="s">
        <v>900</v>
      </c>
      <c r="D1452" s="2">
        <v>37935</v>
      </c>
      <c r="E1452" s="1" t="s">
        <v>2978</v>
      </c>
      <c r="F1452" s="1" t="s">
        <v>63</v>
      </c>
    </row>
    <row r="1453" spans="1:6" ht="30" customHeight="1" x14ac:dyDescent="0.25">
      <c r="A1453" s="1" t="s">
        <v>2979</v>
      </c>
      <c r="B1453" s="1" t="str">
        <f>"9780080491431"</f>
        <v>9780080491431</v>
      </c>
      <c r="C1453" s="1" t="s">
        <v>900</v>
      </c>
      <c r="D1453" s="2">
        <v>38040</v>
      </c>
      <c r="E1453" s="1" t="s">
        <v>2980</v>
      </c>
      <c r="F1453" s="1" t="s">
        <v>137</v>
      </c>
    </row>
    <row r="1454" spans="1:6" ht="30" customHeight="1" x14ac:dyDescent="0.25">
      <c r="A1454" s="1" t="s">
        <v>2981</v>
      </c>
      <c r="B1454" s="1" t="str">
        <f>"9780080491400"</f>
        <v>9780080491400</v>
      </c>
      <c r="C1454" s="1" t="s">
        <v>900</v>
      </c>
      <c r="D1454" s="2">
        <v>40661</v>
      </c>
      <c r="E1454" s="1" t="s">
        <v>2982</v>
      </c>
      <c r="F1454" s="1" t="s">
        <v>963</v>
      </c>
    </row>
    <row r="1455" spans="1:6" ht="30" customHeight="1" x14ac:dyDescent="0.25">
      <c r="A1455" s="1" t="s">
        <v>2983</v>
      </c>
      <c r="B1455" s="1" t="str">
        <f>"9780851998763"</f>
        <v>9780851998763</v>
      </c>
      <c r="C1455" s="1" t="s">
        <v>2321</v>
      </c>
      <c r="D1455" s="2">
        <v>37257</v>
      </c>
      <c r="E1455" s="1" t="s">
        <v>2984</v>
      </c>
      <c r="F1455" s="1" t="s">
        <v>349</v>
      </c>
    </row>
    <row r="1456" spans="1:6" ht="30" customHeight="1" x14ac:dyDescent="0.25">
      <c r="A1456" s="1" t="s">
        <v>2985</v>
      </c>
      <c r="B1456" s="1" t="str">
        <f>"9780851998770"</f>
        <v>9780851998770</v>
      </c>
      <c r="C1456" s="1" t="s">
        <v>2321</v>
      </c>
      <c r="D1456" s="2">
        <v>37257</v>
      </c>
      <c r="E1456" s="1" t="s">
        <v>2986</v>
      </c>
      <c r="F1456" s="1" t="s">
        <v>1400</v>
      </c>
    </row>
    <row r="1457" spans="1:6" ht="30" customHeight="1" x14ac:dyDescent="0.25">
      <c r="A1457" s="1" t="s">
        <v>2987</v>
      </c>
      <c r="B1457" s="1" t="str">
        <f>"9781604060102"</f>
        <v>9781604060102</v>
      </c>
      <c r="C1457" s="1" t="s">
        <v>1671</v>
      </c>
      <c r="D1457" s="2">
        <v>37622</v>
      </c>
      <c r="E1457" s="1" t="s">
        <v>2988</v>
      </c>
      <c r="F1457" s="1" t="s">
        <v>2989</v>
      </c>
    </row>
    <row r="1458" spans="1:6" ht="30" customHeight="1" x14ac:dyDescent="0.25">
      <c r="A1458" s="1" t="s">
        <v>2990</v>
      </c>
      <c r="B1458" s="1" t="str">
        <f>"9781604060119"</f>
        <v>9781604060119</v>
      </c>
      <c r="C1458" s="1" t="s">
        <v>1671</v>
      </c>
      <c r="D1458" s="2">
        <v>40544</v>
      </c>
      <c r="E1458" s="1" t="s">
        <v>2991</v>
      </c>
      <c r="F1458" s="1" t="s">
        <v>13</v>
      </c>
    </row>
    <row r="1459" spans="1:6" ht="30" customHeight="1" x14ac:dyDescent="0.25">
      <c r="A1459" s="1" t="s">
        <v>2992</v>
      </c>
      <c r="B1459" s="1" t="str">
        <f>"9780826103062"</f>
        <v>9780826103062</v>
      </c>
      <c r="C1459" s="1" t="s">
        <v>2339</v>
      </c>
      <c r="D1459" s="2">
        <v>39083</v>
      </c>
      <c r="E1459" s="1" t="s">
        <v>2993</v>
      </c>
      <c r="F1459" s="1" t="s">
        <v>13</v>
      </c>
    </row>
    <row r="1460" spans="1:6" ht="30" customHeight="1" x14ac:dyDescent="0.25">
      <c r="A1460" s="1" t="s">
        <v>2994</v>
      </c>
      <c r="B1460" s="1" t="str">
        <f>"9780826121110"</f>
        <v>9780826121110</v>
      </c>
      <c r="C1460" s="1" t="s">
        <v>2339</v>
      </c>
      <c r="D1460" s="2">
        <v>38718</v>
      </c>
      <c r="E1460" s="1" t="s">
        <v>2995</v>
      </c>
      <c r="F1460" s="1" t="s">
        <v>13</v>
      </c>
    </row>
    <row r="1461" spans="1:6" ht="30" customHeight="1" x14ac:dyDescent="0.25">
      <c r="A1461" s="1" t="s">
        <v>2996</v>
      </c>
      <c r="B1461" s="1" t="str">
        <f>"9780826121158"</f>
        <v>9780826121158</v>
      </c>
      <c r="C1461" s="1" t="s">
        <v>2339</v>
      </c>
      <c r="D1461" s="2">
        <v>38718</v>
      </c>
      <c r="E1461" s="1" t="s">
        <v>2997</v>
      </c>
      <c r="F1461" s="1" t="s">
        <v>13</v>
      </c>
    </row>
    <row r="1462" spans="1:6" ht="30" customHeight="1" x14ac:dyDescent="0.25">
      <c r="A1462" s="1" t="s">
        <v>2998</v>
      </c>
      <c r="B1462" s="1" t="str">
        <f>"9780826121134"</f>
        <v>9780826121134</v>
      </c>
      <c r="C1462" s="1" t="s">
        <v>2339</v>
      </c>
      <c r="D1462" s="2">
        <v>38718</v>
      </c>
      <c r="E1462" s="1" t="s">
        <v>2999</v>
      </c>
      <c r="F1462" s="1" t="s">
        <v>13</v>
      </c>
    </row>
    <row r="1463" spans="1:6" ht="30" customHeight="1" x14ac:dyDescent="0.25">
      <c r="A1463" s="1" t="s">
        <v>3000</v>
      </c>
      <c r="B1463" s="1" t="str">
        <f>"9780826101129"</f>
        <v>9780826101129</v>
      </c>
      <c r="C1463" s="1" t="s">
        <v>2339</v>
      </c>
      <c r="D1463" s="2">
        <v>38513</v>
      </c>
      <c r="E1463" s="1" t="s">
        <v>3001</v>
      </c>
      <c r="F1463" s="1" t="s">
        <v>13</v>
      </c>
    </row>
    <row r="1464" spans="1:6" ht="30" customHeight="1" x14ac:dyDescent="0.25">
      <c r="A1464" s="1" t="s">
        <v>3002</v>
      </c>
      <c r="B1464" s="1" t="str">
        <f>"9780826121127"</f>
        <v>9780826121127</v>
      </c>
      <c r="C1464" s="1" t="s">
        <v>2339</v>
      </c>
      <c r="D1464" s="2">
        <v>37782</v>
      </c>
      <c r="E1464" s="1" t="s">
        <v>3003</v>
      </c>
      <c r="F1464" s="1" t="s">
        <v>13</v>
      </c>
    </row>
    <row r="1465" spans="1:6" ht="30" customHeight="1" x14ac:dyDescent="0.25">
      <c r="A1465" s="1" t="s">
        <v>3004</v>
      </c>
      <c r="B1465" s="1" t="str">
        <f>"9780826103451"</f>
        <v>9780826103451</v>
      </c>
      <c r="C1465" s="1" t="s">
        <v>2339</v>
      </c>
      <c r="D1465" s="2">
        <v>39083</v>
      </c>
      <c r="E1465" s="1" t="s">
        <v>3005</v>
      </c>
      <c r="F1465" s="1" t="s">
        <v>13</v>
      </c>
    </row>
    <row r="1466" spans="1:6" ht="30" customHeight="1" x14ac:dyDescent="0.25">
      <c r="A1466" s="1" t="s">
        <v>3006</v>
      </c>
      <c r="B1466" s="1" t="str">
        <f>"9780826101082"</f>
        <v>9780826101082</v>
      </c>
      <c r="C1466" s="1" t="s">
        <v>2339</v>
      </c>
      <c r="D1466" s="2">
        <v>39083</v>
      </c>
      <c r="E1466" s="1" t="s">
        <v>3007</v>
      </c>
      <c r="F1466" s="1" t="s">
        <v>13</v>
      </c>
    </row>
    <row r="1467" spans="1:6" ht="30" customHeight="1" x14ac:dyDescent="0.25">
      <c r="A1467" s="1" t="s">
        <v>3008</v>
      </c>
      <c r="B1467" s="1" t="str">
        <f>"9780826101068"</f>
        <v>9780826101068</v>
      </c>
      <c r="C1467" s="1" t="s">
        <v>2339</v>
      </c>
      <c r="D1467" s="2">
        <v>39083</v>
      </c>
      <c r="E1467" s="1" t="s">
        <v>3009</v>
      </c>
      <c r="F1467" s="1" t="s">
        <v>13</v>
      </c>
    </row>
    <row r="1468" spans="1:6" ht="30" customHeight="1" x14ac:dyDescent="0.25">
      <c r="A1468" s="1" t="s">
        <v>3010</v>
      </c>
      <c r="B1468" s="1" t="str">
        <f>"9780826103505"</f>
        <v>9780826103505</v>
      </c>
      <c r="C1468" s="1" t="s">
        <v>2339</v>
      </c>
      <c r="D1468" s="2">
        <v>39417</v>
      </c>
      <c r="E1468" s="1" t="s">
        <v>3011</v>
      </c>
      <c r="F1468" s="1" t="s">
        <v>158</v>
      </c>
    </row>
    <row r="1469" spans="1:6" ht="30" customHeight="1" x14ac:dyDescent="0.25">
      <c r="A1469" s="1" t="s">
        <v>3012</v>
      </c>
      <c r="B1469" s="1" t="str">
        <f>"9780826115768"</f>
        <v>9780826115768</v>
      </c>
      <c r="C1469" s="1" t="s">
        <v>2339</v>
      </c>
      <c r="D1469" s="2">
        <v>39083</v>
      </c>
      <c r="E1469" s="1" t="s">
        <v>3013</v>
      </c>
      <c r="F1469" s="1" t="s">
        <v>126</v>
      </c>
    </row>
    <row r="1470" spans="1:6" ht="30" customHeight="1" x14ac:dyDescent="0.25">
      <c r="A1470" s="1" t="s">
        <v>3014</v>
      </c>
      <c r="B1470" s="1" t="str">
        <f>"9780826101075"</f>
        <v>9780826101075</v>
      </c>
      <c r="C1470" s="1" t="s">
        <v>2339</v>
      </c>
      <c r="D1470" s="2">
        <v>39083</v>
      </c>
      <c r="E1470" s="1" t="s">
        <v>3015</v>
      </c>
      <c r="F1470" s="1" t="s">
        <v>30</v>
      </c>
    </row>
    <row r="1471" spans="1:6" ht="30" customHeight="1" x14ac:dyDescent="0.25">
      <c r="A1471" s="1" t="s">
        <v>3016</v>
      </c>
      <c r="B1471" s="1" t="str">
        <f>"9780826184658"</f>
        <v>9780826184658</v>
      </c>
      <c r="C1471" s="1" t="s">
        <v>2339</v>
      </c>
      <c r="D1471" s="2">
        <v>39083</v>
      </c>
      <c r="E1471" s="1" t="s">
        <v>3017</v>
      </c>
      <c r="F1471" s="1" t="s">
        <v>95</v>
      </c>
    </row>
    <row r="1472" spans="1:6" ht="30" customHeight="1" x14ac:dyDescent="0.25">
      <c r="A1472" s="1" t="s">
        <v>3018</v>
      </c>
      <c r="B1472" s="1" t="str">
        <f>"9780826153869"</f>
        <v>9780826153869</v>
      </c>
      <c r="C1472" s="1" t="s">
        <v>2339</v>
      </c>
      <c r="D1472" s="2">
        <v>39083</v>
      </c>
      <c r="E1472" s="1" t="s">
        <v>3019</v>
      </c>
      <c r="F1472" s="1" t="s">
        <v>126</v>
      </c>
    </row>
    <row r="1473" spans="1:6" ht="30" customHeight="1" x14ac:dyDescent="0.25">
      <c r="A1473" s="1" t="s">
        <v>3020</v>
      </c>
      <c r="B1473" s="1" t="str">
        <f>"9780826101310"</f>
        <v>9780826101310</v>
      </c>
      <c r="C1473" s="1" t="s">
        <v>2339</v>
      </c>
      <c r="D1473" s="2">
        <v>39083</v>
      </c>
      <c r="E1473" s="1" t="s">
        <v>3021</v>
      </c>
      <c r="F1473" s="1" t="s">
        <v>70</v>
      </c>
    </row>
    <row r="1474" spans="1:6" ht="30" customHeight="1" x14ac:dyDescent="0.25">
      <c r="A1474" s="1" t="s">
        <v>3022</v>
      </c>
      <c r="B1474" s="1" t="str">
        <f>"9780826103307"</f>
        <v>9780826103307</v>
      </c>
      <c r="C1474" s="1" t="s">
        <v>2339</v>
      </c>
      <c r="D1474" s="2">
        <v>39083</v>
      </c>
      <c r="E1474" s="1" t="s">
        <v>3023</v>
      </c>
      <c r="F1474" s="1" t="s">
        <v>126</v>
      </c>
    </row>
    <row r="1475" spans="1:6" ht="30" customHeight="1" x14ac:dyDescent="0.25">
      <c r="A1475" s="1" t="s">
        <v>3024</v>
      </c>
      <c r="B1475" s="1" t="str">
        <f>"9780826101112"</f>
        <v>9780826101112</v>
      </c>
      <c r="C1475" s="1" t="s">
        <v>2339</v>
      </c>
      <c r="D1475" s="2">
        <v>39083</v>
      </c>
      <c r="E1475" s="1" t="s">
        <v>3025</v>
      </c>
      <c r="F1475" s="1" t="s">
        <v>13</v>
      </c>
    </row>
    <row r="1476" spans="1:6" ht="30" customHeight="1" x14ac:dyDescent="0.25">
      <c r="A1476" s="1" t="s">
        <v>3026</v>
      </c>
      <c r="B1476" s="1" t="str">
        <f>"9780851997513"</f>
        <v>9780851997513</v>
      </c>
      <c r="C1476" s="1" t="s">
        <v>2321</v>
      </c>
      <c r="D1476" s="2">
        <v>37622</v>
      </c>
      <c r="E1476" s="1" t="s">
        <v>3027</v>
      </c>
      <c r="F1476" s="1" t="s">
        <v>70</v>
      </c>
    </row>
    <row r="1477" spans="1:6" ht="30" customHeight="1" x14ac:dyDescent="0.25">
      <c r="A1477" s="1" t="s">
        <v>3028</v>
      </c>
      <c r="B1477" s="1" t="str">
        <f>"9780851990460"</f>
        <v>9780851990460</v>
      </c>
      <c r="C1477" s="1" t="s">
        <v>2321</v>
      </c>
      <c r="D1477" s="2">
        <v>37987</v>
      </c>
      <c r="E1477" s="1" t="s">
        <v>3029</v>
      </c>
      <c r="F1477" s="1" t="s">
        <v>1400</v>
      </c>
    </row>
    <row r="1478" spans="1:6" ht="30" customHeight="1" x14ac:dyDescent="0.25">
      <c r="A1478" s="1" t="s">
        <v>3030</v>
      </c>
      <c r="B1478" s="1" t="str">
        <f>"9780851997971"</f>
        <v>9780851997971</v>
      </c>
      <c r="C1478" s="1" t="s">
        <v>2321</v>
      </c>
      <c r="D1478" s="2">
        <v>37622</v>
      </c>
      <c r="E1478" s="1" t="s">
        <v>3031</v>
      </c>
      <c r="F1478" s="1" t="s">
        <v>30</v>
      </c>
    </row>
    <row r="1479" spans="1:6" ht="30" customHeight="1" x14ac:dyDescent="0.25">
      <c r="A1479" s="1" t="s">
        <v>3032</v>
      </c>
      <c r="B1479" s="1" t="str">
        <f>"9780851998381"</f>
        <v>9780851998381</v>
      </c>
      <c r="C1479" s="1" t="s">
        <v>2321</v>
      </c>
      <c r="D1479" s="2">
        <v>37257</v>
      </c>
      <c r="E1479" s="1" t="s">
        <v>3033</v>
      </c>
      <c r="F1479" s="1" t="s">
        <v>1400</v>
      </c>
    </row>
    <row r="1480" spans="1:6" ht="30" customHeight="1" x14ac:dyDescent="0.25">
      <c r="A1480" s="1" t="s">
        <v>3034</v>
      </c>
      <c r="B1480" s="1" t="str">
        <f>"9780851998480"</f>
        <v>9780851998480</v>
      </c>
      <c r="C1480" s="1" t="s">
        <v>2321</v>
      </c>
      <c r="D1480" s="2">
        <v>37622</v>
      </c>
      <c r="E1480" s="1" t="s">
        <v>3035</v>
      </c>
      <c r="F1480" s="1" t="s">
        <v>1400</v>
      </c>
    </row>
    <row r="1481" spans="1:6" ht="30" customHeight="1" x14ac:dyDescent="0.25">
      <c r="A1481" s="1" t="s">
        <v>3036</v>
      </c>
      <c r="B1481" s="1" t="str">
        <f>"9780851997551"</f>
        <v>9780851997551</v>
      </c>
      <c r="C1481" s="1" t="s">
        <v>2321</v>
      </c>
      <c r="D1481" s="2">
        <v>37257</v>
      </c>
      <c r="E1481" s="1" t="s">
        <v>3037</v>
      </c>
      <c r="F1481" s="1" t="s">
        <v>349</v>
      </c>
    </row>
    <row r="1482" spans="1:6" ht="30" customHeight="1" x14ac:dyDescent="0.25">
      <c r="A1482" s="1" t="s">
        <v>3038</v>
      </c>
      <c r="B1482" s="1" t="str">
        <f>"9780851998404"</f>
        <v>9780851998404</v>
      </c>
      <c r="C1482" s="1" t="s">
        <v>2321</v>
      </c>
      <c r="D1482" s="2">
        <v>37257</v>
      </c>
      <c r="E1482" s="1" t="s">
        <v>3039</v>
      </c>
      <c r="F1482" s="1" t="s">
        <v>268</v>
      </c>
    </row>
    <row r="1483" spans="1:6" ht="30" customHeight="1" x14ac:dyDescent="0.25">
      <c r="A1483" s="1" t="s">
        <v>3040</v>
      </c>
      <c r="B1483" s="1" t="str">
        <f>"9780851998459"</f>
        <v>9780851998459</v>
      </c>
      <c r="C1483" s="1" t="s">
        <v>2321</v>
      </c>
      <c r="D1483" s="2">
        <v>37622</v>
      </c>
      <c r="E1483" s="1" t="s">
        <v>3041</v>
      </c>
      <c r="F1483" s="1" t="s">
        <v>1400</v>
      </c>
    </row>
    <row r="1484" spans="1:6" ht="30" customHeight="1" x14ac:dyDescent="0.25">
      <c r="A1484" s="1" t="s">
        <v>3042</v>
      </c>
      <c r="B1484" s="1" t="str">
        <f>"9780851998398"</f>
        <v>9780851998398</v>
      </c>
      <c r="C1484" s="1" t="s">
        <v>2321</v>
      </c>
      <c r="D1484" s="2">
        <v>37257</v>
      </c>
      <c r="E1484" s="1" t="s">
        <v>3043</v>
      </c>
      <c r="F1484" s="1" t="s">
        <v>13</v>
      </c>
    </row>
    <row r="1485" spans="1:6" ht="30" customHeight="1" x14ac:dyDescent="0.25">
      <c r="A1485" s="1" t="s">
        <v>3044</v>
      </c>
      <c r="B1485" s="1" t="str">
        <f>"9781859591871"</f>
        <v>9781859591871</v>
      </c>
      <c r="C1485" s="1" t="s">
        <v>1024</v>
      </c>
      <c r="D1485" s="2">
        <v>39177</v>
      </c>
      <c r="E1485" s="1" t="s">
        <v>3045</v>
      </c>
      <c r="F1485" s="1" t="s">
        <v>13</v>
      </c>
    </row>
    <row r="1486" spans="1:6" ht="30" customHeight="1" x14ac:dyDescent="0.25">
      <c r="A1486" s="1" t="s">
        <v>3046</v>
      </c>
      <c r="B1486" s="1" t="str">
        <f>"9781552503058"</f>
        <v>9781552503058</v>
      </c>
      <c r="C1486" s="1" t="s">
        <v>1340</v>
      </c>
      <c r="D1486" s="2">
        <v>35065</v>
      </c>
      <c r="E1486" s="1" t="s">
        <v>3047</v>
      </c>
      <c r="F1486" s="1" t="s">
        <v>33</v>
      </c>
    </row>
    <row r="1487" spans="1:6" ht="30" customHeight="1" x14ac:dyDescent="0.25">
      <c r="A1487" s="1" t="s">
        <v>3048</v>
      </c>
      <c r="B1487" s="1" t="str">
        <f>"9781552503119"</f>
        <v>9781552503119</v>
      </c>
      <c r="C1487" s="1" t="s">
        <v>1340</v>
      </c>
      <c r="D1487" s="2">
        <v>36526</v>
      </c>
      <c r="E1487" s="1" t="s">
        <v>3049</v>
      </c>
      <c r="F1487" s="1" t="s">
        <v>95</v>
      </c>
    </row>
    <row r="1488" spans="1:6" ht="30" customHeight="1" x14ac:dyDescent="0.25">
      <c r="A1488" s="1" t="s">
        <v>3050</v>
      </c>
      <c r="B1488" s="1" t="str">
        <f>"9781552502686"</f>
        <v>9781552502686</v>
      </c>
      <c r="C1488" s="1" t="s">
        <v>1340</v>
      </c>
      <c r="D1488" s="2">
        <v>41773</v>
      </c>
      <c r="E1488" s="1" t="s">
        <v>3051</v>
      </c>
      <c r="F1488" s="1" t="s">
        <v>30</v>
      </c>
    </row>
    <row r="1489" spans="1:6" ht="30" customHeight="1" x14ac:dyDescent="0.25">
      <c r="A1489" s="1" t="s">
        <v>3052</v>
      </c>
      <c r="B1489" s="1" t="str">
        <f>"9781552503652"</f>
        <v>9781552503652</v>
      </c>
      <c r="C1489" s="1" t="s">
        <v>1340</v>
      </c>
      <c r="D1489" s="2">
        <v>35765</v>
      </c>
      <c r="E1489" s="1" t="s">
        <v>3053</v>
      </c>
      <c r="F1489" s="1" t="s">
        <v>214</v>
      </c>
    </row>
    <row r="1490" spans="1:6" ht="30" customHeight="1" x14ac:dyDescent="0.25">
      <c r="A1490" s="1" t="s">
        <v>3054</v>
      </c>
      <c r="B1490" s="1" t="str">
        <f>"9781552503669"</f>
        <v>9781552503669</v>
      </c>
      <c r="C1490" s="1" t="s">
        <v>1340</v>
      </c>
      <c r="D1490" s="2">
        <v>37226</v>
      </c>
      <c r="E1490" s="1" t="s">
        <v>3055</v>
      </c>
      <c r="F1490" s="1" t="s">
        <v>3056</v>
      </c>
    </row>
    <row r="1491" spans="1:6" ht="30" customHeight="1" x14ac:dyDescent="0.25">
      <c r="A1491" s="1" t="s">
        <v>3057</v>
      </c>
      <c r="B1491" s="1" t="str">
        <f>"9781552502556"</f>
        <v>9781552502556</v>
      </c>
      <c r="C1491" s="1" t="s">
        <v>1340</v>
      </c>
      <c r="D1491" s="2">
        <v>35065</v>
      </c>
      <c r="E1491" s="1" t="s">
        <v>3058</v>
      </c>
      <c r="F1491" s="1" t="s">
        <v>30</v>
      </c>
    </row>
    <row r="1492" spans="1:6" ht="30" customHeight="1" x14ac:dyDescent="0.25">
      <c r="A1492" s="1" t="s">
        <v>3059</v>
      </c>
      <c r="B1492" s="1" t="str">
        <f>"9781552501061"</f>
        <v>9781552501061</v>
      </c>
      <c r="C1492" s="1" t="s">
        <v>1340</v>
      </c>
      <c r="D1492" s="2">
        <v>37622</v>
      </c>
      <c r="E1492" s="1" t="s">
        <v>3060</v>
      </c>
      <c r="F1492" s="1" t="s">
        <v>158</v>
      </c>
    </row>
    <row r="1493" spans="1:6" ht="30" customHeight="1" x14ac:dyDescent="0.25">
      <c r="A1493" s="1" t="s">
        <v>3061</v>
      </c>
      <c r="B1493" s="1" t="str">
        <f>"9780335227297"</f>
        <v>9780335227297</v>
      </c>
      <c r="C1493" s="1" t="s">
        <v>2247</v>
      </c>
      <c r="D1493" s="2">
        <v>38353</v>
      </c>
      <c r="E1493" s="1" t="s">
        <v>3062</v>
      </c>
      <c r="F1493" s="1" t="s">
        <v>205</v>
      </c>
    </row>
    <row r="1494" spans="1:6" ht="30" customHeight="1" x14ac:dyDescent="0.25">
      <c r="A1494" s="1" t="s">
        <v>3063</v>
      </c>
      <c r="B1494" s="1" t="str">
        <f>"9780335227310"</f>
        <v>9780335227310</v>
      </c>
      <c r="C1494" s="1" t="s">
        <v>2247</v>
      </c>
      <c r="D1494" s="2">
        <v>38718</v>
      </c>
      <c r="E1494" s="1" t="s">
        <v>3064</v>
      </c>
      <c r="F1494" s="1" t="s">
        <v>599</v>
      </c>
    </row>
    <row r="1495" spans="1:6" ht="30" customHeight="1" x14ac:dyDescent="0.25">
      <c r="A1495" s="1" t="s">
        <v>3065</v>
      </c>
      <c r="B1495" s="1" t="str">
        <f>"9780335227396"</f>
        <v>9780335227396</v>
      </c>
      <c r="C1495" s="1" t="s">
        <v>2247</v>
      </c>
      <c r="D1495" s="2">
        <v>37622</v>
      </c>
      <c r="E1495" s="1" t="s">
        <v>3066</v>
      </c>
      <c r="F1495" s="1" t="s">
        <v>13</v>
      </c>
    </row>
    <row r="1496" spans="1:6" ht="30" customHeight="1" x14ac:dyDescent="0.25">
      <c r="A1496" s="1" t="s">
        <v>3067</v>
      </c>
      <c r="B1496" s="1" t="str">
        <f>"9780335227495"</f>
        <v>9780335227495</v>
      </c>
      <c r="C1496" s="1" t="s">
        <v>2247</v>
      </c>
      <c r="D1496" s="2">
        <v>38353</v>
      </c>
      <c r="E1496" s="1" t="s">
        <v>3068</v>
      </c>
      <c r="F1496" s="1" t="s">
        <v>87</v>
      </c>
    </row>
    <row r="1497" spans="1:6" ht="30" customHeight="1" x14ac:dyDescent="0.25">
      <c r="A1497" s="1" t="s">
        <v>3069</v>
      </c>
      <c r="B1497" s="1" t="str">
        <f>"9780335227723"</f>
        <v>9780335227723</v>
      </c>
      <c r="C1497" s="1" t="s">
        <v>2247</v>
      </c>
      <c r="D1497" s="2">
        <v>38353</v>
      </c>
      <c r="E1497" s="1" t="s">
        <v>3070</v>
      </c>
      <c r="F1497" s="1" t="s">
        <v>95</v>
      </c>
    </row>
    <row r="1498" spans="1:6" ht="30" customHeight="1" x14ac:dyDescent="0.25">
      <c r="A1498" s="1" t="s">
        <v>3071</v>
      </c>
      <c r="B1498" s="1" t="str">
        <f>"9780335227730"</f>
        <v>9780335227730</v>
      </c>
      <c r="C1498" s="1" t="s">
        <v>2247</v>
      </c>
      <c r="D1498" s="2">
        <v>38718</v>
      </c>
      <c r="E1498" s="1" t="s">
        <v>3072</v>
      </c>
      <c r="F1498" s="1" t="s">
        <v>95</v>
      </c>
    </row>
    <row r="1499" spans="1:6" ht="30" customHeight="1" x14ac:dyDescent="0.25">
      <c r="A1499" s="1" t="s">
        <v>3073</v>
      </c>
      <c r="B1499" s="1" t="str">
        <f>"9780335227747"</f>
        <v>9780335227747</v>
      </c>
      <c r="C1499" s="1" t="s">
        <v>2247</v>
      </c>
      <c r="D1499" s="2">
        <v>37987</v>
      </c>
      <c r="E1499" s="1" t="s">
        <v>3074</v>
      </c>
      <c r="F1499" s="1" t="s">
        <v>3075</v>
      </c>
    </row>
    <row r="1500" spans="1:6" ht="30" customHeight="1" x14ac:dyDescent="0.25">
      <c r="A1500" s="1" t="s">
        <v>3076</v>
      </c>
      <c r="B1500" s="1" t="str">
        <f>"9780335227815"</f>
        <v>9780335227815</v>
      </c>
      <c r="C1500" s="1" t="s">
        <v>2247</v>
      </c>
      <c r="D1500" s="2">
        <v>37987</v>
      </c>
      <c r="E1500" s="1" t="s">
        <v>3077</v>
      </c>
      <c r="F1500" s="1" t="s">
        <v>95</v>
      </c>
    </row>
    <row r="1501" spans="1:6" ht="30" customHeight="1" x14ac:dyDescent="0.25">
      <c r="A1501" s="1" t="s">
        <v>3078</v>
      </c>
      <c r="B1501" s="1" t="str">
        <f>"9780335227822"</f>
        <v>9780335227822</v>
      </c>
      <c r="C1501" s="1" t="s">
        <v>2247</v>
      </c>
      <c r="D1501" s="2">
        <v>38353</v>
      </c>
      <c r="E1501" s="1" t="s">
        <v>3079</v>
      </c>
      <c r="F1501" s="1" t="s">
        <v>87</v>
      </c>
    </row>
    <row r="1502" spans="1:6" ht="30" customHeight="1" x14ac:dyDescent="0.25">
      <c r="A1502" s="1" t="s">
        <v>3080</v>
      </c>
      <c r="B1502" s="1" t="str">
        <f>"9780335227853"</f>
        <v>9780335227853</v>
      </c>
      <c r="C1502" s="1" t="s">
        <v>2247</v>
      </c>
      <c r="D1502" s="2">
        <v>38353</v>
      </c>
      <c r="E1502" s="1" t="s">
        <v>3081</v>
      </c>
      <c r="F1502" s="1" t="s">
        <v>95</v>
      </c>
    </row>
    <row r="1503" spans="1:6" ht="30" customHeight="1" x14ac:dyDescent="0.25">
      <c r="A1503" s="1" t="s">
        <v>3082</v>
      </c>
      <c r="B1503" s="1" t="str">
        <f>"9780335227877"</f>
        <v>9780335227877</v>
      </c>
      <c r="C1503" s="1" t="s">
        <v>2247</v>
      </c>
      <c r="D1503" s="2">
        <v>37622</v>
      </c>
      <c r="E1503" s="1" t="s">
        <v>3083</v>
      </c>
      <c r="F1503" s="1" t="s">
        <v>3084</v>
      </c>
    </row>
    <row r="1504" spans="1:6" ht="30" customHeight="1" x14ac:dyDescent="0.25">
      <c r="A1504" s="1" t="s">
        <v>3085</v>
      </c>
      <c r="B1504" s="1" t="str">
        <f>"9780335227938"</f>
        <v>9780335227938</v>
      </c>
      <c r="C1504" s="1" t="s">
        <v>2247</v>
      </c>
      <c r="D1504" s="2">
        <v>37987</v>
      </c>
      <c r="E1504" s="1" t="s">
        <v>3086</v>
      </c>
      <c r="F1504" s="1" t="s">
        <v>30</v>
      </c>
    </row>
    <row r="1505" spans="1:6" ht="30" customHeight="1" x14ac:dyDescent="0.25">
      <c r="A1505" s="1" t="s">
        <v>3087</v>
      </c>
      <c r="B1505" s="1" t="str">
        <f>"9780335227945"</f>
        <v>9780335227945</v>
      </c>
      <c r="C1505" s="1" t="s">
        <v>2247</v>
      </c>
      <c r="D1505" s="2">
        <v>38353</v>
      </c>
      <c r="E1505" s="1" t="s">
        <v>3088</v>
      </c>
      <c r="F1505" s="1" t="s">
        <v>95</v>
      </c>
    </row>
    <row r="1506" spans="1:6" ht="30" customHeight="1" x14ac:dyDescent="0.25">
      <c r="A1506" s="1" t="s">
        <v>3089</v>
      </c>
      <c r="B1506" s="1" t="str">
        <f>"9780335228119"</f>
        <v>9780335228119</v>
      </c>
      <c r="C1506" s="1" t="s">
        <v>2247</v>
      </c>
      <c r="D1506" s="2">
        <v>37622</v>
      </c>
      <c r="E1506" s="1" t="s">
        <v>3090</v>
      </c>
      <c r="F1506" s="1" t="s">
        <v>13</v>
      </c>
    </row>
    <row r="1507" spans="1:6" ht="30" customHeight="1" x14ac:dyDescent="0.25">
      <c r="A1507" s="1" t="s">
        <v>3091</v>
      </c>
      <c r="B1507" s="1" t="str">
        <f>"9780335228126"</f>
        <v>9780335228126</v>
      </c>
      <c r="C1507" s="1" t="s">
        <v>2247</v>
      </c>
      <c r="D1507" s="2">
        <v>38353</v>
      </c>
      <c r="E1507" s="1" t="s">
        <v>3090</v>
      </c>
      <c r="F1507" s="1" t="s">
        <v>13</v>
      </c>
    </row>
    <row r="1508" spans="1:6" ht="30" customHeight="1" x14ac:dyDescent="0.25">
      <c r="A1508" s="1" t="s">
        <v>3092</v>
      </c>
      <c r="B1508" s="1" t="str">
        <f>"9780335228133"</f>
        <v>9780335228133</v>
      </c>
      <c r="C1508" s="1" t="s">
        <v>2247</v>
      </c>
      <c r="D1508" s="2">
        <v>38718</v>
      </c>
      <c r="E1508" s="1" t="s">
        <v>3090</v>
      </c>
      <c r="F1508" s="1" t="s">
        <v>13</v>
      </c>
    </row>
    <row r="1509" spans="1:6" ht="30" customHeight="1" x14ac:dyDescent="0.25">
      <c r="A1509" s="1" t="s">
        <v>3093</v>
      </c>
      <c r="B1509" s="1" t="str">
        <f>"9780335228225"</f>
        <v>9780335228225</v>
      </c>
      <c r="C1509" s="1" t="s">
        <v>2247</v>
      </c>
      <c r="D1509" s="2">
        <v>37987</v>
      </c>
      <c r="E1509" s="1" t="s">
        <v>3094</v>
      </c>
      <c r="F1509" s="1" t="s">
        <v>87</v>
      </c>
    </row>
    <row r="1510" spans="1:6" ht="30" customHeight="1" x14ac:dyDescent="0.25">
      <c r="A1510" s="1" t="s">
        <v>3095</v>
      </c>
      <c r="B1510" s="1" t="str">
        <f>"9780335228232"</f>
        <v>9780335228232</v>
      </c>
      <c r="C1510" s="1" t="s">
        <v>2247</v>
      </c>
      <c r="D1510" s="2">
        <v>37987</v>
      </c>
      <c r="E1510" s="1" t="s">
        <v>3096</v>
      </c>
      <c r="F1510" s="1" t="s">
        <v>87</v>
      </c>
    </row>
    <row r="1511" spans="1:6" ht="30" customHeight="1" x14ac:dyDescent="0.25">
      <c r="A1511" s="1" t="s">
        <v>3097</v>
      </c>
      <c r="B1511" s="1" t="str">
        <f>"9780335228249"</f>
        <v>9780335228249</v>
      </c>
      <c r="C1511" s="1" t="s">
        <v>2247</v>
      </c>
      <c r="D1511" s="2">
        <v>38353</v>
      </c>
      <c r="E1511" s="1" t="s">
        <v>3098</v>
      </c>
      <c r="F1511" s="1" t="s">
        <v>87</v>
      </c>
    </row>
    <row r="1512" spans="1:6" ht="30" customHeight="1" x14ac:dyDescent="0.25">
      <c r="A1512" s="1" t="s">
        <v>3099</v>
      </c>
      <c r="B1512" s="1" t="str">
        <f>"9780335228270"</f>
        <v>9780335228270</v>
      </c>
      <c r="C1512" s="1" t="s">
        <v>2247</v>
      </c>
      <c r="D1512" s="2">
        <v>38353</v>
      </c>
      <c r="E1512" s="1" t="s">
        <v>3100</v>
      </c>
      <c r="F1512" s="1" t="s">
        <v>13</v>
      </c>
    </row>
    <row r="1513" spans="1:6" ht="30" customHeight="1" x14ac:dyDescent="0.25">
      <c r="A1513" s="1" t="s">
        <v>3101</v>
      </c>
      <c r="B1513" s="1" t="str">
        <f>"9780335228287"</f>
        <v>9780335228287</v>
      </c>
      <c r="C1513" s="1" t="s">
        <v>2247</v>
      </c>
      <c r="D1513" s="2">
        <v>37622</v>
      </c>
      <c r="E1513" s="1" t="s">
        <v>3102</v>
      </c>
      <c r="F1513" s="1" t="s">
        <v>95</v>
      </c>
    </row>
    <row r="1514" spans="1:6" ht="30" customHeight="1" x14ac:dyDescent="0.25">
      <c r="A1514" s="1" t="s">
        <v>3103</v>
      </c>
      <c r="B1514" s="1" t="str">
        <f>"9780335228294"</f>
        <v>9780335228294</v>
      </c>
      <c r="C1514" s="1" t="s">
        <v>2247</v>
      </c>
      <c r="D1514" s="2">
        <v>38353</v>
      </c>
      <c r="E1514" s="1" t="s">
        <v>3104</v>
      </c>
      <c r="F1514" s="1" t="s">
        <v>30</v>
      </c>
    </row>
    <row r="1515" spans="1:6" ht="30" customHeight="1" x14ac:dyDescent="0.25">
      <c r="A1515" s="1" t="s">
        <v>3105</v>
      </c>
      <c r="B1515" s="1" t="str">
        <f>"9780335228393"</f>
        <v>9780335228393</v>
      </c>
      <c r="C1515" s="1" t="s">
        <v>2247</v>
      </c>
      <c r="D1515" s="2">
        <v>37622</v>
      </c>
      <c r="E1515" s="1" t="s">
        <v>3106</v>
      </c>
      <c r="F1515" s="1" t="s">
        <v>13</v>
      </c>
    </row>
    <row r="1516" spans="1:6" ht="30" customHeight="1" x14ac:dyDescent="0.25">
      <c r="A1516" s="1" t="s">
        <v>3107</v>
      </c>
      <c r="B1516" s="1" t="str">
        <f>"9780335228409"</f>
        <v>9780335228409</v>
      </c>
      <c r="C1516" s="1" t="s">
        <v>2247</v>
      </c>
      <c r="D1516" s="2">
        <v>38718</v>
      </c>
      <c r="E1516" s="1" t="s">
        <v>3108</v>
      </c>
      <c r="F1516" s="1" t="s">
        <v>70</v>
      </c>
    </row>
    <row r="1517" spans="1:6" ht="30" customHeight="1" x14ac:dyDescent="0.25">
      <c r="A1517" s="1" t="s">
        <v>3109</v>
      </c>
      <c r="B1517" s="1" t="str">
        <f>"9780335228416"</f>
        <v>9780335228416</v>
      </c>
      <c r="C1517" s="1" t="s">
        <v>2247</v>
      </c>
      <c r="D1517" s="2">
        <v>38718</v>
      </c>
      <c r="E1517" s="1" t="s">
        <v>3110</v>
      </c>
      <c r="F1517" s="1" t="s">
        <v>158</v>
      </c>
    </row>
    <row r="1518" spans="1:6" ht="30" customHeight="1" x14ac:dyDescent="0.25">
      <c r="A1518" s="1" t="s">
        <v>3111</v>
      </c>
      <c r="B1518" s="1" t="str">
        <f>"9780511284106"</f>
        <v>9780511284106</v>
      </c>
      <c r="C1518" s="1" t="s">
        <v>25</v>
      </c>
      <c r="D1518" s="2">
        <v>39173</v>
      </c>
      <c r="E1518" s="1" t="s">
        <v>3112</v>
      </c>
      <c r="F1518" s="1" t="s">
        <v>1338</v>
      </c>
    </row>
    <row r="1519" spans="1:6" ht="30" customHeight="1" x14ac:dyDescent="0.25">
      <c r="A1519" s="1" t="s">
        <v>3113</v>
      </c>
      <c r="B1519" s="1" t="str">
        <f>"9781846425783"</f>
        <v>9781846425783</v>
      </c>
      <c r="C1519" s="1" t="s">
        <v>2387</v>
      </c>
      <c r="D1519" s="2">
        <v>39036</v>
      </c>
      <c r="E1519" s="1" t="s">
        <v>3114</v>
      </c>
      <c r="F1519" s="1" t="s">
        <v>13</v>
      </c>
    </row>
    <row r="1520" spans="1:6" ht="30" customHeight="1" x14ac:dyDescent="0.25">
      <c r="A1520" s="1" t="s">
        <v>3115</v>
      </c>
      <c r="B1520" s="1" t="str">
        <f>"9781846425516"</f>
        <v>9781846425516</v>
      </c>
      <c r="C1520" s="1" t="s">
        <v>2387</v>
      </c>
      <c r="D1520" s="2">
        <v>38975</v>
      </c>
      <c r="E1520" s="1" t="s">
        <v>3116</v>
      </c>
      <c r="F1520" s="1" t="s">
        <v>13</v>
      </c>
    </row>
    <row r="1521" spans="1:6" ht="30" customHeight="1" x14ac:dyDescent="0.25">
      <c r="A1521" s="1" t="s">
        <v>3117</v>
      </c>
      <c r="B1521" s="1" t="str">
        <f>"9781846425691"</f>
        <v>9781846425691</v>
      </c>
      <c r="C1521" s="1" t="s">
        <v>2387</v>
      </c>
      <c r="D1521" s="2">
        <v>39016</v>
      </c>
      <c r="E1521" s="1" t="s">
        <v>3118</v>
      </c>
      <c r="F1521" s="1" t="s">
        <v>95</v>
      </c>
    </row>
    <row r="1522" spans="1:6" ht="30" customHeight="1" x14ac:dyDescent="0.25">
      <c r="A1522" s="1" t="s">
        <v>3119</v>
      </c>
      <c r="B1522" s="1" t="str">
        <f>"9781846425622"</f>
        <v>9781846425622</v>
      </c>
      <c r="C1522" s="1" t="s">
        <v>2387</v>
      </c>
      <c r="D1522" s="2">
        <v>39005</v>
      </c>
      <c r="E1522" s="1" t="s">
        <v>3120</v>
      </c>
      <c r="F1522" s="1" t="s">
        <v>13</v>
      </c>
    </row>
    <row r="1523" spans="1:6" ht="30" customHeight="1" x14ac:dyDescent="0.25">
      <c r="A1523" s="1" t="s">
        <v>3121</v>
      </c>
      <c r="B1523" s="1" t="str">
        <f>"9781846425585"</f>
        <v>9781846425585</v>
      </c>
      <c r="C1523" s="1" t="s">
        <v>2387</v>
      </c>
      <c r="D1523" s="2">
        <v>38975</v>
      </c>
      <c r="E1523" s="1" t="s">
        <v>3122</v>
      </c>
      <c r="F1523" s="1" t="s">
        <v>21</v>
      </c>
    </row>
    <row r="1524" spans="1:6" ht="30" customHeight="1" x14ac:dyDescent="0.25">
      <c r="A1524" s="1" t="s">
        <v>3123</v>
      </c>
      <c r="B1524" s="1" t="str">
        <f>"9781846425561"</f>
        <v>9781846425561</v>
      </c>
      <c r="C1524" s="1" t="s">
        <v>2387</v>
      </c>
      <c r="D1524" s="2">
        <v>38975</v>
      </c>
      <c r="E1524" s="1" t="s">
        <v>3124</v>
      </c>
      <c r="F1524" s="1" t="s">
        <v>13</v>
      </c>
    </row>
    <row r="1525" spans="1:6" ht="30" customHeight="1" x14ac:dyDescent="0.25">
      <c r="A1525" s="1" t="s">
        <v>3125</v>
      </c>
      <c r="B1525" s="1" t="str">
        <f>"9781846425509"</f>
        <v>9781846425509</v>
      </c>
      <c r="C1525" s="1" t="s">
        <v>2387</v>
      </c>
      <c r="D1525" s="2">
        <v>38975</v>
      </c>
      <c r="E1525" s="1" t="s">
        <v>3126</v>
      </c>
      <c r="F1525" s="1" t="s">
        <v>13</v>
      </c>
    </row>
    <row r="1526" spans="1:6" ht="30" customHeight="1" x14ac:dyDescent="0.25">
      <c r="A1526" s="1" t="s">
        <v>3127</v>
      </c>
      <c r="B1526" s="1" t="str">
        <f>"9781846425707"</f>
        <v>9781846425707</v>
      </c>
      <c r="C1526" s="1" t="s">
        <v>2387</v>
      </c>
      <c r="D1526" s="2">
        <v>39016</v>
      </c>
      <c r="E1526" s="1" t="s">
        <v>3128</v>
      </c>
      <c r="F1526" s="1" t="s">
        <v>13</v>
      </c>
    </row>
    <row r="1527" spans="1:6" ht="30" customHeight="1" x14ac:dyDescent="0.25">
      <c r="A1527" s="1" t="s">
        <v>3129</v>
      </c>
      <c r="B1527" s="1" t="str">
        <f>"9781846425578"</f>
        <v>9781846425578</v>
      </c>
      <c r="C1527" s="1" t="s">
        <v>2387</v>
      </c>
      <c r="D1527" s="2">
        <v>38975</v>
      </c>
      <c r="E1527" s="1" t="s">
        <v>3130</v>
      </c>
      <c r="F1527" s="1" t="s">
        <v>13</v>
      </c>
    </row>
    <row r="1528" spans="1:6" ht="30" customHeight="1" x14ac:dyDescent="0.25">
      <c r="A1528" s="1" t="s">
        <v>3131</v>
      </c>
      <c r="B1528" s="1" t="str">
        <f>"9781846425738"</f>
        <v>9781846425738</v>
      </c>
      <c r="C1528" s="1" t="s">
        <v>2387</v>
      </c>
      <c r="D1528" s="2">
        <v>39036</v>
      </c>
      <c r="E1528" s="1" t="s">
        <v>3132</v>
      </c>
      <c r="F1528" s="1" t="s">
        <v>95</v>
      </c>
    </row>
    <row r="1529" spans="1:6" ht="30" customHeight="1" x14ac:dyDescent="0.25">
      <c r="A1529" s="1" t="s">
        <v>3133</v>
      </c>
      <c r="B1529" s="1" t="str">
        <f>"9781846425677"</f>
        <v>9781846425677</v>
      </c>
      <c r="C1529" s="1" t="s">
        <v>2387</v>
      </c>
      <c r="D1529" s="2">
        <v>39005</v>
      </c>
      <c r="E1529" s="1" t="s">
        <v>3134</v>
      </c>
      <c r="F1529" s="1" t="s">
        <v>13</v>
      </c>
    </row>
    <row r="1530" spans="1:6" ht="30" customHeight="1" x14ac:dyDescent="0.25">
      <c r="A1530" s="1" t="s">
        <v>3135</v>
      </c>
      <c r="B1530" s="1" t="str">
        <f>"9781846425752"</f>
        <v>9781846425752</v>
      </c>
      <c r="C1530" s="1" t="s">
        <v>2387</v>
      </c>
      <c r="D1530" s="2">
        <v>39036</v>
      </c>
      <c r="E1530" s="1" t="s">
        <v>3136</v>
      </c>
      <c r="F1530" s="1" t="s">
        <v>13</v>
      </c>
    </row>
    <row r="1531" spans="1:6" ht="30" customHeight="1" x14ac:dyDescent="0.25">
      <c r="A1531" s="1" t="s">
        <v>3137</v>
      </c>
      <c r="B1531" s="1" t="str">
        <f>"9781846425769"</f>
        <v>9781846425769</v>
      </c>
      <c r="C1531" s="1" t="s">
        <v>2387</v>
      </c>
      <c r="D1531" s="2">
        <v>39036</v>
      </c>
      <c r="E1531" s="1" t="s">
        <v>3138</v>
      </c>
      <c r="F1531" s="1" t="s">
        <v>13</v>
      </c>
    </row>
    <row r="1532" spans="1:6" ht="30" customHeight="1" x14ac:dyDescent="0.25">
      <c r="A1532" s="1" t="s">
        <v>3139</v>
      </c>
      <c r="B1532" s="1" t="str">
        <f>"9781846425523"</f>
        <v>9781846425523</v>
      </c>
      <c r="C1532" s="1" t="s">
        <v>2387</v>
      </c>
      <c r="D1532" s="2">
        <v>38975</v>
      </c>
      <c r="E1532" s="1" t="s">
        <v>3140</v>
      </c>
      <c r="F1532" s="1" t="s">
        <v>30</v>
      </c>
    </row>
    <row r="1533" spans="1:6" ht="30" customHeight="1" x14ac:dyDescent="0.25">
      <c r="A1533" s="1" t="s">
        <v>3141</v>
      </c>
      <c r="B1533" s="1" t="str">
        <f>"9789812704931"</f>
        <v>9789812704931</v>
      </c>
      <c r="C1533" s="1" t="s">
        <v>881</v>
      </c>
      <c r="D1533" s="2">
        <v>37956</v>
      </c>
      <c r="E1533" s="1" t="s">
        <v>3142</v>
      </c>
      <c r="F1533" s="1" t="s">
        <v>963</v>
      </c>
    </row>
    <row r="1534" spans="1:6" ht="30" customHeight="1" x14ac:dyDescent="0.25">
      <c r="A1534" s="1" t="s">
        <v>3143</v>
      </c>
      <c r="B1534" s="1" t="str">
        <f>"9789812701299"</f>
        <v>9789812701299</v>
      </c>
      <c r="C1534" s="1" t="s">
        <v>881</v>
      </c>
      <c r="D1534" s="2">
        <v>38687</v>
      </c>
      <c r="E1534" s="1" t="s">
        <v>3144</v>
      </c>
      <c r="F1534" s="1" t="s">
        <v>3145</v>
      </c>
    </row>
    <row r="1535" spans="1:6" ht="30" customHeight="1" x14ac:dyDescent="0.25">
      <c r="A1535" s="1" t="s">
        <v>3146</v>
      </c>
      <c r="B1535" s="1" t="str">
        <f>"9789812701954"</f>
        <v>9789812701954</v>
      </c>
      <c r="C1535" s="1" t="s">
        <v>881</v>
      </c>
      <c r="D1535" s="2">
        <v>38687</v>
      </c>
      <c r="E1535" s="1" t="s">
        <v>3147</v>
      </c>
      <c r="F1535" s="1" t="s">
        <v>13</v>
      </c>
    </row>
    <row r="1536" spans="1:6" ht="30" customHeight="1" x14ac:dyDescent="0.25">
      <c r="A1536" s="1" t="s">
        <v>3148</v>
      </c>
      <c r="B1536" s="1" t="str">
        <f>"9789812703231"</f>
        <v>9789812703231</v>
      </c>
      <c r="C1536" s="1" t="s">
        <v>881</v>
      </c>
      <c r="D1536" s="2">
        <v>38687</v>
      </c>
      <c r="E1536" s="1" t="s">
        <v>3149</v>
      </c>
      <c r="F1536" s="1" t="s">
        <v>650</v>
      </c>
    </row>
    <row r="1537" spans="1:6" ht="30" customHeight="1" x14ac:dyDescent="0.25">
      <c r="A1537" s="1" t="s">
        <v>3150</v>
      </c>
      <c r="B1537" s="1" t="str">
        <f>"9789812701114"</f>
        <v>9789812701114</v>
      </c>
      <c r="C1537" s="1" t="s">
        <v>881</v>
      </c>
      <c r="D1537" s="2">
        <v>38687</v>
      </c>
      <c r="E1537" s="1" t="s">
        <v>3151</v>
      </c>
      <c r="F1537" s="1" t="s">
        <v>13</v>
      </c>
    </row>
    <row r="1538" spans="1:6" ht="30" customHeight="1" x14ac:dyDescent="0.25">
      <c r="A1538" s="1" t="s">
        <v>3152</v>
      </c>
      <c r="B1538" s="1" t="str">
        <f>"9789812701367"</f>
        <v>9789812701367</v>
      </c>
      <c r="C1538" s="1" t="s">
        <v>881</v>
      </c>
      <c r="D1538" s="2">
        <v>41773</v>
      </c>
      <c r="E1538" s="1" t="s">
        <v>3153</v>
      </c>
      <c r="F1538" s="1" t="s">
        <v>13</v>
      </c>
    </row>
    <row r="1539" spans="1:6" ht="30" customHeight="1" x14ac:dyDescent="0.25">
      <c r="A1539" s="1" t="s">
        <v>3154</v>
      </c>
      <c r="B1539" s="1" t="str">
        <f>"9789812701176"</f>
        <v>9789812701176</v>
      </c>
      <c r="C1539" s="1" t="s">
        <v>881</v>
      </c>
      <c r="D1539" s="2">
        <v>38687</v>
      </c>
      <c r="E1539" s="1" t="s">
        <v>3155</v>
      </c>
      <c r="F1539" s="1" t="s">
        <v>1152</v>
      </c>
    </row>
    <row r="1540" spans="1:6" ht="30" customHeight="1" x14ac:dyDescent="0.25">
      <c r="A1540" s="1" t="s">
        <v>3156</v>
      </c>
      <c r="B1540" s="1" t="str">
        <f>"9789812701220"</f>
        <v>9789812701220</v>
      </c>
      <c r="C1540" s="1" t="s">
        <v>881</v>
      </c>
      <c r="D1540" s="2">
        <v>38687</v>
      </c>
      <c r="E1540" s="1" t="s">
        <v>3157</v>
      </c>
      <c r="F1540" s="1" t="s">
        <v>13</v>
      </c>
    </row>
    <row r="1541" spans="1:6" ht="30" customHeight="1" x14ac:dyDescent="0.25">
      <c r="A1541" s="1" t="s">
        <v>3158</v>
      </c>
      <c r="B1541" s="1" t="str">
        <f>"9789812701046"</f>
        <v>9789812701046</v>
      </c>
      <c r="C1541" s="1" t="s">
        <v>881</v>
      </c>
      <c r="D1541" s="2">
        <v>38687</v>
      </c>
      <c r="E1541" s="1" t="s">
        <v>3159</v>
      </c>
      <c r="F1541" s="1" t="s">
        <v>13</v>
      </c>
    </row>
    <row r="1542" spans="1:6" ht="30" customHeight="1" x14ac:dyDescent="0.25">
      <c r="A1542" s="1" t="s">
        <v>3160</v>
      </c>
      <c r="B1542" s="1" t="str">
        <f>"9789812701053"</f>
        <v>9789812701053</v>
      </c>
      <c r="C1542" s="1" t="s">
        <v>881</v>
      </c>
      <c r="D1542" s="2">
        <v>38687</v>
      </c>
      <c r="E1542" s="1" t="s">
        <v>3159</v>
      </c>
      <c r="F1542" s="1" t="s">
        <v>13</v>
      </c>
    </row>
    <row r="1543" spans="1:6" ht="30" customHeight="1" x14ac:dyDescent="0.25">
      <c r="A1543" s="1" t="s">
        <v>3161</v>
      </c>
      <c r="B1543" s="1" t="str">
        <f>"9789812701060"</f>
        <v>9789812701060</v>
      </c>
      <c r="C1543" s="1" t="s">
        <v>881</v>
      </c>
      <c r="D1543" s="2">
        <v>38687</v>
      </c>
      <c r="E1543" s="1" t="s">
        <v>3159</v>
      </c>
      <c r="F1543" s="1" t="s">
        <v>13</v>
      </c>
    </row>
    <row r="1544" spans="1:6" ht="30" customHeight="1" x14ac:dyDescent="0.25">
      <c r="A1544" s="1" t="s">
        <v>3162</v>
      </c>
      <c r="B1544" s="1" t="str">
        <f>"9789812701077"</f>
        <v>9789812701077</v>
      </c>
      <c r="C1544" s="1" t="s">
        <v>881</v>
      </c>
      <c r="D1544" s="2">
        <v>38687</v>
      </c>
      <c r="E1544" s="1" t="s">
        <v>3159</v>
      </c>
      <c r="F1544" s="1" t="s">
        <v>13</v>
      </c>
    </row>
    <row r="1545" spans="1:6" ht="30" customHeight="1" x14ac:dyDescent="0.25">
      <c r="A1545" s="1" t="s">
        <v>3163</v>
      </c>
      <c r="B1545" s="1" t="str">
        <f>"9781860947162"</f>
        <v>9781860947162</v>
      </c>
      <c r="C1545" s="1" t="s">
        <v>876</v>
      </c>
      <c r="D1545" s="2">
        <v>41773</v>
      </c>
      <c r="E1545" s="1" t="s">
        <v>3164</v>
      </c>
      <c r="F1545" s="1" t="s">
        <v>359</v>
      </c>
    </row>
    <row r="1546" spans="1:6" ht="30" customHeight="1" x14ac:dyDescent="0.25">
      <c r="A1546" s="1" t="s">
        <v>3165</v>
      </c>
      <c r="B1546" s="1" t="str">
        <f>"9789812703163"</f>
        <v>9789812703163</v>
      </c>
      <c r="C1546" s="1" t="s">
        <v>881</v>
      </c>
      <c r="D1546" s="2">
        <v>41773</v>
      </c>
      <c r="E1546" s="1" t="s">
        <v>3166</v>
      </c>
      <c r="F1546" s="1" t="s">
        <v>117</v>
      </c>
    </row>
    <row r="1547" spans="1:6" ht="30" customHeight="1" x14ac:dyDescent="0.25">
      <c r="A1547" s="1" t="s">
        <v>3167</v>
      </c>
      <c r="B1547" s="1" t="str">
        <f>"9789812702678"</f>
        <v>9789812702678</v>
      </c>
      <c r="C1547" s="1" t="s">
        <v>881</v>
      </c>
      <c r="D1547" s="2">
        <v>38322</v>
      </c>
      <c r="E1547" s="1" t="s">
        <v>3168</v>
      </c>
      <c r="F1547" s="1" t="s">
        <v>13</v>
      </c>
    </row>
    <row r="1548" spans="1:6" ht="30" customHeight="1" x14ac:dyDescent="0.25">
      <c r="A1548" s="1" t="s">
        <v>3169</v>
      </c>
      <c r="B1548" s="1" t="str">
        <f>"9781860947186"</f>
        <v>9781860947186</v>
      </c>
      <c r="C1548" s="1" t="s">
        <v>876</v>
      </c>
      <c r="D1548" s="2">
        <v>41773</v>
      </c>
      <c r="E1548" s="1" t="s">
        <v>3170</v>
      </c>
      <c r="F1548" s="1" t="s">
        <v>1152</v>
      </c>
    </row>
    <row r="1549" spans="1:6" ht="30" customHeight="1" x14ac:dyDescent="0.25">
      <c r="A1549" s="1" t="s">
        <v>3171</v>
      </c>
      <c r="B1549" s="1" t="str">
        <f>"9789812700964"</f>
        <v>9789812700964</v>
      </c>
      <c r="C1549" s="1" t="s">
        <v>881</v>
      </c>
      <c r="D1549" s="2">
        <v>41773</v>
      </c>
      <c r="E1549" s="1" t="s">
        <v>3172</v>
      </c>
      <c r="F1549" s="1" t="s">
        <v>13</v>
      </c>
    </row>
    <row r="1550" spans="1:6" ht="30" customHeight="1" x14ac:dyDescent="0.25">
      <c r="A1550" s="1" t="s">
        <v>3173</v>
      </c>
      <c r="B1550" s="1" t="str">
        <f>"9780333993972"</f>
        <v>9780333993972</v>
      </c>
      <c r="C1550" s="1" t="s">
        <v>3174</v>
      </c>
      <c r="D1550" s="2">
        <v>36809</v>
      </c>
      <c r="E1550" s="1" t="s">
        <v>3175</v>
      </c>
      <c r="F1550" s="1" t="s">
        <v>126</v>
      </c>
    </row>
    <row r="1551" spans="1:6" ht="30" customHeight="1" x14ac:dyDescent="0.25">
      <c r="A1551" s="1" t="s">
        <v>3176</v>
      </c>
      <c r="B1551" s="1" t="str">
        <f>"9780815774921"</f>
        <v>9780815774921</v>
      </c>
      <c r="C1551" s="1" t="s">
        <v>1509</v>
      </c>
      <c r="D1551" s="2">
        <v>39052</v>
      </c>
      <c r="E1551" s="1" t="s">
        <v>3177</v>
      </c>
      <c r="F1551" s="1" t="s">
        <v>95</v>
      </c>
    </row>
    <row r="1552" spans="1:6" ht="30" customHeight="1" x14ac:dyDescent="0.25">
      <c r="A1552" s="1" t="s">
        <v>3178</v>
      </c>
      <c r="B1552" s="1" t="str">
        <f>"9780080497549"</f>
        <v>9780080497549</v>
      </c>
      <c r="C1552" s="1" t="s">
        <v>900</v>
      </c>
      <c r="D1552" s="2">
        <v>37125</v>
      </c>
      <c r="E1552" s="1" t="s">
        <v>3179</v>
      </c>
      <c r="F1552" s="1" t="s">
        <v>268</v>
      </c>
    </row>
    <row r="1553" spans="1:6" ht="30" customHeight="1" x14ac:dyDescent="0.25">
      <c r="A1553" s="1" t="s">
        <v>3180</v>
      </c>
      <c r="B1553" s="1" t="str">
        <f>"9780080495767"</f>
        <v>9780080495767</v>
      </c>
      <c r="C1553" s="1" t="s">
        <v>900</v>
      </c>
      <c r="D1553" s="2">
        <v>39219</v>
      </c>
      <c r="E1553" s="1" t="s">
        <v>3181</v>
      </c>
      <c r="F1553" s="1" t="s">
        <v>13</v>
      </c>
    </row>
    <row r="1554" spans="1:6" ht="30" customHeight="1" x14ac:dyDescent="0.25">
      <c r="A1554" s="1" t="s">
        <v>3182</v>
      </c>
      <c r="B1554" s="1" t="str">
        <f>"9780470117101"</f>
        <v>9780470117101</v>
      </c>
      <c r="C1554" s="1" t="s">
        <v>65</v>
      </c>
      <c r="D1554" s="2">
        <v>39227</v>
      </c>
      <c r="E1554" s="1" t="s">
        <v>989</v>
      </c>
      <c r="F1554" s="1" t="s">
        <v>268</v>
      </c>
    </row>
    <row r="1555" spans="1:6" ht="30" customHeight="1" x14ac:dyDescent="0.25">
      <c r="A1555" s="1" t="s">
        <v>3183</v>
      </c>
      <c r="B1555" s="1" t="str">
        <f>"9781859591673"</f>
        <v>9781859591673</v>
      </c>
      <c r="C1555" s="1" t="s">
        <v>1024</v>
      </c>
      <c r="D1555" s="2">
        <v>39204</v>
      </c>
      <c r="E1555" s="1" t="s">
        <v>3184</v>
      </c>
      <c r="F1555" s="1" t="s">
        <v>13</v>
      </c>
    </row>
    <row r="1556" spans="1:6" ht="30" customHeight="1" x14ac:dyDescent="0.25">
      <c r="A1556" s="1" t="s">
        <v>3185</v>
      </c>
      <c r="B1556" s="1" t="str">
        <f>"9781859591888"</f>
        <v>9781859591888</v>
      </c>
      <c r="C1556" s="1" t="s">
        <v>1024</v>
      </c>
      <c r="D1556" s="2">
        <v>39282</v>
      </c>
      <c r="E1556" s="1" t="s">
        <v>3186</v>
      </c>
      <c r="F1556" s="1" t="s">
        <v>13</v>
      </c>
    </row>
    <row r="1557" spans="1:6" ht="30" customHeight="1" x14ac:dyDescent="0.25">
      <c r="A1557" s="1" t="s">
        <v>3187</v>
      </c>
      <c r="B1557" s="1" t="str">
        <f>"9780851990620"</f>
        <v>9780851990620</v>
      </c>
      <c r="C1557" s="1" t="s">
        <v>2321</v>
      </c>
      <c r="D1557" s="2">
        <v>37987</v>
      </c>
      <c r="E1557" s="1" t="s">
        <v>3188</v>
      </c>
      <c r="F1557" s="1" t="s">
        <v>13</v>
      </c>
    </row>
    <row r="1558" spans="1:6" ht="30" customHeight="1" x14ac:dyDescent="0.25">
      <c r="A1558" s="1" t="s">
        <v>3189</v>
      </c>
      <c r="B1558" s="1" t="str">
        <f>"9780253112200"</f>
        <v>9780253112200</v>
      </c>
      <c r="C1558" s="1" t="s">
        <v>19</v>
      </c>
      <c r="D1558" s="2">
        <v>38960</v>
      </c>
      <c r="E1558" s="1" t="s">
        <v>3190</v>
      </c>
      <c r="F1558" s="1" t="s">
        <v>205</v>
      </c>
    </row>
    <row r="1559" spans="1:6" ht="30" customHeight="1" x14ac:dyDescent="0.25">
      <c r="A1559" s="1" t="s">
        <v>3191</v>
      </c>
      <c r="B1559" s="1" t="str">
        <f>"9780080521855"</f>
        <v>9780080521855</v>
      </c>
      <c r="C1559" s="1" t="s">
        <v>900</v>
      </c>
      <c r="D1559" s="2">
        <v>40661</v>
      </c>
      <c r="E1559" s="1" t="s">
        <v>3192</v>
      </c>
      <c r="F1559" s="1" t="s">
        <v>13</v>
      </c>
    </row>
    <row r="1560" spans="1:6" ht="30" customHeight="1" x14ac:dyDescent="0.25">
      <c r="A1560" s="1" t="s">
        <v>3193</v>
      </c>
      <c r="B1560" s="1" t="str">
        <f>"9780080521879"</f>
        <v>9780080521879</v>
      </c>
      <c r="C1560" s="1" t="s">
        <v>900</v>
      </c>
      <c r="D1560" s="2">
        <v>38328</v>
      </c>
      <c r="E1560" s="1" t="s">
        <v>3194</v>
      </c>
      <c r="F1560" s="1" t="s">
        <v>13</v>
      </c>
    </row>
    <row r="1561" spans="1:6" ht="30" customHeight="1" x14ac:dyDescent="0.25">
      <c r="A1561" s="1" t="s">
        <v>3195</v>
      </c>
      <c r="B1561" s="1" t="str">
        <f>"9780080522906"</f>
        <v>9780080522906</v>
      </c>
      <c r="C1561" s="1" t="s">
        <v>900</v>
      </c>
      <c r="D1561" s="2">
        <v>39262</v>
      </c>
      <c r="E1561" s="1" t="s">
        <v>3196</v>
      </c>
      <c r="F1561" s="1" t="s">
        <v>3197</v>
      </c>
    </row>
    <row r="1562" spans="1:6" ht="30" customHeight="1" x14ac:dyDescent="0.25">
      <c r="A1562" s="1" t="s">
        <v>3198</v>
      </c>
      <c r="B1562" s="1" t="str">
        <f>"9781875378852"</f>
        <v>9781875378852</v>
      </c>
      <c r="C1562" s="1" t="s">
        <v>3199</v>
      </c>
      <c r="D1562" s="2">
        <v>34669</v>
      </c>
      <c r="E1562" s="1" t="s">
        <v>3200</v>
      </c>
      <c r="F1562" s="1" t="s">
        <v>13</v>
      </c>
    </row>
    <row r="1563" spans="1:6" ht="30" customHeight="1" x14ac:dyDescent="0.25">
      <c r="A1563" s="1" t="s">
        <v>3201</v>
      </c>
      <c r="B1563" s="1" t="str">
        <f>"9781602580756"</f>
        <v>9781602580756</v>
      </c>
      <c r="C1563" s="1" t="s">
        <v>3202</v>
      </c>
      <c r="D1563" s="2">
        <v>39370</v>
      </c>
      <c r="E1563" s="1" t="s">
        <v>3203</v>
      </c>
      <c r="F1563" s="1" t="s">
        <v>1879</v>
      </c>
    </row>
    <row r="1564" spans="1:6" ht="30" customHeight="1" x14ac:dyDescent="0.25">
      <c r="A1564" s="1" t="s">
        <v>3204</v>
      </c>
      <c r="B1564" s="1" t="str">
        <f>"9781592137701"</f>
        <v>9781592137701</v>
      </c>
      <c r="C1564" s="1" t="s">
        <v>3205</v>
      </c>
      <c r="D1564" s="2">
        <v>38108</v>
      </c>
      <c r="E1564" s="1" t="s">
        <v>3206</v>
      </c>
      <c r="F1564" s="1" t="s">
        <v>95</v>
      </c>
    </row>
    <row r="1565" spans="1:6" ht="30" customHeight="1" x14ac:dyDescent="0.25">
      <c r="A1565" s="1" t="s">
        <v>3207</v>
      </c>
      <c r="B1565" s="1" t="str">
        <f>"9781592133376"</f>
        <v>9781592133376</v>
      </c>
      <c r="C1565" s="1" t="s">
        <v>3205</v>
      </c>
      <c r="D1565" s="2">
        <v>38412</v>
      </c>
      <c r="E1565" s="1" t="s">
        <v>3208</v>
      </c>
      <c r="F1565" s="1" t="s">
        <v>13</v>
      </c>
    </row>
    <row r="1566" spans="1:6" ht="30" customHeight="1" x14ac:dyDescent="0.25">
      <c r="A1566" s="1" t="s">
        <v>3209</v>
      </c>
      <c r="B1566" s="1" t="str">
        <f>"9781845932206"</f>
        <v>9781845932206</v>
      </c>
      <c r="C1566" s="1" t="s">
        <v>2321</v>
      </c>
      <c r="D1566" s="2">
        <v>39083</v>
      </c>
      <c r="E1566" s="1" t="s">
        <v>3210</v>
      </c>
      <c r="F1566" s="1" t="s">
        <v>1400</v>
      </c>
    </row>
    <row r="1567" spans="1:6" ht="30" customHeight="1" x14ac:dyDescent="0.25">
      <c r="A1567" s="1" t="s">
        <v>3211</v>
      </c>
      <c r="B1567" s="1" t="str">
        <f>"9780080545363"</f>
        <v>9780080545363</v>
      </c>
      <c r="C1567" s="1" t="s">
        <v>900</v>
      </c>
      <c r="D1567" s="2">
        <v>40366</v>
      </c>
      <c r="E1567" s="1" t="s">
        <v>3212</v>
      </c>
      <c r="F1567" s="1" t="s">
        <v>13</v>
      </c>
    </row>
    <row r="1568" spans="1:6" ht="30" customHeight="1" x14ac:dyDescent="0.25">
      <c r="A1568" s="1" t="s">
        <v>3213</v>
      </c>
      <c r="B1568" s="1" t="str">
        <f>"9780080527635"</f>
        <v>9780080527635</v>
      </c>
      <c r="C1568" s="1" t="s">
        <v>900</v>
      </c>
      <c r="D1568" s="2">
        <v>37057</v>
      </c>
      <c r="E1568" s="1" t="s">
        <v>3214</v>
      </c>
      <c r="F1568" s="1" t="s">
        <v>13</v>
      </c>
    </row>
    <row r="1569" spans="1:6" ht="30" customHeight="1" x14ac:dyDescent="0.25">
      <c r="A1569" s="1" t="s">
        <v>3215</v>
      </c>
      <c r="B1569" s="1" t="str">
        <f>"9780080530130"</f>
        <v>9780080530130</v>
      </c>
      <c r="C1569" s="1" t="s">
        <v>900</v>
      </c>
      <c r="D1569" s="2">
        <v>38636</v>
      </c>
      <c r="E1569" s="1" t="s">
        <v>3216</v>
      </c>
      <c r="F1569" s="1" t="s">
        <v>13</v>
      </c>
    </row>
    <row r="1570" spans="1:6" ht="30" customHeight="1" x14ac:dyDescent="0.25">
      <c r="A1570" s="1" t="s">
        <v>3217</v>
      </c>
      <c r="B1570" s="1" t="str">
        <f>"9780080546186"</f>
        <v>9780080546186</v>
      </c>
      <c r="C1570" s="1" t="s">
        <v>900</v>
      </c>
      <c r="D1570" s="2">
        <v>40385</v>
      </c>
      <c r="E1570" s="1" t="s">
        <v>3218</v>
      </c>
      <c r="F1570" s="1" t="s">
        <v>349</v>
      </c>
    </row>
    <row r="1571" spans="1:6" ht="30" customHeight="1" x14ac:dyDescent="0.25">
      <c r="A1571" s="1" t="s">
        <v>3219</v>
      </c>
      <c r="B1571" s="1" t="str">
        <f>"9780080545943"</f>
        <v>9780080545943</v>
      </c>
      <c r="C1571" s="1" t="s">
        <v>900</v>
      </c>
      <c r="D1571" s="2">
        <v>40387</v>
      </c>
      <c r="E1571" s="1" t="s">
        <v>3220</v>
      </c>
      <c r="F1571" s="1" t="s">
        <v>117</v>
      </c>
    </row>
    <row r="1572" spans="1:6" ht="30" customHeight="1" x14ac:dyDescent="0.25">
      <c r="A1572" s="1" t="s">
        <v>3221</v>
      </c>
      <c r="B1572" s="1" t="str">
        <f>"9781897414897"</f>
        <v>9781897414897</v>
      </c>
      <c r="C1572" s="1" t="s">
        <v>3222</v>
      </c>
      <c r="D1572" s="2">
        <v>41787</v>
      </c>
      <c r="E1572" s="1" t="s">
        <v>3223</v>
      </c>
      <c r="F1572" s="1" t="s">
        <v>87</v>
      </c>
    </row>
    <row r="1573" spans="1:6" ht="30" customHeight="1" x14ac:dyDescent="0.25">
      <c r="A1573" s="1" t="s">
        <v>3224</v>
      </c>
      <c r="B1573" s="1" t="str">
        <f>"9780833041029"</f>
        <v>9780833041029</v>
      </c>
      <c r="C1573" s="1" t="s">
        <v>516</v>
      </c>
      <c r="D1573" s="2">
        <v>38604</v>
      </c>
      <c r="E1573" s="1" t="s">
        <v>3225</v>
      </c>
      <c r="F1573" s="1" t="s">
        <v>95</v>
      </c>
    </row>
    <row r="1574" spans="1:6" ht="30" customHeight="1" x14ac:dyDescent="0.25">
      <c r="A1574" s="1" t="s">
        <v>3226</v>
      </c>
      <c r="B1574" s="1" t="str">
        <f>"9780833040749"</f>
        <v>9780833040749</v>
      </c>
      <c r="C1574" s="1" t="s">
        <v>516</v>
      </c>
      <c r="D1574" s="2">
        <v>38869</v>
      </c>
      <c r="E1574" s="1" t="s">
        <v>3227</v>
      </c>
      <c r="F1574" s="1" t="s">
        <v>95</v>
      </c>
    </row>
    <row r="1575" spans="1:6" ht="30" customHeight="1" x14ac:dyDescent="0.25">
      <c r="A1575" s="1" t="s">
        <v>3228</v>
      </c>
      <c r="B1575" s="1" t="str">
        <f>"9780123785978"</f>
        <v>9780123785978</v>
      </c>
      <c r="C1575" s="1" t="s">
        <v>900</v>
      </c>
      <c r="D1575" s="2">
        <v>38007</v>
      </c>
      <c r="E1575" s="1" t="s">
        <v>3229</v>
      </c>
      <c r="F1575" s="1" t="s">
        <v>176</v>
      </c>
    </row>
    <row r="1576" spans="1:6" ht="30" customHeight="1" x14ac:dyDescent="0.25">
      <c r="A1576" s="1" t="s">
        <v>3230</v>
      </c>
      <c r="B1576" s="1" t="str">
        <f>"9780080502182"</f>
        <v>9780080502182</v>
      </c>
      <c r="C1576" s="1" t="s">
        <v>900</v>
      </c>
      <c r="D1576" s="2">
        <v>37407</v>
      </c>
      <c r="E1576" s="1" t="s">
        <v>3231</v>
      </c>
      <c r="F1576" s="1" t="s">
        <v>13</v>
      </c>
    </row>
    <row r="1577" spans="1:6" ht="30" customHeight="1" x14ac:dyDescent="0.25">
      <c r="A1577" s="1" t="s">
        <v>3232</v>
      </c>
      <c r="B1577" s="1" t="str">
        <f>"9780080525297"</f>
        <v>9780080525297</v>
      </c>
      <c r="C1577" s="1" t="s">
        <v>900</v>
      </c>
      <c r="D1577" s="2">
        <v>40661</v>
      </c>
      <c r="E1577" s="1" t="s">
        <v>3233</v>
      </c>
      <c r="F1577" s="1" t="s">
        <v>13</v>
      </c>
    </row>
    <row r="1578" spans="1:6" ht="30" customHeight="1" x14ac:dyDescent="0.25">
      <c r="A1578" s="1" t="s">
        <v>3234</v>
      </c>
      <c r="B1578" s="1" t="str">
        <f>"9780080525334"</f>
        <v>9780080525334</v>
      </c>
      <c r="C1578" s="1" t="s">
        <v>900</v>
      </c>
      <c r="D1578" s="2">
        <v>36747</v>
      </c>
      <c r="E1578" s="1" t="s">
        <v>3235</v>
      </c>
      <c r="F1578" s="1" t="s">
        <v>70</v>
      </c>
    </row>
    <row r="1579" spans="1:6" ht="30" customHeight="1" x14ac:dyDescent="0.25">
      <c r="A1579" s="1" t="s">
        <v>3236</v>
      </c>
      <c r="B1579" s="1" t="str">
        <f>"9780520939202"</f>
        <v>9780520939202</v>
      </c>
      <c r="C1579" s="1" t="s">
        <v>818</v>
      </c>
      <c r="D1579" s="2">
        <v>38786</v>
      </c>
      <c r="E1579" s="1" t="s">
        <v>3237</v>
      </c>
      <c r="F1579" s="1" t="s">
        <v>286</v>
      </c>
    </row>
    <row r="1580" spans="1:6" ht="30" customHeight="1" x14ac:dyDescent="0.25">
      <c r="A1580" s="1" t="s">
        <v>3238</v>
      </c>
      <c r="B1580" s="1" t="str">
        <f>"9780470134962"</f>
        <v>9780470134962</v>
      </c>
      <c r="C1580" s="1" t="s">
        <v>11</v>
      </c>
      <c r="D1580" s="2">
        <v>39272</v>
      </c>
      <c r="E1580" s="1" t="s">
        <v>3239</v>
      </c>
      <c r="F1580" s="1" t="s">
        <v>137</v>
      </c>
    </row>
    <row r="1581" spans="1:6" ht="30" customHeight="1" x14ac:dyDescent="0.25">
      <c r="A1581" s="1" t="s">
        <v>3240</v>
      </c>
      <c r="B1581" s="1" t="str">
        <f>"9781607502425"</f>
        <v>9781607502425</v>
      </c>
      <c r="C1581" s="1" t="s">
        <v>1390</v>
      </c>
      <c r="D1581" s="2">
        <v>39189</v>
      </c>
      <c r="E1581" s="1" t="s">
        <v>3241</v>
      </c>
      <c r="F1581" s="1" t="s">
        <v>13</v>
      </c>
    </row>
    <row r="1582" spans="1:6" ht="30" customHeight="1" x14ac:dyDescent="0.25">
      <c r="A1582" s="1" t="s">
        <v>3242</v>
      </c>
      <c r="B1582" s="1" t="str">
        <f>"9781607502500"</f>
        <v>9781607502500</v>
      </c>
      <c r="C1582" s="1" t="s">
        <v>1390</v>
      </c>
      <c r="D1582" s="2">
        <v>39233</v>
      </c>
      <c r="E1582" s="1" t="s">
        <v>3243</v>
      </c>
      <c r="F1582" s="1" t="s">
        <v>13</v>
      </c>
    </row>
    <row r="1583" spans="1:6" ht="30" customHeight="1" x14ac:dyDescent="0.25">
      <c r="A1583" s="1" t="s">
        <v>3244</v>
      </c>
      <c r="B1583" s="1" t="str">
        <f>"9789289072908"</f>
        <v>9789289072908</v>
      </c>
      <c r="C1583" s="1" t="s">
        <v>1981</v>
      </c>
      <c r="D1583" s="2">
        <v>38718</v>
      </c>
      <c r="E1583" s="1" t="s">
        <v>3245</v>
      </c>
      <c r="F1583" s="1" t="s">
        <v>3246</v>
      </c>
    </row>
    <row r="1584" spans="1:6" ht="30" customHeight="1" x14ac:dyDescent="0.25">
      <c r="A1584" s="1" t="s">
        <v>3247</v>
      </c>
      <c r="B1584" s="1" t="str">
        <f>"9789240682184"</f>
        <v>9789240682184</v>
      </c>
      <c r="C1584" s="1" t="s">
        <v>1981</v>
      </c>
      <c r="D1584" s="2">
        <v>38718</v>
      </c>
      <c r="E1584" s="1" t="s">
        <v>3248</v>
      </c>
      <c r="F1584" s="1" t="s">
        <v>33</v>
      </c>
    </row>
    <row r="1585" spans="1:6" ht="30" customHeight="1" x14ac:dyDescent="0.25">
      <c r="A1585" s="1" t="s">
        <v>3249</v>
      </c>
      <c r="B1585" s="1" t="str">
        <f>"9789240682306"</f>
        <v>9789240682306</v>
      </c>
      <c r="C1585" s="1" t="s">
        <v>1981</v>
      </c>
      <c r="D1585" s="2">
        <v>38718</v>
      </c>
      <c r="E1585" s="1" t="s">
        <v>3250</v>
      </c>
      <c r="F1585" s="1" t="s">
        <v>480</v>
      </c>
    </row>
    <row r="1586" spans="1:6" ht="30" customHeight="1" x14ac:dyDescent="0.25">
      <c r="A1586" s="1" t="s">
        <v>3251</v>
      </c>
      <c r="B1586" s="1" t="str">
        <f>"9789289072915"</f>
        <v>9789289072915</v>
      </c>
      <c r="C1586" s="1" t="s">
        <v>1981</v>
      </c>
      <c r="D1586" s="2">
        <v>38718</v>
      </c>
      <c r="E1586" s="1" t="s">
        <v>3252</v>
      </c>
      <c r="F1586" s="1" t="s">
        <v>356</v>
      </c>
    </row>
    <row r="1587" spans="1:6" ht="30" customHeight="1" x14ac:dyDescent="0.25">
      <c r="A1587" s="1" t="s">
        <v>3253</v>
      </c>
      <c r="B1587" s="1" t="str">
        <f>"9789291736041"</f>
        <v>9789291736041</v>
      </c>
      <c r="C1587" s="1" t="s">
        <v>1981</v>
      </c>
      <c r="D1587" s="2">
        <v>38718</v>
      </c>
      <c r="E1587" s="1" t="s">
        <v>2116</v>
      </c>
      <c r="F1587" s="1" t="s">
        <v>158</v>
      </c>
    </row>
    <row r="1588" spans="1:6" ht="30" customHeight="1" x14ac:dyDescent="0.25">
      <c r="A1588" s="1" t="s">
        <v>3254</v>
      </c>
      <c r="B1588" s="1" t="str">
        <f>"9789291736034"</f>
        <v>9789291736034</v>
      </c>
      <c r="C1588" s="1" t="s">
        <v>1981</v>
      </c>
      <c r="D1588" s="2">
        <v>38718</v>
      </c>
      <c r="E1588" s="1" t="s">
        <v>2116</v>
      </c>
      <c r="F1588" s="1" t="s">
        <v>95</v>
      </c>
    </row>
    <row r="1589" spans="1:6" ht="30" customHeight="1" x14ac:dyDescent="0.25">
      <c r="A1589" s="1" t="s">
        <v>3255</v>
      </c>
      <c r="B1589" s="1" t="str">
        <f>"9789240682221"</f>
        <v>9789240682221</v>
      </c>
      <c r="C1589" s="1" t="s">
        <v>1981</v>
      </c>
      <c r="D1589" s="2">
        <v>38718</v>
      </c>
      <c r="E1589" s="1" t="s">
        <v>3256</v>
      </c>
      <c r="F1589" s="1" t="s">
        <v>1349</v>
      </c>
    </row>
    <row r="1590" spans="1:6" ht="30" customHeight="1" x14ac:dyDescent="0.25">
      <c r="A1590" s="1" t="s">
        <v>3257</v>
      </c>
      <c r="B1590" s="1" t="str">
        <f>"9789291736027"</f>
        <v>9789291736027</v>
      </c>
      <c r="C1590" s="1" t="s">
        <v>1981</v>
      </c>
      <c r="D1590" s="2">
        <v>38718</v>
      </c>
      <c r="E1590" s="1" t="s">
        <v>2116</v>
      </c>
      <c r="F1590" s="1" t="s">
        <v>30</v>
      </c>
    </row>
    <row r="1591" spans="1:6" ht="30" customHeight="1" x14ac:dyDescent="0.25">
      <c r="A1591" s="1" t="s">
        <v>3258</v>
      </c>
      <c r="B1591" s="1" t="str">
        <f>"9789240682207"</f>
        <v>9789240682207</v>
      </c>
      <c r="C1591" s="1" t="s">
        <v>1981</v>
      </c>
      <c r="D1591" s="2">
        <v>39083</v>
      </c>
      <c r="E1591" s="1" t="s">
        <v>3256</v>
      </c>
      <c r="F1591" s="1" t="s">
        <v>95</v>
      </c>
    </row>
    <row r="1592" spans="1:6" ht="30" customHeight="1" x14ac:dyDescent="0.25">
      <c r="A1592" s="1" t="s">
        <v>3259</v>
      </c>
      <c r="B1592" s="1" t="str">
        <f>"9789240682269"</f>
        <v>9789240682269</v>
      </c>
      <c r="C1592" s="1" t="s">
        <v>1981</v>
      </c>
      <c r="D1592" s="2">
        <v>38718</v>
      </c>
      <c r="E1592" s="1" t="s">
        <v>3260</v>
      </c>
      <c r="F1592" s="1" t="s">
        <v>3261</v>
      </c>
    </row>
    <row r="1593" spans="1:6" ht="30" customHeight="1" x14ac:dyDescent="0.25">
      <c r="A1593" s="1" t="s">
        <v>3262</v>
      </c>
      <c r="B1593" s="1" t="str">
        <f>"9789240682177"</f>
        <v>9789240682177</v>
      </c>
      <c r="C1593" s="1" t="s">
        <v>1981</v>
      </c>
      <c r="D1593" s="2">
        <v>38718</v>
      </c>
      <c r="E1593" s="1" t="s">
        <v>3256</v>
      </c>
      <c r="F1593" s="1" t="s">
        <v>95</v>
      </c>
    </row>
    <row r="1594" spans="1:6" ht="30" customHeight="1" x14ac:dyDescent="0.25">
      <c r="A1594" s="1" t="s">
        <v>3263</v>
      </c>
      <c r="B1594" s="1" t="str">
        <f>"9789240682238"</f>
        <v>9789240682238</v>
      </c>
      <c r="C1594" s="1" t="s">
        <v>1981</v>
      </c>
      <c r="D1594" s="2">
        <v>38718</v>
      </c>
      <c r="E1594" s="1" t="s">
        <v>3264</v>
      </c>
      <c r="F1594" s="1" t="s">
        <v>95</v>
      </c>
    </row>
    <row r="1595" spans="1:6" ht="30" customHeight="1" x14ac:dyDescent="0.25">
      <c r="A1595" s="1" t="s">
        <v>3265</v>
      </c>
      <c r="B1595" s="1" t="str">
        <f>"9789291736065"</f>
        <v>9789291736065</v>
      </c>
      <c r="C1595" s="1" t="s">
        <v>1981</v>
      </c>
      <c r="D1595" s="2">
        <v>39083</v>
      </c>
      <c r="E1595" s="1" t="s">
        <v>2116</v>
      </c>
      <c r="F1595" s="1" t="s">
        <v>95</v>
      </c>
    </row>
    <row r="1596" spans="1:6" ht="30" customHeight="1" x14ac:dyDescent="0.25">
      <c r="A1596" s="1" t="s">
        <v>3266</v>
      </c>
      <c r="B1596" s="1" t="str">
        <f>"9789240682139"</f>
        <v>9789240682139</v>
      </c>
      <c r="C1596" s="1" t="s">
        <v>1981</v>
      </c>
      <c r="D1596" s="2">
        <v>39083</v>
      </c>
      <c r="E1596" s="1" t="s">
        <v>3256</v>
      </c>
      <c r="F1596" s="1" t="s">
        <v>3267</v>
      </c>
    </row>
    <row r="1597" spans="1:6" ht="30" customHeight="1" x14ac:dyDescent="0.25">
      <c r="A1597" s="1" t="s">
        <v>3268</v>
      </c>
      <c r="B1597" s="1" t="str">
        <f>"9789240682191"</f>
        <v>9789240682191</v>
      </c>
      <c r="C1597" s="1" t="s">
        <v>1981</v>
      </c>
      <c r="D1597" s="2">
        <v>38353</v>
      </c>
      <c r="E1597" s="1" t="s">
        <v>3269</v>
      </c>
      <c r="F1597" s="1" t="s">
        <v>54</v>
      </c>
    </row>
    <row r="1598" spans="1:6" ht="30" customHeight="1" x14ac:dyDescent="0.25">
      <c r="A1598" s="1" t="s">
        <v>3270</v>
      </c>
      <c r="B1598" s="1" t="str">
        <f>"9789240682283"</f>
        <v>9789240682283</v>
      </c>
      <c r="C1598" s="1" t="s">
        <v>1981</v>
      </c>
      <c r="D1598" s="2">
        <v>38718</v>
      </c>
      <c r="E1598" s="1" t="s">
        <v>3256</v>
      </c>
      <c r="F1598" s="1" t="s">
        <v>3271</v>
      </c>
    </row>
    <row r="1599" spans="1:6" ht="30" customHeight="1" x14ac:dyDescent="0.25">
      <c r="A1599" s="1" t="s">
        <v>3272</v>
      </c>
      <c r="B1599" s="1" t="str">
        <f>"9789789289011"</f>
        <v>9789789289011</v>
      </c>
      <c r="C1599" s="1" t="s">
        <v>1981</v>
      </c>
      <c r="D1599" s="2">
        <v>39052</v>
      </c>
      <c r="E1599" s="1" t="s">
        <v>3273</v>
      </c>
      <c r="F1599" s="1" t="s">
        <v>176</v>
      </c>
    </row>
    <row r="1600" spans="1:6" ht="30" customHeight="1" x14ac:dyDescent="0.25">
      <c r="A1600" s="1" t="s">
        <v>3274</v>
      </c>
      <c r="B1600" s="1" t="str">
        <f>"9789240682276"</f>
        <v>9789240682276</v>
      </c>
      <c r="C1600" s="1" t="s">
        <v>1981</v>
      </c>
      <c r="D1600" s="2">
        <v>39083</v>
      </c>
      <c r="E1600" s="1" t="s">
        <v>3256</v>
      </c>
      <c r="F1600" s="1" t="s">
        <v>137</v>
      </c>
    </row>
    <row r="1601" spans="1:6" ht="30" customHeight="1" x14ac:dyDescent="0.25">
      <c r="A1601" s="1" t="s">
        <v>3275</v>
      </c>
      <c r="B1601" s="1" t="str">
        <f>"9789240682115"</f>
        <v>9789240682115</v>
      </c>
      <c r="C1601" s="1" t="s">
        <v>1981</v>
      </c>
      <c r="D1601" s="2">
        <v>39083</v>
      </c>
      <c r="E1601" s="1" t="s">
        <v>3256</v>
      </c>
      <c r="F1601" s="1" t="s">
        <v>30</v>
      </c>
    </row>
    <row r="1602" spans="1:6" ht="30" customHeight="1" x14ac:dyDescent="0.25">
      <c r="A1602" s="1" t="s">
        <v>3276</v>
      </c>
      <c r="B1602" s="1" t="str">
        <f>"9780080548241"</f>
        <v>9780080548241</v>
      </c>
      <c r="C1602" s="1" t="s">
        <v>900</v>
      </c>
      <c r="D1602" s="2">
        <v>39293</v>
      </c>
      <c r="E1602" s="1" t="s">
        <v>3277</v>
      </c>
      <c r="F1602" s="1" t="s">
        <v>268</v>
      </c>
    </row>
    <row r="1603" spans="1:6" ht="30" customHeight="1" x14ac:dyDescent="0.25">
      <c r="A1603" s="1" t="s">
        <v>3278</v>
      </c>
      <c r="B1603" s="1" t="str">
        <f>"9780080548395"</f>
        <v>9780080548395</v>
      </c>
      <c r="C1603" s="1" t="s">
        <v>900</v>
      </c>
      <c r="D1603" s="2">
        <v>38889</v>
      </c>
      <c r="E1603" s="1" t="s">
        <v>3279</v>
      </c>
      <c r="F1603" s="1" t="s">
        <v>95</v>
      </c>
    </row>
    <row r="1604" spans="1:6" ht="30" customHeight="1" x14ac:dyDescent="0.25">
      <c r="A1604" s="1" t="s">
        <v>3280</v>
      </c>
      <c r="B1604" s="1" t="str">
        <f>"9780080533117"</f>
        <v>9780080533117</v>
      </c>
      <c r="C1604" s="1" t="s">
        <v>900</v>
      </c>
      <c r="D1604" s="2">
        <v>34995</v>
      </c>
      <c r="E1604" s="1" t="s">
        <v>3281</v>
      </c>
      <c r="F1604" s="1" t="s">
        <v>200</v>
      </c>
    </row>
    <row r="1605" spans="1:6" ht="30" customHeight="1" x14ac:dyDescent="0.25">
      <c r="A1605" s="1" t="s">
        <v>3282</v>
      </c>
      <c r="B1605" s="1" t="str">
        <f>"9780080549057"</f>
        <v>9780080549057</v>
      </c>
      <c r="C1605" s="1" t="s">
        <v>900</v>
      </c>
      <c r="D1605" s="2">
        <v>39254</v>
      </c>
      <c r="E1605" s="1" t="s">
        <v>3283</v>
      </c>
      <c r="F1605" s="1" t="s">
        <v>13</v>
      </c>
    </row>
    <row r="1606" spans="1:6" ht="30" customHeight="1" x14ac:dyDescent="0.25">
      <c r="A1606" s="1" t="s">
        <v>3284</v>
      </c>
      <c r="B1606" s="1" t="str">
        <f>"9781845444624"</f>
        <v>9781845444624</v>
      </c>
      <c r="C1606" s="1" t="s">
        <v>971</v>
      </c>
      <c r="D1606" s="2">
        <v>37628</v>
      </c>
      <c r="E1606" s="1" t="s">
        <v>3285</v>
      </c>
      <c r="F1606" s="1" t="s">
        <v>95</v>
      </c>
    </row>
    <row r="1607" spans="1:6" ht="30" customHeight="1" x14ac:dyDescent="0.25">
      <c r="A1607" s="1" t="s">
        <v>3286</v>
      </c>
      <c r="B1607" s="1" t="str">
        <f>"9781934559505"</f>
        <v>9781934559505</v>
      </c>
      <c r="C1607" s="1" t="s">
        <v>2342</v>
      </c>
      <c r="D1607" s="2">
        <v>39083</v>
      </c>
      <c r="E1607" s="1" t="s">
        <v>3287</v>
      </c>
      <c r="F1607" s="1" t="s">
        <v>13</v>
      </c>
    </row>
    <row r="1608" spans="1:6" ht="30" customHeight="1" x14ac:dyDescent="0.25">
      <c r="A1608" s="1" t="s">
        <v>3288</v>
      </c>
      <c r="B1608" s="1" t="str">
        <f>"9781934559529"</f>
        <v>9781934559529</v>
      </c>
      <c r="C1608" s="1" t="s">
        <v>2339</v>
      </c>
      <c r="D1608" s="2">
        <v>39078</v>
      </c>
      <c r="E1608" s="1" t="s">
        <v>3289</v>
      </c>
      <c r="F1608" s="1" t="s">
        <v>13</v>
      </c>
    </row>
    <row r="1609" spans="1:6" ht="30" customHeight="1" x14ac:dyDescent="0.25">
      <c r="A1609" s="1" t="s">
        <v>3290</v>
      </c>
      <c r="B1609" s="1" t="str">
        <f>"9781934559741"</f>
        <v>9781934559741</v>
      </c>
      <c r="C1609" s="1" t="s">
        <v>2339</v>
      </c>
      <c r="D1609" s="2">
        <v>39069</v>
      </c>
      <c r="E1609" s="1" t="s">
        <v>3291</v>
      </c>
      <c r="F1609" s="1" t="s">
        <v>13</v>
      </c>
    </row>
    <row r="1610" spans="1:6" ht="30" customHeight="1" x14ac:dyDescent="0.25">
      <c r="A1610" s="1" t="s">
        <v>3292</v>
      </c>
      <c r="B1610" s="1" t="str">
        <f>"9780826114518"</f>
        <v>9780826114518</v>
      </c>
      <c r="C1610" s="1" t="s">
        <v>2339</v>
      </c>
      <c r="D1610" s="2">
        <v>39783</v>
      </c>
      <c r="E1610" s="1" t="s">
        <v>3293</v>
      </c>
      <c r="F1610" s="1" t="s">
        <v>3294</v>
      </c>
    </row>
    <row r="1611" spans="1:6" ht="30" customHeight="1" x14ac:dyDescent="0.25">
      <c r="A1611" s="1" t="s">
        <v>3295</v>
      </c>
      <c r="B1611" s="1" t="str">
        <f>"9780826103673"</f>
        <v>9780826103673</v>
      </c>
      <c r="C1611" s="1" t="s">
        <v>2339</v>
      </c>
      <c r="D1611" s="2">
        <v>39503</v>
      </c>
      <c r="E1611" s="1" t="s">
        <v>3296</v>
      </c>
      <c r="F1611" s="1" t="s">
        <v>126</v>
      </c>
    </row>
    <row r="1612" spans="1:6" ht="30" customHeight="1" x14ac:dyDescent="0.25">
      <c r="A1612" s="1" t="s">
        <v>3297</v>
      </c>
      <c r="B1612" s="1" t="str">
        <f>"9780826103123"</f>
        <v>9780826103123</v>
      </c>
      <c r="C1612" s="1" t="s">
        <v>2339</v>
      </c>
      <c r="D1612" s="2">
        <v>39783</v>
      </c>
      <c r="E1612" s="1" t="s">
        <v>3298</v>
      </c>
      <c r="F1612" s="1" t="s">
        <v>13</v>
      </c>
    </row>
    <row r="1613" spans="1:6" ht="30" customHeight="1" x14ac:dyDescent="0.25">
      <c r="A1613" s="1" t="s">
        <v>3299</v>
      </c>
      <c r="B1613" s="1" t="str">
        <f>"9780826103680"</f>
        <v>9780826103680</v>
      </c>
      <c r="C1613" s="1" t="s">
        <v>2339</v>
      </c>
      <c r="D1613" s="2">
        <v>39402</v>
      </c>
      <c r="E1613" s="1" t="s">
        <v>3300</v>
      </c>
      <c r="F1613" s="1" t="s">
        <v>95</v>
      </c>
    </row>
    <row r="1614" spans="1:6" ht="30" customHeight="1" x14ac:dyDescent="0.25">
      <c r="A1614" s="1" t="s">
        <v>3301</v>
      </c>
      <c r="B1614" s="1" t="str">
        <f>"9780520939486"</f>
        <v>9780520939486</v>
      </c>
      <c r="C1614" s="1" t="s">
        <v>818</v>
      </c>
      <c r="D1614" s="2">
        <v>39098</v>
      </c>
      <c r="E1614" s="1" t="s">
        <v>3302</v>
      </c>
      <c r="F1614" s="1" t="s">
        <v>95</v>
      </c>
    </row>
    <row r="1615" spans="1:6" ht="30" customHeight="1" x14ac:dyDescent="0.25">
      <c r="A1615" s="1" t="s">
        <v>3303</v>
      </c>
      <c r="B1615" s="1" t="str">
        <f>"9780080535210"</f>
        <v>9780080535210</v>
      </c>
      <c r="C1615" s="1" t="s">
        <v>900</v>
      </c>
      <c r="D1615" s="2">
        <v>36453</v>
      </c>
      <c r="E1615" s="1" t="s">
        <v>3304</v>
      </c>
      <c r="F1615" s="1" t="s">
        <v>359</v>
      </c>
    </row>
    <row r="1616" spans="1:6" ht="30" customHeight="1" x14ac:dyDescent="0.25">
      <c r="A1616" s="1" t="s">
        <v>3305</v>
      </c>
      <c r="B1616" s="1" t="str">
        <f>"9780080533452"</f>
        <v>9780080533452</v>
      </c>
      <c r="C1616" s="1" t="s">
        <v>900</v>
      </c>
      <c r="D1616" s="2">
        <v>38734</v>
      </c>
      <c r="E1616" s="1" t="s">
        <v>3306</v>
      </c>
      <c r="F1616" s="1" t="s">
        <v>2130</v>
      </c>
    </row>
    <row r="1617" spans="1:6" ht="30" customHeight="1" x14ac:dyDescent="0.25">
      <c r="A1617" s="1" t="s">
        <v>3307</v>
      </c>
      <c r="B1617" s="1" t="str">
        <f>"9781593856182"</f>
        <v>9781593856182</v>
      </c>
      <c r="C1617" s="1" t="s">
        <v>3308</v>
      </c>
      <c r="D1617" s="2">
        <v>41773</v>
      </c>
      <c r="E1617" s="1" t="s">
        <v>3309</v>
      </c>
      <c r="F1617" s="1" t="s">
        <v>13</v>
      </c>
    </row>
    <row r="1618" spans="1:6" ht="30" customHeight="1" x14ac:dyDescent="0.25">
      <c r="A1618" s="1" t="s">
        <v>3310</v>
      </c>
      <c r="B1618" s="1" t="str">
        <f>"9781593855017"</f>
        <v>9781593855017</v>
      </c>
      <c r="C1618" s="1" t="s">
        <v>3308</v>
      </c>
      <c r="D1618" s="2">
        <v>41773</v>
      </c>
      <c r="E1618" s="1" t="s">
        <v>3311</v>
      </c>
      <c r="F1618" s="1" t="s">
        <v>13</v>
      </c>
    </row>
    <row r="1619" spans="1:6" ht="30" customHeight="1" x14ac:dyDescent="0.25">
      <c r="A1619" s="1" t="s">
        <v>3312</v>
      </c>
      <c r="B1619" s="1" t="str">
        <f>"9781593855574"</f>
        <v>9781593855574</v>
      </c>
      <c r="C1619" s="1" t="s">
        <v>3308</v>
      </c>
      <c r="D1619" s="2">
        <v>41787</v>
      </c>
      <c r="E1619" s="1" t="s">
        <v>3313</v>
      </c>
      <c r="F1619" s="1" t="s">
        <v>13</v>
      </c>
    </row>
    <row r="1620" spans="1:6" ht="30" customHeight="1" x14ac:dyDescent="0.25">
      <c r="A1620" s="1" t="s">
        <v>3314</v>
      </c>
      <c r="B1620" s="1" t="str">
        <f>"9781593855048"</f>
        <v>9781593855048</v>
      </c>
      <c r="C1620" s="1" t="s">
        <v>3308</v>
      </c>
      <c r="D1620" s="2">
        <v>41773</v>
      </c>
      <c r="E1620" s="1" t="s">
        <v>3315</v>
      </c>
      <c r="F1620" s="1" t="s">
        <v>650</v>
      </c>
    </row>
    <row r="1621" spans="1:6" ht="30" customHeight="1" x14ac:dyDescent="0.25">
      <c r="A1621" s="1" t="s">
        <v>3316</v>
      </c>
      <c r="B1621" s="1" t="str">
        <f>"9781593855475"</f>
        <v>9781593855475</v>
      </c>
      <c r="C1621" s="1" t="s">
        <v>3308</v>
      </c>
      <c r="D1621" s="2">
        <v>41787</v>
      </c>
      <c r="E1621" s="1" t="s">
        <v>3317</v>
      </c>
      <c r="F1621" s="1" t="s">
        <v>13</v>
      </c>
    </row>
    <row r="1622" spans="1:6" ht="30" customHeight="1" x14ac:dyDescent="0.25">
      <c r="A1622" s="1" t="s">
        <v>3318</v>
      </c>
      <c r="B1622" s="1" t="str">
        <f>"9781593855062"</f>
        <v>9781593855062</v>
      </c>
      <c r="C1622" s="1" t="s">
        <v>3308</v>
      </c>
      <c r="D1622" s="2">
        <v>41773</v>
      </c>
      <c r="E1622" s="1" t="s">
        <v>3319</v>
      </c>
      <c r="F1622" s="1" t="s">
        <v>104</v>
      </c>
    </row>
    <row r="1623" spans="1:6" ht="30" customHeight="1" x14ac:dyDescent="0.25">
      <c r="A1623" s="1" t="s">
        <v>3320</v>
      </c>
      <c r="B1623" s="1" t="str">
        <f>"9781593855086"</f>
        <v>9781593855086</v>
      </c>
      <c r="C1623" s="1" t="s">
        <v>3308</v>
      </c>
      <c r="D1623" s="2">
        <v>41773</v>
      </c>
      <c r="E1623" s="1" t="s">
        <v>3321</v>
      </c>
      <c r="F1623" s="1" t="s">
        <v>13</v>
      </c>
    </row>
    <row r="1624" spans="1:6" ht="30" customHeight="1" x14ac:dyDescent="0.25">
      <c r="A1624" s="1" t="s">
        <v>3322</v>
      </c>
      <c r="B1624" s="1" t="str">
        <f>"9781593856199"</f>
        <v>9781593856199</v>
      </c>
      <c r="C1624" s="1" t="s">
        <v>3308</v>
      </c>
      <c r="D1624" s="2">
        <v>41773</v>
      </c>
      <c r="E1624" s="1" t="s">
        <v>3323</v>
      </c>
      <c r="F1624" s="1" t="s">
        <v>13</v>
      </c>
    </row>
    <row r="1625" spans="1:6" ht="30" customHeight="1" x14ac:dyDescent="0.25">
      <c r="A1625" s="1" t="s">
        <v>3324</v>
      </c>
      <c r="B1625" s="1" t="str">
        <f>"9781593855444"</f>
        <v>9781593855444</v>
      </c>
      <c r="C1625" s="1" t="s">
        <v>3308</v>
      </c>
      <c r="D1625" s="2">
        <v>41787</v>
      </c>
      <c r="E1625" s="1" t="s">
        <v>3325</v>
      </c>
      <c r="F1625" s="1" t="s">
        <v>127</v>
      </c>
    </row>
    <row r="1626" spans="1:6" ht="30" customHeight="1" x14ac:dyDescent="0.25">
      <c r="A1626" s="1" t="s">
        <v>3326</v>
      </c>
      <c r="B1626" s="1" t="str">
        <f>"9781593855154"</f>
        <v>9781593855154</v>
      </c>
      <c r="C1626" s="1" t="s">
        <v>3308</v>
      </c>
      <c r="D1626" s="2">
        <v>41773</v>
      </c>
      <c r="E1626" s="1" t="s">
        <v>3327</v>
      </c>
      <c r="F1626" s="1" t="s">
        <v>3328</v>
      </c>
    </row>
    <row r="1627" spans="1:6" ht="30" customHeight="1" x14ac:dyDescent="0.25">
      <c r="A1627" s="1" t="s">
        <v>3329</v>
      </c>
      <c r="B1627" s="1" t="str">
        <f>"9781593856236"</f>
        <v>9781593856236</v>
      </c>
      <c r="C1627" s="1" t="s">
        <v>3308</v>
      </c>
      <c r="D1627" s="2">
        <v>41773</v>
      </c>
      <c r="E1627" s="1" t="s">
        <v>3330</v>
      </c>
      <c r="F1627" s="1" t="s">
        <v>13</v>
      </c>
    </row>
    <row r="1628" spans="1:6" ht="30" customHeight="1" x14ac:dyDescent="0.25">
      <c r="A1628" s="1" t="s">
        <v>3331</v>
      </c>
      <c r="B1628" s="1" t="str">
        <f>"9781593855529"</f>
        <v>9781593855529</v>
      </c>
      <c r="C1628" s="1" t="s">
        <v>3308</v>
      </c>
      <c r="D1628" s="2">
        <v>41787</v>
      </c>
      <c r="E1628" s="1" t="s">
        <v>3332</v>
      </c>
      <c r="F1628" s="1" t="s">
        <v>13</v>
      </c>
    </row>
    <row r="1629" spans="1:6" ht="30" customHeight="1" x14ac:dyDescent="0.25">
      <c r="A1629" s="1" t="s">
        <v>3333</v>
      </c>
      <c r="B1629" s="1" t="str">
        <f>"9781593855512"</f>
        <v>9781593855512</v>
      </c>
      <c r="C1629" s="1" t="s">
        <v>3308</v>
      </c>
      <c r="D1629" s="2">
        <v>41787</v>
      </c>
      <c r="E1629" s="1" t="s">
        <v>3334</v>
      </c>
      <c r="F1629" s="1" t="s">
        <v>13</v>
      </c>
    </row>
    <row r="1630" spans="1:6" ht="30" customHeight="1" x14ac:dyDescent="0.25">
      <c r="A1630" s="1" t="s">
        <v>3335</v>
      </c>
      <c r="B1630" s="1" t="str">
        <f>"9781593856274"</f>
        <v>9781593856274</v>
      </c>
      <c r="C1630" s="1" t="s">
        <v>3308</v>
      </c>
      <c r="D1630" s="2">
        <v>41773</v>
      </c>
      <c r="E1630" s="1" t="s">
        <v>3336</v>
      </c>
      <c r="F1630" s="1" t="s">
        <v>395</v>
      </c>
    </row>
    <row r="1631" spans="1:6" ht="30" customHeight="1" x14ac:dyDescent="0.25">
      <c r="A1631" s="1" t="s">
        <v>3337</v>
      </c>
      <c r="B1631" s="1" t="str">
        <f>"9781593856281"</f>
        <v>9781593856281</v>
      </c>
      <c r="C1631" s="1" t="s">
        <v>3308</v>
      </c>
      <c r="D1631" s="2">
        <v>41143</v>
      </c>
      <c r="E1631" s="1" t="s">
        <v>3338</v>
      </c>
      <c r="F1631" s="1" t="s">
        <v>13</v>
      </c>
    </row>
    <row r="1632" spans="1:6" ht="30" customHeight="1" x14ac:dyDescent="0.25">
      <c r="A1632" s="1" t="s">
        <v>3339</v>
      </c>
      <c r="B1632" s="1" t="str">
        <f>"9781593855468"</f>
        <v>9781593855468</v>
      </c>
      <c r="C1632" s="1" t="s">
        <v>3308</v>
      </c>
      <c r="D1632" s="2">
        <v>38407</v>
      </c>
      <c r="E1632" s="1" t="s">
        <v>3340</v>
      </c>
      <c r="F1632" s="1" t="s">
        <v>87</v>
      </c>
    </row>
    <row r="1633" spans="1:6" ht="30" customHeight="1" x14ac:dyDescent="0.25">
      <c r="A1633" s="1" t="s">
        <v>3341</v>
      </c>
      <c r="B1633" s="1" t="str">
        <f>"9781593855239"</f>
        <v>9781593855239</v>
      </c>
      <c r="C1633" s="1" t="s">
        <v>3308</v>
      </c>
      <c r="D1633" s="2">
        <v>41773</v>
      </c>
      <c r="E1633" s="1" t="s">
        <v>3342</v>
      </c>
      <c r="F1633" s="1" t="s">
        <v>13</v>
      </c>
    </row>
    <row r="1634" spans="1:6" ht="30" customHeight="1" x14ac:dyDescent="0.25">
      <c r="A1634" s="1" t="s">
        <v>3343</v>
      </c>
      <c r="B1634" s="1" t="str">
        <f>"9781593855260"</f>
        <v>9781593855260</v>
      </c>
      <c r="C1634" s="1" t="s">
        <v>3308</v>
      </c>
      <c r="D1634" s="2">
        <v>38880</v>
      </c>
      <c r="E1634" s="1" t="s">
        <v>3344</v>
      </c>
      <c r="F1634" s="1" t="s">
        <v>3345</v>
      </c>
    </row>
    <row r="1635" spans="1:6" ht="30" customHeight="1" x14ac:dyDescent="0.25">
      <c r="A1635" s="1" t="s">
        <v>3346</v>
      </c>
      <c r="B1635" s="1" t="str">
        <f>"9781593855451"</f>
        <v>9781593855451</v>
      </c>
      <c r="C1635" s="1" t="s">
        <v>3308</v>
      </c>
      <c r="D1635" s="2">
        <v>42779</v>
      </c>
      <c r="E1635" s="1" t="s">
        <v>3347</v>
      </c>
      <c r="F1635" s="1" t="s">
        <v>33</v>
      </c>
    </row>
    <row r="1636" spans="1:6" ht="30" customHeight="1" x14ac:dyDescent="0.25">
      <c r="A1636" s="1" t="s">
        <v>3348</v>
      </c>
      <c r="B1636" s="1" t="str">
        <f>"9781593856298"</f>
        <v>9781593856298</v>
      </c>
      <c r="C1636" s="1" t="s">
        <v>3308</v>
      </c>
      <c r="D1636" s="2">
        <v>41773</v>
      </c>
      <c r="E1636" s="1" t="s">
        <v>3349</v>
      </c>
      <c r="F1636" s="1" t="s">
        <v>13</v>
      </c>
    </row>
    <row r="1637" spans="1:6" ht="30" customHeight="1" x14ac:dyDescent="0.25">
      <c r="A1637" s="1" t="s">
        <v>3350</v>
      </c>
      <c r="B1637" s="1" t="str">
        <f>"9781593855604"</f>
        <v>9781593855604</v>
      </c>
      <c r="C1637" s="1" t="s">
        <v>3308</v>
      </c>
      <c r="D1637" s="2">
        <v>41787</v>
      </c>
      <c r="E1637" s="1" t="s">
        <v>3351</v>
      </c>
      <c r="F1637" s="1" t="s">
        <v>13</v>
      </c>
    </row>
    <row r="1638" spans="1:6" ht="30" customHeight="1" x14ac:dyDescent="0.25">
      <c r="A1638" s="1" t="s">
        <v>3352</v>
      </c>
      <c r="B1638" s="1" t="str">
        <f>"9781593855314"</f>
        <v>9781593855314</v>
      </c>
      <c r="C1638" s="1" t="s">
        <v>3308</v>
      </c>
      <c r="D1638" s="2">
        <v>41773</v>
      </c>
      <c r="E1638" s="1" t="s">
        <v>3353</v>
      </c>
      <c r="F1638" s="1" t="s">
        <v>158</v>
      </c>
    </row>
    <row r="1639" spans="1:6" ht="30" customHeight="1" x14ac:dyDescent="0.25">
      <c r="A1639" s="1" t="s">
        <v>3354</v>
      </c>
      <c r="B1639" s="1" t="str">
        <f>"9781593855352"</f>
        <v>9781593855352</v>
      </c>
      <c r="C1639" s="1" t="s">
        <v>3308</v>
      </c>
      <c r="D1639" s="2">
        <v>41773</v>
      </c>
      <c r="E1639" s="1" t="s">
        <v>3355</v>
      </c>
      <c r="F1639" s="1" t="s">
        <v>13</v>
      </c>
    </row>
    <row r="1640" spans="1:6" ht="30" customHeight="1" x14ac:dyDescent="0.25">
      <c r="A1640" s="1" t="s">
        <v>3356</v>
      </c>
      <c r="B1640" s="1" t="str">
        <f>"9781593856304"</f>
        <v>9781593856304</v>
      </c>
      <c r="C1640" s="1" t="s">
        <v>3308</v>
      </c>
      <c r="D1640" s="2">
        <v>41773</v>
      </c>
      <c r="E1640" s="1" t="s">
        <v>3357</v>
      </c>
      <c r="F1640" s="1" t="s">
        <v>13</v>
      </c>
    </row>
    <row r="1641" spans="1:6" ht="30" customHeight="1" x14ac:dyDescent="0.25">
      <c r="A1641" s="1" t="s">
        <v>3358</v>
      </c>
      <c r="B1641" s="1" t="str">
        <f>"9781593855390"</f>
        <v>9781593855390</v>
      </c>
      <c r="C1641" s="1" t="s">
        <v>3308</v>
      </c>
      <c r="D1641" s="2">
        <v>41773</v>
      </c>
      <c r="E1641" s="1" t="s">
        <v>3359</v>
      </c>
      <c r="F1641" s="1" t="s">
        <v>13</v>
      </c>
    </row>
    <row r="1642" spans="1:6" ht="30" customHeight="1" x14ac:dyDescent="0.25">
      <c r="A1642" s="1" t="s">
        <v>3360</v>
      </c>
      <c r="B1642" s="1" t="str">
        <f>"9781593856311"</f>
        <v>9781593856311</v>
      </c>
      <c r="C1642" s="1" t="s">
        <v>3308</v>
      </c>
      <c r="D1642" s="2">
        <v>41773</v>
      </c>
      <c r="E1642" s="1" t="s">
        <v>3361</v>
      </c>
      <c r="F1642" s="1" t="s">
        <v>13</v>
      </c>
    </row>
    <row r="1643" spans="1:6" ht="30" customHeight="1" x14ac:dyDescent="0.25">
      <c r="A1643" s="1" t="s">
        <v>3362</v>
      </c>
      <c r="B1643" s="1" t="str">
        <f>"9781593855406"</f>
        <v>9781593855406</v>
      </c>
      <c r="C1643" s="1" t="s">
        <v>3308</v>
      </c>
      <c r="D1643" s="2">
        <v>41773</v>
      </c>
      <c r="E1643" s="1" t="s">
        <v>3363</v>
      </c>
      <c r="F1643" s="1" t="s">
        <v>13</v>
      </c>
    </row>
    <row r="1644" spans="1:6" ht="30" customHeight="1" x14ac:dyDescent="0.25">
      <c r="A1644" s="1" t="s">
        <v>3364</v>
      </c>
      <c r="B1644" s="1" t="str">
        <f>"9781593855420"</f>
        <v>9781593855420</v>
      </c>
      <c r="C1644" s="1" t="s">
        <v>3308</v>
      </c>
      <c r="D1644" s="2">
        <v>41773</v>
      </c>
      <c r="E1644" s="1" t="s">
        <v>3365</v>
      </c>
      <c r="F1644" s="1" t="s">
        <v>13</v>
      </c>
    </row>
    <row r="1645" spans="1:6" ht="30" customHeight="1" x14ac:dyDescent="0.25">
      <c r="A1645" s="1" t="s">
        <v>3366</v>
      </c>
      <c r="B1645" s="1" t="str">
        <f>"9781593856328"</f>
        <v>9781593856328</v>
      </c>
      <c r="C1645" s="1" t="s">
        <v>3308</v>
      </c>
      <c r="D1645" s="2">
        <v>39070</v>
      </c>
      <c r="E1645" s="1" t="s">
        <v>3367</v>
      </c>
      <c r="F1645" s="1" t="s">
        <v>87</v>
      </c>
    </row>
    <row r="1646" spans="1:6" ht="30" customHeight="1" x14ac:dyDescent="0.25">
      <c r="A1646" s="1" t="s">
        <v>3368</v>
      </c>
      <c r="B1646" s="1" t="str">
        <f>"9780511294006"</f>
        <v>9780511294006</v>
      </c>
      <c r="C1646" s="1" t="s">
        <v>25</v>
      </c>
      <c r="D1646" s="2">
        <v>39083</v>
      </c>
      <c r="E1646" s="1" t="s">
        <v>3369</v>
      </c>
      <c r="F1646" s="1" t="s">
        <v>13</v>
      </c>
    </row>
    <row r="1647" spans="1:6" ht="30" customHeight="1" x14ac:dyDescent="0.25">
      <c r="A1647" s="1" t="s">
        <v>3370</v>
      </c>
      <c r="B1647" s="1" t="str">
        <f>"9780080549880"</f>
        <v>9780080549880</v>
      </c>
      <c r="C1647" s="1" t="s">
        <v>900</v>
      </c>
      <c r="D1647" s="2">
        <v>40826</v>
      </c>
      <c r="E1647" s="1" t="s">
        <v>3371</v>
      </c>
      <c r="F1647" s="1" t="s">
        <v>1948</v>
      </c>
    </row>
    <row r="1648" spans="1:6" ht="30" customHeight="1" x14ac:dyDescent="0.25">
      <c r="A1648" s="1" t="s">
        <v>3372</v>
      </c>
      <c r="B1648" s="1" t="str">
        <f>"9780080549774"</f>
        <v>9780080549774</v>
      </c>
      <c r="C1648" s="1" t="s">
        <v>900</v>
      </c>
      <c r="D1648" s="2">
        <v>40829</v>
      </c>
      <c r="E1648" s="1" t="s">
        <v>3373</v>
      </c>
      <c r="F1648" s="1" t="s">
        <v>13</v>
      </c>
    </row>
    <row r="1649" spans="1:6" ht="30" customHeight="1" x14ac:dyDescent="0.25">
      <c r="A1649" s="1" t="s">
        <v>3374</v>
      </c>
      <c r="B1649" s="1" t="str">
        <f>"9780203955154"</f>
        <v>9780203955154</v>
      </c>
      <c r="C1649" s="1" t="s">
        <v>68</v>
      </c>
      <c r="D1649" s="2">
        <v>38407</v>
      </c>
      <c r="E1649" s="1" t="s">
        <v>3375</v>
      </c>
      <c r="F1649" s="1" t="s">
        <v>13</v>
      </c>
    </row>
    <row r="1650" spans="1:6" ht="30" customHeight="1" x14ac:dyDescent="0.25">
      <c r="A1650" s="1" t="s">
        <v>3376</v>
      </c>
      <c r="B1650" s="1" t="str">
        <f>"9781853599736"</f>
        <v>9781853599736</v>
      </c>
      <c r="C1650" s="1" t="s">
        <v>3377</v>
      </c>
      <c r="D1650" s="2">
        <v>39274</v>
      </c>
      <c r="E1650" s="1" t="s">
        <v>3378</v>
      </c>
      <c r="F1650" s="1" t="s">
        <v>13</v>
      </c>
    </row>
    <row r="1651" spans="1:6" ht="30" customHeight="1" x14ac:dyDescent="0.25">
      <c r="A1651" s="1" t="s">
        <v>3379</v>
      </c>
      <c r="B1651" s="1" t="str">
        <f>"9780826116833"</f>
        <v>9780826116833</v>
      </c>
      <c r="C1651" s="1" t="s">
        <v>2339</v>
      </c>
      <c r="D1651" s="2">
        <v>39417</v>
      </c>
      <c r="E1651" s="1" t="s">
        <v>3380</v>
      </c>
      <c r="F1651" s="1" t="s">
        <v>13</v>
      </c>
    </row>
    <row r="1652" spans="1:6" ht="30" customHeight="1" x14ac:dyDescent="0.25">
      <c r="A1652" s="1" t="s">
        <v>3381</v>
      </c>
      <c r="B1652" s="1" t="str">
        <f>"9780826103154"</f>
        <v>9780826103154</v>
      </c>
      <c r="C1652" s="1" t="s">
        <v>2339</v>
      </c>
      <c r="D1652" s="2">
        <v>39417</v>
      </c>
      <c r="E1652" s="1" t="s">
        <v>3382</v>
      </c>
      <c r="F1652" s="1" t="s">
        <v>95</v>
      </c>
    </row>
    <row r="1653" spans="1:6" ht="30" customHeight="1" x14ac:dyDescent="0.25">
      <c r="A1653" s="1" t="s">
        <v>3383</v>
      </c>
      <c r="B1653" s="1" t="str">
        <f>"9780826141392"</f>
        <v>9780826141392</v>
      </c>
      <c r="C1653" s="1" t="s">
        <v>2339</v>
      </c>
      <c r="D1653" s="2">
        <v>39203</v>
      </c>
      <c r="E1653" s="1" t="s">
        <v>3384</v>
      </c>
      <c r="F1653" s="1" t="s">
        <v>126</v>
      </c>
    </row>
    <row r="1654" spans="1:6" ht="30" customHeight="1" x14ac:dyDescent="0.25">
      <c r="A1654" s="1" t="s">
        <v>3385</v>
      </c>
      <c r="B1654" s="1" t="str">
        <f>"9780826121486"</f>
        <v>9780826121486</v>
      </c>
      <c r="C1654" s="1" t="s">
        <v>2339</v>
      </c>
      <c r="D1654" s="2">
        <v>39417</v>
      </c>
      <c r="E1654" s="1" t="s">
        <v>3386</v>
      </c>
      <c r="F1654" s="1" t="s">
        <v>234</v>
      </c>
    </row>
    <row r="1655" spans="1:6" ht="30" customHeight="1" x14ac:dyDescent="0.25">
      <c r="A1655" s="1" t="s">
        <v>3387</v>
      </c>
      <c r="B1655" s="1" t="str">
        <f>"9781403979087"</f>
        <v>9781403979087</v>
      </c>
      <c r="C1655" s="1" t="s">
        <v>3388</v>
      </c>
      <c r="D1655" s="2">
        <v>38618</v>
      </c>
      <c r="E1655" s="1" t="s">
        <v>3389</v>
      </c>
      <c r="F1655" s="1" t="s">
        <v>3390</v>
      </c>
    </row>
    <row r="1656" spans="1:6" ht="30" customHeight="1" x14ac:dyDescent="0.25">
      <c r="A1656" s="1" t="s">
        <v>3391</v>
      </c>
      <c r="B1656" s="1" t="str">
        <f>"9781403981110"</f>
        <v>9781403981110</v>
      </c>
      <c r="C1656" s="1" t="s">
        <v>3388</v>
      </c>
      <c r="D1656" s="2">
        <v>38477</v>
      </c>
      <c r="E1656" s="1" t="s">
        <v>3392</v>
      </c>
      <c r="F1656" s="1" t="s">
        <v>3393</v>
      </c>
    </row>
    <row r="1657" spans="1:6" ht="30" customHeight="1" x14ac:dyDescent="0.25">
      <c r="A1657" s="1" t="s">
        <v>3394</v>
      </c>
      <c r="B1657" s="1" t="str">
        <f>"9781403977052"</f>
        <v>9781403977052</v>
      </c>
      <c r="C1657" s="1" t="s">
        <v>3388</v>
      </c>
      <c r="D1657" s="2">
        <v>38696</v>
      </c>
      <c r="E1657" s="1" t="s">
        <v>3395</v>
      </c>
      <c r="F1657" s="1" t="s">
        <v>3396</v>
      </c>
    </row>
    <row r="1658" spans="1:6" ht="30" customHeight="1" x14ac:dyDescent="0.25">
      <c r="A1658" s="1" t="s">
        <v>3397</v>
      </c>
      <c r="B1658" s="1" t="str">
        <f>"9780230603394"</f>
        <v>9780230603394</v>
      </c>
      <c r="C1658" s="1" t="s">
        <v>3388</v>
      </c>
      <c r="D1658" s="2">
        <v>39090</v>
      </c>
      <c r="E1658" s="1" t="s">
        <v>3398</v>
      </c>
      <c r="F1658" s="1" t="s">
        <v>3399</v>
      </c>
    </row>
    <row r="1659" spans="1:6" ht="30" customHeight="1" x14ac:dyDescent="0.25">
      <c r="A1659" s="1" t="s">
        <v>3400</v>
      </c>
      <c r="B1659" s="1" t="str">
        <f>"9780230603400"</f>
        <v>9780230603400</v>
      </c>
      <c r="C1659" s="1" t="s">
        <v>3388</v>
      </c>
      <c r="D1659" s="2">
        <v>39090</v>
      </c>
      <c r="E1659" s="1" t="s">
        <v>3401</v>
      </c>
      <c r="F1659" s="1" t="s">
        <v>3402</v>
      </c>
    </row>
    <row r="1660" spans="1:6" ht="30" customHeight="1" x14ac:dyDescent="0.25">
      <c r="A1660" s="1" t="s">
        <v>3403</v>
      </c>
      <c r="B1660" s="1" t="str">
        <f>"9780965804288"</f>
        <v>9780965804288</v>
      </c>
      <c r="C1660" s="1" t="s">
        <v>3404</v>
      </c>
      <c r="D1660" s="2">
        <v>39326</v>
      </c>
      <c r="E1660" s="1" t="s">
        <v>3405</v>
      </c>
      <c r="F1660" s="1" t="s">
        <v>13</v>
      </c>
    </row>
    <row r="1661" spans="1:6" ht="30" customHeight="1" x14ac:dyDescent="0.25">
      <c r="A1661" s="1" t="s">
        <v>3406</v>
      </c>
      <c r="B1661" s="1" t="str">
        <f>"9781854184924"</f>
        <v>9781854184924</v>
      </c>
      <c r="C1661" s="1" t="s">
        <v>3407</v>
      </c>
      <c r="D1661" s="2">
        <v>39083</v>
      </c>
      <c r="E1661" s="1" t="s">
        <v>3408</v>
      </c>
      <c r="F1661" s="1" t="s">
        <v>3409</v>
      </c>
    </row>
    <row r="1662" spans="1:6" ht="30" customHeight="1" x14ac:dyDescent="0.25">
      <c r="A1662" s="1" t="s">
        <v>3410</v>
      </c>
      <c r="B1662" s="1" t="str">
        <f>"9789062997510"</f>
        <v>9789062997510</v>
      </c>
      <c r="C1662" s="1" t="s">
        <v>3411</v>
      </c>
      <c r="D1662" s="2">
        <v>39014</v>
      </c>
      <c r="E1662" s="1" t="s">
        <v>3413</v>
      </c>
      <c r="F1662" s="1" t="s">
        <v>13</v>
      </c>
    </row>
    <row r="1663" spans="1:6" ht="30" customHeight="1" x14ac:dyDescent="0.25">
      <c r="A1663" s="1" t="s">
        <v>3414</v>
      </c>
      <c r="B1663" s="1" t="str">
        <f>"9789062997701"</f>
        <v>9789062997701</v>
      </c>
      <c r="C1663" s="1" t="s">
        <v>3412</v>
      </c>
      <c r="D1663" s="2">
        <v>39003</v>
      </c>
      <c r="E1663" s="1" t="s">
        <v>3415</v>
      </c>
      <c r="F1663" s="1" t="s">
        <v>3416</v>
      </c>
    </row>
    <row r="1664" spans="1:6" ht="30" customHeight="1" x14ac:dyDescent="0.25">
      <c r="A1664" s="1" t="s">
        <v>3417</v>
      </c>
      <c r="B1664" s="1" t="str">
        <f>"9789062997428"</f>
        <v>9789062997428</v>
      </c>
      <c r="C1664" s="1" t="s">
        <v>3412</v>
      </c>
      <c r="D1664" s="2">
        <v>38093</v>
      </c>
      <c r="E1664" s="1" t="s">
        <v>3418</v>
      </c>
      <c r="F1664" s="1" t="s">
        <v>13</v>
      </c>
    </row>
    <row r="1665" spans="1:6" ht="30" customHeight="1" x14ac:dyDescent="0.25">
      <c r="A1665" s="1" t="s">
        <v>3419</v>
      </c>
      <c r="B1665" s="1" t="str">
        <f>"9789062997459"</f>
        <v>9789062997459</v>
      </c>
      <c r="C1665" s="1" t="s">
        <v>3411</v>
      </c>
      <c r="D1665" s="2">
        <v>38093</v>
      </c>
      <c r="E1665" s="1" t="s">
        <v>3420</v>
      </c>
      <c r="F1665" s="1" t="s">
        <v>13</v>
      </c>
    </row>
    <row r="1666" spans="1:6" ht="30" customHeight="1" x14ac:dyDescent="0.25">
      <c r="A1666" s="1" t="s">
        <v>3421</v>
      </c>
      <c r="B1666" s="1" t="str">
        <f>"9789062997442"</f>
        <v>9789062997442</v>
      </c>
      <c r="C1666" s="1" t="s">
        <v>3412</v>
      </c>
      <c r="D1666" s="2">
        <v>38040</v>
      </c>
      <c r="E1666" s="1" t="s">
        <v>3422</v>
      </c>
      <c r="F1666" s="1" t="s">
        <v>205</v>
      </c>
    </row>
    <row r="1667" spans="1:6" ht="30" customHeight="1" x14ac:dyDescent="0.25">
      <c r="A1667" s="1" t="s">
        <v>3423</v>
      </c>
      <c r="B1667" s="1" t="str">
        <f>"9789062997404"</f>
        <v>9789062997404</v>
      </c>
      <c r="C1667" s="1" t="s">
        <v>3411</v>
      </c>
      <c r="D1667" s="2">
        <v>38026</v>
      </c>
      <c r="E1667" s="1" t="s">
        <v>3424</v>
      </c>
      <c r="F1667" s="1" t="s">
        <v>13</v>
      </c>
    </row>
    <row r="1668" spans="1:6" ht="30" customHeight="1" x14ac:dyDescent="0.25">
      <c r="A1668" s="1" t="s">
        <v>3425</v>
      </c>
      <c r="B1668" s="1" t="str">
        <f>"9789062997435"</f>
        <v>9789062997435</v>
      </c>
      <c r="C1668" s="1" t="s">
        <v>3412</v>
      </c>
      <c r="D1668" s="2">
        <v>37853</v>
      </c>
      <c r="E1668" s="1" t="s">
        <v>3426</v>
      </c>
      <c r="F1668" s="1" t="s">
        <v>13</v>
      </c>
    </row>
    <row r="1669" spans="1:6" ht="30" customHeight="1" x14ac:dyDescent="0.25">
      <c r="A1669" s="1" t="s">
        <v>3427</v>
      </c>
      <c r="B1669" s="1" t="str">
        <f>"9789062997008"</f>
        <v>9789062997008</v>
      </c>
      <c r="C1669" s="1" t="s">
        <v>3412</v>
      </c>
      <c r="D1669" s="2">
        <v>37802</v>
      </c>
      <c r="E1669" s="1" t="s">
        <v>3428</v>
      </c>
      <c r="F1669" s="1" t="s">
        <v>3429</v>
      </c>
    </row>
    <row r="1670" spans="1:6" ht="30" customHeight="1" x14ac:dyDescent="0.25">
      <c r="A1670" s="1" t="s">
        <v>3430</v>
      </c>
      <c r="B1670" s="1" t="str">
        <f>"9789062997954"</f>
        <v>9789062997954</v>
      </c>
      <c r="C1670" s="1" t="s">
        <v>3411</v>
      </c>
      <c r="D1670" s="2">
        <v>37365</v>
      </c>
      <c r="E1670" s="1" t="s">
        <v>3431</v>
      </c>
      <c r="F1670" s="1" t="s">
        <v>13</v>
      </c>
    </row>
    <row r="1671" spans="1:6" ht="30" customHeight="1" x14ac:dyDescent="0.25">
      <c r="A1671" s="1" t="s">
        <v>3432</v>
      </c>
      <c r="B1671" s="1" t="str">
        <f>"9789062997985"</f>
        <v>9789062997985</v>
      </c>
      <c r="C1671" s="1" t="s">
        <v>3412</v>
      </c>
      <c r="D1671" s="2">
        <v>36973</v>
      </c>
      <c r="E1671" s="1" t="s">
        <v>3433</v>
      </c>
      <c r="F1671" s="1" t="s">
        <v>13</v>
      </c>
    </row>
    <row r="1672" spans="1:6" ht="30" customHeight="1" x14ac:dyDescent="0.25">
      <c r="A1672" s="1" t="s">
        <v>3434</v>
      </c>
      <c r="B1672" s="1" t="str">
        <f>"9789062997763"</f>
        <v>9789062997763</v>
      </c>
      <c r="C1672" s="1" t="s">
        <v>3412</v>
      </c>
      <c r="D1672" s="2">
        <v>36269</v>
      </c>
      <c r="E1672" s="1" t="s">
        <v>3435</v>
      </c>
      <c r="F1672" s="1" t="s">
        <v>13</v>
      </c>
    </row>
    <row r="1673" spans="1:6" ht="30" customHeight="1" x14ac:dyDescent="0.25">
      <c r="A1673" s="1" t="s">
        <v>3436</v>
      </c>
      <c r="B1673" s="1" t="str">
        <f>"9789062997718"</f>
        <v>9789062997718</v>
      </c>
      <c r="C1673" s="1" t="s">
        <v>3412</v>
      </c>
      <c r="D1673" s="2">
        <v>37736</v>
      </c>
      <c r="E1673" s="1" t="s">
        <v>3437</v>
      </c>
      <c r="F1673" s="1" t="s">
        <v>13</v>
      </c>
    </row>
    <row r="1674" spans="1:6" ht="30" customHeight="1" x14ac:dyDescent="0.25">
      <c r="A1674" s="1" t="s">
        <v>3438</v>
      </c>
      <c r="B1674" s="1" t="str">
        <f>"9789062997909"</f>
        <v>9789062997909</v>
      </c>
      <c r="C1674" s="1" t="s">
        <v>3412</v>
      </c>
      <c r="D1674" s="2">
        <v>37659</v>
      </c>
      <c r="E1674" s="1" t="s">
        <v>3415</v>
      </c>
      <c r="F1674" s="1" t="s">
        <v>13</v>
      </c>
    </row>
    <row r="1675" spans="1:6" ht="30" customHeight="1" x14ac:dyDescent="0.25">
      <c r="A1675" s="1" t="s">
        <v>3439</v>
      </c>
      <c r="B1675" s="1" t="str">
        <f>"9789062997930"</f>
        <v>9789062997930</v>
      </c>
      <c r="C1675" s="1" t="s">
        <v>3412</v>
      </c>
      <c r="D1675" s="2">
        <v>37369</v>
      </c>
      <c r="E1675" s="1" t="s">
        <v>3440</v>
      </c>
      <c r="F1675" s="1" t="s">
        <v>13</v>
      </c>
    </row>
    <row r="1676" spans="1:6" ht="30" customHeight="1" x14ac:dyDescent="0.25">
      <c r="A1676" s="1" t="s">
        <v>3441</v>
      </c>
      <c r="B1676" s="1" t="str">
        <f>"9789062997756"</f>
        <v>9789062997756</v>
      </c>
      <c r="C1676" s="1" t="s">
        <v>3412</v>
      </c>
      <c r="D1676" s="2">
        <v>36517</v>
      </c>
      <c r="E1676" s="1" t="s">
        <v>3442</v>
      </c>
      <c r="F1676" s="1" t="s">
        <v>3429</v>
      </c>
    </row>
    <row r="1677" spans="1:6" ht="30" customHeight="1" x14ac:dyDescent="0.25">
      <c r="A1677" s="1" t="s">
        <v>3443</v>
      </c>
      <c r="B1677" s="1" t="str">
        <f>"9789062997916"</f>
        <v>9789062997916</v>
      </c>
      <c r="C1677" s="1" t="s">
        <v>3412</v>
      </c>
      <c r="D1677" s="2">
        <v>37686</v>
      </c>
      <c r="E1677" s="1" t="s">
        <v>3444</v>
      </c>
      <c r="F1677" s="1" t="s">
        <v>13</v>
      </c>
    </row>
    <row r="1678" spans="1:6" ht="30" customHeight="1" x14ac:dyDescent="0.25">
      <c r="A1678" s="1" t="s">
        <v>3445</v>
      </c>
      <c r="B1678" s="1" t="str">
        <f>"9781604060645"</f>
        <v>9781604060645</v>
      </c>
      <c r="C1678" s="1" t="s">
        <v>1671</v>
      </c>
      <c r="D1678" s="2">
        <v>38182</v>
      </c>
      <c r="E1678" s="1" t="s">
        <v>3446</v>
      </c>
      <c r="F1678" s="1" t="s">
        <v>13</v>
      </c>
    </row>
    <row r="1679" spans="1:6" ht="30" customHeight="1" x14ac:dyDescent="0.25">
      <c r="A1679" s="1" t="s">
        <v>3447</v>
      </c>
      <c r="B1679" s="1" t="str">
        <f>"9781604060652"</f>
        <v>9781604060652</v>
      </c>
      <c r="C1679" s="1" t="s">
        <v>1671</v>
      </c>
      <c r="D1679" s="2">
        <v>38056</v>
      </c>
      <c r="E1679" s="1" t="s">
        <v>3448</v>
      </c>
      <c r="F1679" s="1" t="s">
        <v>13</v>
      </c>
    </row>
    <row r="1680" spans="1:6" ht="30" customHeight="1" x14ac:dyDescent="0.25">
      <c r="A1680" s="1" t="s">
        <v>3449</v>
      </c>
      <c r="B1680" s="1" t="str">
        <f>"9781604060676"</f>
        <v>9781604060676</v>
      </c>
      <c r="C1680" s="1" t="s">
        <v>1671</v>
      </c>
      <c r="D1680" s="2">
        <v>38630</v>
      </c>
      <c r="E1680" s="1" t="s">
        <v>3450</v>
      </c>
      <c r="F1680" s="1" t="s">
        <v>13</v>
      </c>
    </row>
    <row r="1681" spans="1:6" ht="30" customHeight="1" x14ac:dyDescent="0.25">
      <c r="A1681" s="1" t="s">
        <v>3451</v>
      </c>
      <c r="B1681" s="1" t="str">
        <f>"9781604060669"</f>
        <v>9781604060669</v>
      </c>
      <c r="C1681" s="1" t="s">
        <v>1671</v>
      </c>
      <c r="D1681" s="2">
        <v>38616</v>
      </c>
      <c r="E1681" s="1" t="s">
        <v>3452</v>
      </c>
      <c r="F1681" s="1" t="s">
        <v>13</v>
      </c>
    </row>
    <row r="1682" spans="1:6" ht="30" customHeight="1" x14ac:dyDescent="0.25">
      <c r="A1682" s="1" t="s">
        <v>3453</v>
      </c>
      <c r="B1682" s="1" t="str">
        <f>"9781604060683"</f>
        <v>9781604060683</v>
      </c>
      <c r="C1682" s="1" t="s">
        <v>1671</v>
      </c>
      <c r="D1682" s="2">
        <v>37608</v>
      </c>
      <c r="E1682" s="1" t="s">
        <v>3454</v>
      </c>
      <c r="F1682" s="1" t="s">
        <v>13</v>
      </c>
    </row>
    <row r="1683" spans="1:6" ht="30" customHeight="1" x14ac:dyDescent="0.25">
      <c r="A1683" s="1" t="s">
        <v>3455</v>
      </c>
      <c r="B1683" s="1" t="str">
        <f>"9789062997497"</f>
        <v>9789062997497</v>
      </c>
      <c r="C1683" s="1" t="s">
        <v>3411</v>
      </c>
      <c r="D1683" s="2">
        <v>38534</v>
      </c>
      <c r="E1683" s="1" t="s">
        <v>3456</v>
      </c>
      <c r="F1683" s="1" t="s">
        <v>13</v>
      </c>
    </row>
    <row r="1684" spans="1:6" ht="30" customHeight="1" x14ac:dyDescent="0.25">
      <c r="A1684" s="1" t="s">
        <v>3457</v>
      </c>
      <c r="B1684" s="1" t="str">
        <f>"9780816684977"</f>
        <v>9780816684977</v>
      </c>
      <c r="C1684" s="1" t="s">
        <v>3458</v>
      </c>
      <c r="D1684" s="2">
        <v>34017</v>
      </c>
      <c r="E1684" s="1" t="s">
        <v>3459</v>
      </c>
      <c r="F1684" s="1" t="s">
        <v>3460</v>
      </c>
    </row>
    <row r="1685" spans="1:6" ht="30" customHeight="1" x14ac:dyDescent="0.25">
      <c r="A1685" s="1" t="s">
        <v>3461</v>
      </c>
      <c r="B1685" s="1" t="str">
        <f>"9780816683062"</f>
        <v>9780816683062</v>
      </c>
      <c r="C1685" s="1" t="s">
        <v>3458</v>
      </c>
      <c r="D1685" s="2">
        <v>34170</v>
      </c>
      <c r="E1685" s="1" t="s">
        <v>3462</v>
      </c>
      <c r="F1685" s="1" t="s">
        <v>13</v>
      </c>
    </row>
    <row r="1686" spans="1:6" ht="30" customHeight="1" x14ac:dyDescent="0.25">
      <c r="A1686" s="1" t="s">
        <v>3463</v>
      </c>
      <c r="B1686" s="1" t="str">
        <f>"9780816685646"</f>
        <v>9780816685646</v>
      </c>
      <c r="C1686" s="1" t="s">
        <v>3458</v>
      </c>
      <c r="D1686" s="2">
        <v>34569</v>
      </c>
      <c r="E1686" s="1" t="s">
        <v>3464</v>
      </c>
      <c r="F1686" s="1" t="s">
        <v>95</v>
      </c>
    </row>
    <row r="1687" spans="1:6" ht="30" customHeight="1" x14ac:dyDescent="0.25">
      <c r="A1687" s="1" t="s">
        <v>3465</v>
      </c>
      <c r="B1687" s="1" t="str">
        <f>"9780816685868"</f>
        <v>9780816685868</v>
      </c>
      <c r="C1687" s="1" t="s">
        <v>3458</v>
      </c>
      <c r="D1687" s="2">
        <v>34578</v>
      </c>
      <c r="E1687" s="1" t="s">
        <v>3466</v>
      </c>
      <c r="F1687" s="1" t="s">
        <v>13</v>
      </c>
    </row>
    <row r="1688" spans="1:6" ht="30" customHeight="1" x14ac:dyDescent="0.25">
      <c r="A1688" s="1" t="s">
        <v>3467</v>
      </c>
      <c r="B1688" s="1" t="str">
        <f>"9780816685257"</f>
        <v>9780816685257</v>
      </c>
      <c r="C1688" s="1" t="s">
        <v>3458</v>
      </c>
      <c r="D1688" s="2">
        <v>34767</v>
      </c>
      <c r="E1688" s="1" t="s">
        <v>3468</v>
      </c>
      <c r="F1688" s="1" t="s">
        <v>304</v>
      </c>
    </row>
    <row r="1689" spans="1:6" ht="30" customHeight="1" x14ac:dyDescent="0.25">
      <c r="A1689" s="1" t="s">
        <v>3469</v>
      </c>
      <c r="B1689" s="1" t="str">
        <f>"9780816686971"</f>
        <v>9780816686971</v>
      </c>
      <c r="C1689" s="1" t="s">
        <v>3458</v>
      </c>
      <c r="D1689" s="2">
        <v>34852</v>
      </c>
      <c r="E1689" s="1" t="s">
        <v>3470</v>
      </c>
      <c r="F1689" s="1" t="s">
        <v>3471</v>
      </c>
    </row>
    <row r="1690" spans="1:6" ht="30" customHeight="1" x14ac:dyDescent="0.25">
      <c r="A1690" s="1" t="s">
        <v>3472</v>
      </c>
      <c r="B1690" s="1" t="str">
        <f>"9780816688524"</f>
        <v>9780816688524</v>
      </c>
      <c r="C1690" s="1" t="s">
        <v>3458</v>
      </c>
      <c r="D1690" s="2">
        <v>35490</v>
      </c>
      <c r="E1690" s="1" t="s">
        <v>450</v>
      </c>
      <c r="F1690" s="1" t="s">
        <v>33</v>
      </c>
    </row>
    <row r="1691" spans="1:6" ht="30" customHeight="1" x14ac:dyDescent="0.25">
      <c r="A1691" s="1" t="s">
        <v>3473</v>
      </c>
      <c r="B1691" s="1" t="str">
        <f>"9780816686568"</f>
        <v>9780816686568</v>
      </c>
      <c r="C1691" s="1" t="s">
        <v>3458</v>
      </c>
      <c r="D1691" s="2">
        <v>35551</v>
      </c>
      <c r="E1691" s="1" t="s">
        <v>3474</v>
      </c>
      <c r="F1691" s="1" t="s">
        <v>21</v>
      </c>
    </row>
    <row r="1692" spans="1:6" ht="30" customHeight="1" x14ac:dyDescent="0.25">
      <c r="A1692" s="1" t="s">
        <v>3475</v>
      </c>
      <c r="B1692" s="1" t="str">
        <f>"9780816692361"</f>
        <v>9780816692361</v>
      </c>
      <c r="C1692" s="1" t="s">
        <v>3458</v>
      </c>
      <c r="D1692" s="2">
        <v>37126</v>
      </c>
      <c r="E1692" s="1" t="s">
        <v>3476</v>
      </c>
      <c r="F1692" s="1" t="s">
        <v>13</v>
      </c>
    </row>
    <row r="1693" spans="1:6" ht="30" customHeight="1" x14ac:dyDescent="0.25">
      <c r="A1693" s="1" t="s">
        <v>3477</v>
      </c>
      <c r="B1693" s="1" t="str">
        <f>"9780816689927"</f>
        <v>9780816689927</v>
      </c>
      <c r="C1693" s="1" t="s">
        <v>3458</v>
      </c>
      <c r="D1693" s="2">
        <v>37390</v>
      </c>
      <c r="E1693" s="1" t="s">
        <v>3478</v>
      </c>
      <c r="F1693" s="1" t="s">
        <v>30</v>
      </c>
    </row>
    <row r="1694" spans="1:6" ht="30" customHeight="1" x14ac:dyDescent="0.25">
      <c r="A1694" s="1" t="s">
        <v>3479</v>
      </c>
      <c r="B1694" s="1" t="str">
        <f>"9780816696932"</f>
        <v>9780816696932</v>
      </c>
      <c r="C1694" s="1" t="s">
        <v>3458</v>
      </c>
      <c r="D1694" s="2">
        <v>38456</v>
      </c>
      <c r="E1694" s="1" t="s">
        <v>3480</v>
      </c>
      <c r="F1694" s="1" t="s">
        <v>541</v>
      </c>
    </row>
    <row r="1695" spans="1:6" ht="30" customHeight="1" x14ac:dyDescent="0.25">
      <c r="A1695" s="1" t="s">
        <v>3481</v>
      </c>
      <c r="B1695" s="1" t="str">
        <f>"9780816687541"</f>
        <v>9780816687541</v>
      </c>
      <c r="C1695" s="1" t="s">
        <v>3458</v>
      </c>
      <c r="D1695" s="2">
        <v>35655</v>
      </c>
      <c r="E1695" s="1" t="s">
        <v>3482</v>
      </c>
      <c r="F1695" s="1" t="s">
        <v>541</v>
      </c>
    </row>
    <row r="1696" spans="1:6" ht="30" customHeight="1" x14ac:dyDescent="0.25">
      <c r="A1696" s="1" t="s">
        <v>3483</v>
      </c>
      <c r="B1696" s="1" t="str">
        <f>"9780816691098"</f>
        <v>9780816691098</v>
      </c>
      <c r="C1696" s="1" t="s">
        <v>3458</v>
      </c>
      <c r="D1696" s="2">
        <v>36418</v>
      </c>
      <c r="E1696" s="1" t="s">
        <v>3484</v>
      </c>
      <c r="F1696" s="1" t="s">
        <v>541</v>
      </c>
    </row>
    <row r="1697" spans="1:6" ht="30" customHeight="1" x14ac:dyDescent="0.25">
      <c r="A1697" s="1" t="s">
        <v>3485</v>
      </c>
      <c r="B1697" s="1" t="str">
        <f>"9780816692507"</f>
        <v>9780816692507</v>
      </c>
      <c r="C1697" s="1" t="s">
        <v>3458</v>
      </c>
      <c r="D1697" s="2">
        <v>36915</v>
      </c>
      <c r="E1697" s="1" t="s">
        <v>3484</v>
      </c>
      <c r="F1697" s="1" t="s">
        <v>541</v>
      </c>
    </row>
    <row r="1698" spans="1:6" ht="30" customHeight="1" x14ac:dyDescent="0.25">
      <c r="A1698" s="1" t="s">
        <v>3486</v>
      </c>
      <c r="B1698" s="1" t="str">
        <f>"9780816694815"</f>
        <v>9780816694815</v>
      </c>
      <c r="C1698" s="1" t="s">
        <v>3458</v>
      </c>
      <c r="D1698" s="2">
        <v>37489</v>
      </c>
      <c r="E1698" s="1" t="s">
        <v>3487</v>
      </c>
      <c r="F1698" s="1" t="s">
        <v>541</v>
      </c>
    </row>
    <row r="1699" spans="1:6" ht="30" customHeight="1" x14ac:dyDescent="0.25">
      <c r="A1699" s="1" t="s">
        <v>3488</v>
      </c>
      <c r="B1699" s="1" t="str">
        <f>"9780816695409"</f>
        <v>9780816695409</v>
      </c>
      <c r="C1699" s="1" t="s">
        <v>3458</v>
      </c>
      <c r="D1699" s="2">
        <v>34700</v>
      </c>
      <c r="E1699" s="1" t="s">
        <v>3489</v>
      </c>
      <c r="F1699" s="1" t="s">
        <v>1795</v>
      </c>
    </row>
    <row r="1700" spans="1:6" ht="30" customHeight="1" x14ac:dyDescent="0.25">
      <c r="A1700" s="1" t="s">
        <v>3490</v>
      </c>
      <c r="B1700" s="1" t="str">
        <f>"9780816695034"</f>
        <v>9780816695034</v>
      </c>
      <c r="C1700" s="1" t="s">
        <v>3458</v>
      </c>
      <c r="D1700" s="2">
        <v>36404</v>
      </c>
      <c r="E1700" s="1" t="s">
        <v>3491</v>
      </c>
      <c r="F1700" s="1" t="s">
        <v>3492</v>
      </c>
    </row>
    <row r="1701" spans="1:6" ht="30" customHeight="1" x14ac:dyDescent="0.25">
      <c r="A1701" s="1" t="s">
        <v>3493</v>
      </c>
      <c r="B1701" s="1" t="str">
        <f>"9780816695294"</f>
        <v>9780816695294</v>
      </c>
      <c r="C1701" s="1" t="s">
        <v>3458</v>
      </c>
      <c r="D1701" s="2">
        <v>37713</v>
      </c>
      <c r="E1701" s="1" t="s">
        <v>3484</v>
      </c>
      <c r="F1701" s="1" t="s">
        <v>541</v>
      </c>
    </row>
    <row r="1702" spans="1:6" ht="30" customHeight="1" x14ac:dyDescent="0.25">
      <c r="A1702" s="1" t="s">
        <v>3494</v>
      </c>
      <c r="B1702" s="1" t="str">
        <f>"9780816695768"</f>
        <v>9780816695768</v>
      </c>
      <c r="C1702" s="1" t="s">
        <v>3458</v>
      </c>
      <c r="D1702" s="2">
        <v>37390</v>
      </c>
      <c r="E1702" s="1" t="s">
        <v>3491</v>
      </c>
      <c r="F1702" s="1" t="s">
        <v>158</v>
      </c>
    </row>
    <row r="1703" spans="1:6" ht="30" customHeight="1" x14ac:dyDescent="0.25">
      <c r="A1703" s="1" t="s">
        <v>3495</v>
      </c>
      <c r="B1703" s="1" t="str">
        <f>"9780816695287"</f>
        <v>9780816695287</v>
      </c>
      <c r="C1703" s="1" t="s">
        <v>3458</v>
      </c>
      <c r="D1703" s="2">
        <v>37825</v>
      </c>
      <c r="E1703" s="1" t="s">
        <v>3484</v>
      </c>
      <c r="F1703" s="1" t="s">
        <v>541</v>
      </c>
    </row>
    <row r="1704" spans="1:6" ht="30" customHeight="1" x14ac:dyDescent="0.25">
      <c r="A1704" s="1" t="s">
        <v>3496</v>
      </c>
      <c r="B1704" s="1" t="str">
        <f>"9780816696499"</f>
        <v>9780816696499</v>
      </c>
      <c r="C1704" s="1" t="s">
        <v>3458</v>
      </c>
      <c r="D1704" s="2">
        <v>38001</v>
      </c>
      <c r="E1704" s="1" t="s">
        <v>3484</v>
      </c>
      <c r="F1704" s="1" t="s">
        <v>541</v>
      </c>
    </row>
    <row r="1705" spans="1:6" ht="30" customHeight="1" x14ac:dyDescent="0.25">
      <c r="A1705" s="1" t="s">
        <v>3497</v>
      </c>
      <c r="B1705" s="1" t="str">
        <f>"9780816696512"</f>
        <v>9780816696512</v>
      </c>
      <c r="C1705" s="1" t="s">
        <v>3458</v>
      </c>
      <c r="D1705" s="2">
        <v>38212</v>
      </c>
      <c r="E1705" s="1" t="s">
        <v>3498</v>
      </c>
      <c r="F1705" s="1" t="s">
        <v>541</v>
      </c>
    </row>
    <row r="1706" spans="1:6" ht="30" customHeight="1" x14ac:dyDescent="0.25">
      <c r="A1706" s="1" t="s">
        <v>3499</v>
      </c>
      <c r="B1706" s="1" t="str">
        <f>"9780816696581"</f>
        <v>9780816696581</v>
      </c>
      <c r="C1706" s="1" t="s">
        <v>3458</v>
      </c>
      <c r="D1706" s="2">
        <v>38212</v>
      </c>
      <c r="E1706" s="1" t="s">
        <v>3500</v>
      </c>
      <c r="F1706" s="1" t="s">
        <v>13</v>
      </c>
    </row>
    <row r="1707" spans="1:6" ht="30" customHeight="1" x14ac:dyDescent="0.25">
      <c r="A1707" s="1" t="s">
        <v>3501</v>
      </c>
      <c r="B1707" s="1" t="str">
        <f>"9780816697274"</f>
        <v>9780816697274</v>
      </c>
      <c r="C1707" s="1" t="s">
        <v>3458</v>
      </c>
      <c r="D1707" s="2">
        <v>38222</v>
      </c>
      <c r="E1707" s="1" t="s">
        <v>3502</v>
      </c>
      <c r="F1707" s="1" t="s">
        <v>541</v>
      </c>
    </row>
    <row r="1708" spans="1:6" ht="30" customHeight="1" x14ac:dyDescent="0.25">
      <c r="A1708" s="1" t="s">
        <v>3503</v>
      </c>
      <c r="B1708" s="1" t="str">
        <f>"9780816698462"</f>
        <v>9780816698462</v>
      </c>
      <c r="C1708" s="1" t="s">
        <v>3458</v>
      </c>
      <c r="D1708" s="2">
        <v>38596</v>
      </c>
      <c r="E1708" s="1" t="s">
        <v>3484</v>
      </c>
      <c r="F1708" s="1" t="s">
        <v>541</v>
      </c>
    </row>
    <row r="1709" spans="1:6" ht="30" customHeight="1" x14ac:dyDescent="0.25">
      <c r="A1709" s="1" t="s">
        <v>3504</v>
      </c>
      <c r="B1709" s="1" t="str">
        <f>"9780511288302"</f>
        <v>9780511288302</v>
      </c>
      <c r="C1709" s="1" t="s">
        <v>25</v>
      </c>
      <c r="D1709" s="2">
        <v>39203</v>
      </c>
      <c r="E1709" s="1" t="s">
        <v>3505</v>
      </c>
      <c r="F1709" s="1" t="s">
        <v>13</v>
      </c>
    </row>
    <row r="1710" spans="1:6" ht="30" customHeight="1" x14ac:dyDescent="0.25">
      <c r="A1710" s="1" t="s">
        <v>3506</v>
      </c>
      <c r="B1710" s="1" t="str">
        <f>"9780080550725"</f>
        <v>9780080550725</v>
      </c>
      <c r="C1710" s="1" t="s">
        <v>900</v>
      </c>
      <c r="D1710" s="2">
        <v>40752</v>
      </c>
      <c r="E1710" s="1" t="s">
        <v>3507</v>
      </c>
      <c r="F1710" s="1" t="s">
        <v>13</v>
      </c>
    </row>
    <row r="1711" spans="1:6" ht="30" customHeight="1" x14ac:dyDescent="0.25">
      <c r="A1711" s="1" t="s">
        <v>3508</v>
      </c>
      <c r="B1711" s="1" t="str">
        <f>"9780826115652"</f>
        <v>9780826115652</v>
      </c>
      <c r="C1711" s="1" t="s">
        <v>2339</v>
      </c>
      <c r="D1711" s="2">
        <v>39402</v>
      </c>
      <c r="E1711" s="1" t="s">
        <v>3509</v>
      </c>
      <c r="F1711" s="1" t="s">
        <v>126</v>
      </c>
    </row>
    <row r="1712" spans="1:6" ht="30" customHeight="1" x14ac:dyDescent="0.25">
      <c r="A1712" s="1" t="s">
        <v>3510</v>
      </c>
      <c r="B1712" s="1" t="str">
        <f>"9780826115386"</f>
        <v>9780826115386</v>
      </c>
      <c r="C1712" s="1" t="s">
        <v>2339</v>
      </c>
      <c r="D1712" s="2">
        <v>39428</v>
      </c>
      <c r="E1712" s="1" t="s">
        <v>3511</v>
      </c>
      <c r="F1712" s="1" t="s">
        <v>304</v>
      </c>
    </row>
    <row r="1713" spans="1:6" ht="30" customHeight="1" x14ac:dyDescent="0.25">
      <c r="A1713" s="1" t="s">
        <v>3512</v>
      </c>
      <c r="B1713" s="1" t="str">
        <f>"9789812706867"</f>
        <v>9789812706867</v>
      </c>
      <c r="C1713" s="1" t="s">
        <v>881</v>
      </c>
      <c r="D1713" s="2">
        <v>41773</v>
      </c>
      <c r="E1713" s="1" t="s">
        <v>3513</v>
      </c>
      <c r="F1713" s="1" t="s">
        <v>438</v>
      </c>
    </row>
    <row r="1714" spans="1:6" ht="30" customHeight="1" x14ac:dyDescent="0.25">
      <c r="A1714" s="1" t="s">
        <v>3514</v>
      </c>
      <c r="B1714" s="1" t="str">
        <f>"9789812706690"</f>
        <v>9789812706690</v>
      </c>
      <c r="C1714" s="1" t="s">
        <v>881</v>
      </c>
      <c r="D1714" s="2">
        <v>39417</v>
      </c>
      <c r="E1714" s="1" t="s">
        <v>3515</v>
      </c>
      <c r="F1714" s="1" t="s">
        <v>1152</v>
      </c>
    </row>
    <row r="1715" spans="1:6" ht="30" customHeight="1" x14ac:dyDescent="0.25">
      <c r="A1715" s="1" t="s">
        <v>3516</v>
      </c>
      <c r="B1715" s="1" t="str">
        <f>"9781860947964"</f>
        <v>9781860947964</v>
      </c>
      <c r="C1715" s="1" t="s">
        <v>876</v>
      </c>
      <c r="D1715" s="2">
        <v>41773</v>
      </c>
      <c r="E1715" s="1" t="s">
        <v>3517</v>
      </c>
      <c r="F1715" s="1" t="s">
        <v>13</v>
      </c>
    </row>
    <row r="1716" spans="1:6" ht="30" customHeight="1" x14ac:dyDescent="0.25">
      <c r="A1716" s="1" t="s">
        <v>3518</v>
      </c>
      <c r="B1716" s="1" t="str">
        <f>"9781860948183"</f>
        <v>9781860948183</v>
      </c>
      <c r="C1716" s="1" t="s">
        <v>876</v>
      </c>
      <c r="D1716" s="2">
        <v>41773</v>
      </c>
      <c r="E1716" s="1" t="s">
        <v>3519</v>
      </c>
      <c r="F1716" s="1" t="s">
        <v>3520</v>
      </c>
    </row>
    <row r="1717" spans="1:6" ht="30" customHeight="1" x14ac:dyDescent="0.25">
      <c r="A1717" s="1" t="s">
        <v>3521</v>
      </c>
      <c r="B1717" s="1" t="str">
        <f>"9781860948312"</f>
        <v>9781860948312</v>
      </c>
      <c r="C1717" s="1" t="s">
        <v>876</v>
      </c>
      <c r="D1717" s="2">
        <v>41773</v>
      </c>
      <c r="E1717" s="1" t="s">
        <v>3522</v>
      </c>
      <c r="F1717" s="1" t="s">
        <v>359</v>
      </c>
    </row>
    <row r="1718" spans="1:6" ht="30" customHeight="1" x14ac:dyDescent="0.25">
      <c r="A1718" s="1" t="s">
        <v>3523</v>
      </c>
      <c r="B1718" s="1" t="str">
        <f>"9781860948336"</f>
        <v>9781860948336</v>
      </c>
      <c r="C1718" s="1" t="s">
        <v>876</v>
      </c>
      <c r="D1718" s="2">
        <v>41773</v>
      </c>
      <c r="E1718" s="1" t="s">
        <v>3524</v>
      </c>
      <c r="F1718" s="1" t="s">
        <v>13</v>
      </c>
    </row>
    <row r="1719" spans="1:6" ht="30" customHeight="1" x14ac:dyDescent="0.25">
      <c r="A1719" s="1" t="s">
        <v>3525</v>
      </c>
      <c r="B1719" s="1" t="str">
        <f>"9781860948305"</f>
        <v>9781860948305</v>
      </c>
      <c r="C1719" s="1" t="s">
        <v>876</v>
      </c>
      <c r="D1719" s="2">
        <v>41773</v>
      </c>
      <c r="E1719" s="1" t="s">
        <v>3526</v>
      </c>
      <c r="F1719" s="1" t="s">
        <v>13</v>
      </c>
    </row>
    <row r="1720" spans="1:6" ht="30" customHeight="1" x14ac:dyDescent="0.25">
      <c r="A1720" s="1" t="s">
        <v>3527</v>
      </c>
      <c r="B1720" s="1" t="str">
        <f>"9789812708434"</f>
        <v>9789812708434</v>
      </c>
      <c r="C1720" s="1" t="s">
        <v>881</v>
      </c>
      <c r="D1720" s="2">
        <v>41773</v>
      </c>
      <c r="E1720" s="1" t="s">
        <v>3528</v>
      </c>
      <c r="F1720" s="1" t="s">
        <v>148</v>
      </c>
    </row>
    <row r="1721" spans="1:6" ht="30" customHeight="1" x14ac:dyDescent="0.25">
      <c r="A1721" s="1" t="s">
        <v>3529</v>
      </c>
      <c r="B1721" s="1" t="str">
        <f>"9789812770431"</f>
        <v>9789812770431</v>
      </c>
      <c r="C1721" s="1" t="s">
        <v>881</v>
      </c>
      <c r="D1721" s="2">
        <v>39417</v>
      </c>
      <c r="E1721" s="1" t="s">
        <v>3530</v>
      </c>
      <c r="F1721" s="1" t="s">
        <v>3531</v>
      </c>
    </row>
    <row r="1722" spans="1:6" ht="30" customHeight="1" x14ac:dyDescent="0.25">
      <c r="A1722" s="1" t="s">
        <v>3532</v>
      </c>
      <c r="B1722" s="1" t="str">
        <f>"9789812771049"</f>
        <v>9789812771049</v>
      </c>
      <c r="C1722" s="1" t="s">
        <v>881</v>
      </c>
      <c r="D1722" s="2">
        <v>41773</v>
      </c>
      <c r="E1722" s="1" t="s">
        <v>3533</v>
      </c>
      <c r="F1722" s="1" t="s">
        <v>13</v>
      </c>
    </row>
    <row r="1723" spans="1:6" ht="30" customHeight="1" x14ac:dyDescent="0.25">
      <c r="A1723" s="1" t="s">
        <v>3534</v>
      </c>
      <c r="B1723" s="1" t="str">
        <f>"9789812770974"</f>
        <v>9789812770974</v>
      </c>
      <c r="C1723" s="1" t="s">
        <v>881</v>
      </c>
      <c r="D1723" s="2">
        <v>41773</v>
      </c>
      <c r="E1723" s="1" t="s">
        <v>3535</v>
      </c>
      <c r="F1723" s="1" t="s">
        <v>3536</v>
      </c>
    </row>
    <row r="1724" spans="1:6" ht="30" customHeight="1" x14ac:dyDescent="0.25">
      <c r="A1724" s="1" t="s">
        <v>3537</v>
      </c>
      <c r="B1724" s="1" t="str">
        <f>"9789812770172"</f>
        <v>9789812770172</v>
      </c>
      <c r="C1724" s="1" t="s">
        <v>881</v>
      </c>
      <c r="D1724" s="2">
        <v>39417</v>
      </c>
      <c r="E1724" s="1" t="s">
        <v>3538</v>
      </c>
      <c r="F1724" s="1" t="s">
        <v>63</v>
      </c>
    </row>
    <row r="1725" spans="1:6" ht="30" customHeight="1" x14ac:dyDescent="0.25">
      <c r="A1725" s="1" t="s">
        <v>3539</v>
      </c>
      <c r="B1725" s="1" t="str">
        <f>"9789812771278"</f>
        <v>9789812771278</v>
      </c>
      <c r="C1725" s="1" t="s">
        <v>881</v>
      </c>
      <c r="D1725" s="2">
        <v>41773</v>
      </c>
      <c r="E1725" s="1" t="s">
        <v>3540</v>
      </c>
      <c r="F1725" s="1" t="s">
        <v>751</v>
      </c>
    </row>
    <row r="1726" spans="1:6" ht="30" customHeight="1" x14ac:dyDescent="0.25">
      <c r="A1726" s="1" t="s">
        <v>3541</v>
      </c>
      <c r="B1726" s="1" t="str">
        <f>"9781860948701"</f>
        <v>9781860948701</v>
      </c>
      <c r="C1726" s="1" t="s">
        <v>876</v>
      </c>
      <c r="D1726" s="2">
        <v>41773</v>
      </c>
      <c r="E1726" s="1" t="s">
        <v>3542</v>
      </c>
      <c r="F1726" s="1" t="s">
        <v>13</v>
      </c>
    </row>
    <row r="1727" spans="1:6" ht="30" customHeight="1" x14ac:dyDescent="0.25">
      <c r="A1727" s="1" t="s">
        <v>3543</v>
      </c>
      <c r="B1727" s="1" t="str">
        <f>"9789812771490"</f>
        <v>9789812771490</v>
      </c>
      <c r="C1727" s="1" t="s">
        <v>881</v>
      </c>
      <c r="D1727" s="2">
        <v>39417</v>
      </c>
      <c r="E1727" s="1" t="s">
        <v>3544</v>
      </c>
      <c r="F1727" s="1" t="s">
        <v>650</v>
      </c>
    </row>
    <row r="1728" spans="1:6" ht="30" customHeight="1" x14ac:dyDescent="0.25">
      <c r="A1728" s="1" t="s">
        <v>3545</v>
      </c>
      <c r="B1728" s="1" t="str">
        <f>"9781605570174"</f>
        <v>9781605570174</v>
      </c>
      <c r="C1728" s="1" t="s">
        <v>3546</v>
      </c>
      <c r="D1728" s="2">
        <v>35796</v>
      </c>
      <c r="E1728" s="1" t="s">
        <v>3547</v>
      </c>
      <c r="F1728" s="1" t="s">
        <v>13</v>
      </c>
    </row>
    <row r="1729" spans="1:6" ht="30" customHeight="1" x14ac:dyDescent="0.25">
      <c r="A1729" s="1" t="s">
        <v>3548</v>
      </c>
      <c r="B1729" s="1" t="str">
        <f>"9780080551371"</f>
        <v>9780080551371</v>
      </c>
      <c r="C1729" s="1" t="s">
        <v>900</v>
      </c>
      <c r="D1729" s="2">
        <v>40378</v>
      </c>
      <c r="E1729" s="1" t="s">
        <v>3549</v>
      </c>
      <c r="F1729" s="1" t="s">
        <v>33</v>
      </c>
    </row>
    <row r="1730" spans="1:6" ht="30" customHeight="1" x14ac:dyDescent="0.25">
      <c r="A1730" s="1" t="s">
        <v>3550</v>
      </c>
      <c r="B1730" s="1" t="str">
        <f>"9780080533124"</f>
        <v>9780080533124</v>
      </c>
      <c r="C1730" s="1" t="s">
        <v>900</v>
      </c>
      <c r="D1730" s="2">
        <v>38251</v>
      </c>
      <c r="E1730" s="1" t="s">
        <v>3551</v>
      </c>
      <c r="F1730" s="1" t="s">
        <v>13</v>
      </c>
    </row>
    <row r="1731" spans="1:6" ht="30" customHeight="1" x14ac:dyDescent="0.25">
      <c r="A1731" s="1" t="s">
        <v>3552</v>
      </c>
      <c r="B1731" s="1" t="str">
        <f>"9781593856564"</f>
        <v>9781593856564</v>
      </c>
      <c r="C1731" s="1" t="s">
        <v>3308</v>
      </c>
      <c r="D1731" s="2">
        <v>41773</v>
      </c>
      <c r="E1731" s="1" t="s">
        <v>3553</v>
      </c>
      <c r="F1731" s="1" t="s">
        <v>13</v>
      </c>
    </row>
    <row r="1732" spans="1:6" ht="30" customHeight="1" x14ac:dyDescent="0.25">
      <c r="A1732" s="1" t="s">
        <v>3554</v>
      </c>
      <c r="B1732" s="1" t="str">
        <f>"9781593856571"</f>
        <v>9781593856571</v>
      </c>
      <c r="C1732" s="1" t="s">
        <v>3308</v>
      </c>
      <c r="D1732" s="2">
        <v>41773</v>
      </c>
      <c r="E1732" s="1" t="s">
        <v>3555</v>
      </c>
      <c r="F1732" s="1" t="s">
        <v>13</v>
      </c>
    </row>
    <row r="1733" spans="1:6" ht="30" customHeight="1" x14ac:dyDescent="0.25">
      <c r="A1733" s="1" t="s">
        <v>3556</v>
      </c>
      <c r="B1733" s="1" t="str">
        <f>"9781593856618"</f>
        <v>9781593856618</v>
      </c>
      <c r="C1733" s="1" t="s">
        <v>3308</v>
      </c>
      <c r="D1733" s="2">
        <v>41773</v>
      </c>
      <c r="E1733" s="1" t="s">
        <v>3557</v>
      </c>
      <c r="F1733" s="1" t="s">
        <v>13</v>
      </c>
    </row>
    <row r="1734" spans="1:6" ht="30" customHeight="1" x14ac:dyDescent="0.25">
      <c r="A1734" s="1" t="s">
        <v>3558</v>
      </c>
      <c r="B1734" s="1" t="str">
        <f>"9781593856649"</f>
        <v>9781593856649</v>
      </c>
      <c r="C1734" s="1" t="s">
        <v>3308</v>
      </c>
      <c r="D1734" s="2">
        <v>41773</v>
      </c>
      <c r="E1734" s="1" t="s">
        <v>3559</v>
      </c>
      <c r="F1734" s="1" t="s">
        <v>148</v>
      </c>
    </row>
    <row r="1735" spans="1:6" ht="30" customHeight="1" x14ac:dyDescent="0.25">
      <c r="A1735" s="1" t="s">
        <v>3560</v>
      </c>
      <c r="B1735" s="1" t="str">
        <f>"9781593856663"</f>
        <v>9781593856663</v>
      </c>
      <c r="C1735" s="1" t="s">
        <v>3308</v>
      </c>
      <c r="D1735" s="2">
        <v>41773</v>
      </c>
      <c r="E1735" s="1" t="s">
        <v>3561</v>
      </c>
      <c r="F1735" s="1" t="s">
        <v>13</v>
      </c>
    </row>
    <row r="1736" spans="1:6" ht="30" customHeight="1" x14ac:dyDescent="0.25">
      <c r="A1736" s="1" t="s">
        <v>3562</v>
      </c>
      <c r="B1736" s="1" t="str">
        <f>"9781593856670"</f>
        <v>9781593856670</v>
      </c>
      <c r="C1736" s="1" t="s">
        <v>3308</v>
      </c>
      <c r="D1736" s="2">
        <v>41773</v>
      </c>
      <c r="E1736" s="1" t="s">
        <v>3563</v>
      </c>
      <c r="F1736" s="1" t="s">
        <v>13</v>
      </c>
    </row>
    <row r="1737" spans="1:6" ht="30" customHeight="1" x14ac:dyDescent="0.25">
      <c r="A1737" s="1" t="s">
        <v>3564</v>
      </c>
      <c r="B1737" s="1" t="str">
        <f>"9781593856687"</f>
        <v>9781593856687</v>
      </c>
      <c r="C1737" s="1" t="s">
        <v>3308</v>
      </c>
      <c r="D1737" s="2">
        <v>41773</v>
      </c>
      <c r="E1737" s="1" t="s">
        <v>3565</v>
      </c>
      <c r="F1737" s="1" t="s">
        <v>2877</v>
      </c>
    </row>
    <row r="1738" spans="1:6" ht="30" customHeight="1" x14ac:dyDescent="0.25">
      <c r="A1738" s="1" t="s">
        <v>3566</v>
      </c>
      <c r="B1738" s="1" t="str">
        <f>"9781593856700"</f>
        <v>9781593856700</v>
      </c>
      <c r="C1738" s="1" t="s">
        <v>3308</v>
      </c>
      <c r="D1738" s="2">
        <v>41773</v>
      </c>
      <c r="E1738" s="1" t="s">
        <v>3567</v>
      </c>
      <c r="F1738" s="1" t="s">
        <v>650</v>
      </c>
    </row>
    <row r="1739" spans="1:6" ht="30" customHeight="1" x14ac:dyDescent="0.25">
      <c r="A1739" s="1" t="s">
        <v>3568</v>
      </c>
      <c r="B1739" s="1" t="str">
        <f>"9781593856717"</f>
        <v>9781593856717</v>
      </c>
      <c r="C1739" s="1" t="s">
        <v>3308</v>
      </c>
      <c r="D1739" s="2">
        <v>41773</v>
      </c>
      <c r="E1739" s="1" t="s">
        <v>3569</v>
      </c>
      <c r="F1739" s="1" t="s">
        <v>13</v>
      </c>
    </row>
    <row r="1740" spans="1:6" ht="30" customHeight="1" x14ac:dyDescent="0.25">
      <c r="A1740" s="1" t="s">
        <v>3570</v>
      </c>
      <c r="B1740" s="1" t="str">
        <f>"9780253112330"</f>
        <v>9780253112330</v>
      </c>
      <c r="C1740" s="1" t="s">
        <v>19</v>
      </c>
      <c r="D1740" s="2">
        <v>39037</v>
      </c>
      <c r="E1740" s="1" t="s">
        <v>3571</v>
      </c>
      <c r="F1740" s="1" t="s">
        <v>286</v>
      </c>
    </row>
    <row r="1741" spans="1:6" ht="30" customHeight="1" x14ac:dyDescent="0.25">
      <c r="A1741" s="1" t="s">
        <v>3572</v>
      </c>
      <c r="B1741" s="1" t="str">
        <f>"9780803209183"</f>
        <v>9780803209183</v>
      </c>
      <c r="C1741" s="1" t="s">
        <v>3573</v>
      </c>
      <c r="D1741" s="2">
        <v>39326</v>
      </c>
      <c r="E1741" s="1" t="s">
        <v>3574</v>
      </c>
      <c r="F1741" s="1" t="s">
        <v>3575</v>
      </c>
    </row>
    <row r="1742" spans="1:6" ht="30" customHeight="1" x14ac:dyDescent="0.25">
      <c r="A1742" s="1" t="s">
        <v>3576</v>
      </c>
      <c r="B1742" s="1" t="str">
        <f>"9780080526928"</f>
        <v>9780080526928</v>
      </c>
      <c r="C1742" s="1" t="s">
        <v>900</v>
      </c>
      <c r="D1742" s="2">
        <v>36271</v>
      </c>
      <c r="E1742" s="1" t="s">
        <v>3577</v>
      </c>
      <c r="F1742" s="1" t="s">
        <v>214</v>
      </c>
    </row>
    <row r="1743" spans="1:6" ht="30" customHeight="1" x14ac:dyDescent="0.25">
      <c r="A1743" s="1" t="s">
        <v>3578</v>
      </c>
      <c r="B1743" s="1" t="str">
        <f>"9780080535449"</f>
        <v>9780080535449</v>
      </c>
      <c r="C1743" s="1" t="s">
        <v>900</v>
      </c>
      <c r="D1743" s="2">
        <v>36773</v>
      </c>
      <c r="E1743" s="1" t="s">
        <v>3579</v>
      </c>
      <c r="F1743" s="1" t="s">
        <v>13</v>
      </c>
    </row>
    <row r="1744" spans="1:6" ht="30" customHeight="1" x14ac:dyDescent="0.25">
      <c r="A1744" s="1" t="s">
        <v>3580</v>
      </c>
      <c r="B1744" s="1" t="str">
        <f>"9780080541907"</f>
        <v>9780080541907</v>
      </c>
      <c r="C1744" s="1" t="s">
        <v>900</v>
      </c>
      <c r="D1744" s="2">
        <v>36654</v>
      </c>
      <c r="E1744" s="1" t="s">
        <v>3581</v>
      </c>
      <c r="F1744" s="1" t="s">
        <v>13</v>
      </c>
    </row>
    <row r="1745" spans="1:6" ht="30" customHeight="1" x14ac:dyDescent="0.25">
      <c r="A1745" s="1" t="s">
        <v>3582</v>
      </c>
      <c r="B1745" s="1" t="str">
        <f>"9781933531793"</f>
        <v>9781933531793</v>
      </c>
      <c r="C1745" s="1" t="s">
        <v>3583</v>
      </c>
      <c r="D1745" s="2">
        <v>38047</v>
      </c>
      <c r="E1745" s="1" t="s">
        <v>3584</v>
      </c>
      <c r="F1745" s="1" t="s">
        <v>599</v>
      </c>
    </row>
    <row r="1746" spans="1:6" ht="30" customHeight="1" x14ac:dyDescent="0.25">
      <c r="A1746" s="1" t="s">
        <v>3585</v>
      </c>
      <c r="B1746" s="1" t="str">
        <f>"9780470518175"</f>
        <v>9780470518175</v>
      </c>
      <c r="C1746" s="1" t="s">
        <v>65</v>
      </c>
      <c r="D1746" s="2">
        <v>39352</v>
      </c>
      <c r="E1746" s="1" t="s">
        <v>3586</v>
      </c>
      <c r="F1746" s="1" t="s">
        <v>13</v>
      </c>
    </row>
    <row r="1747" spans="1:6" ht="30" customHeight="1" x14ac:dyDescent="0.25">
      <c r="A1747" s="1" t="s">
        <v>3587</v>
      </c>
      <c r="B1747" s="1" t="str">
        <f>"9780470518182"</f>
        <v>9780470518182</v>
      </c>
      <c r="C1747" s="1" t="s">
        <v>65</v>
      </c>
      <c r="D1747" s="2">
        <v>39352</v>
      </c>
      <c r="E1747" s="1" t="s">
        <v>3588</v>
      </c>
      <c r="F1747" s="1" t="s">
        <v>13</v>
      </c>
    </row>
    <row r="1748" spans="1:6" ht="30" customHeight="1" x14ac:dyDescent="0.25">
      <c r="A1748" s="1" t="s">
        <v>3589</v>
      </c>
      <c r="B1748" s="1" t="str">
        <f>"9780470518502"</f>
        <v>9780470518502</v>
      </c>
      <c r="C1748" s="1" t="s">
        <v>65</v>
      </c>
      <c r="D1748" s="2">
        <v>39352</v>
      </c>
      <c r="E1748" s="1" t="s">
        <v>3590</v>
      </c>
      <c r="F1748" s="1" t="s">
        <v>13</v>
      </c>
    </row>
    <row r="1749" spans="1:6" ht="30" customHeight="1" x14ac:dyDescent="0.25">
      <c r="A1749" s="1" t="s">
        <v>3591</v>
      </c>
      <c r="B1749" s="1" t="str">
        <f>"9780198033363"</f>
        <v>9780198033363</v>
      </c>
      <c r="C1749" s="1" t="s">
        <v>1123</v>
      </c>
      <c r="D1749" s="2">
        <v>38792</v>
      </c>
      <c r="E1749" s="1" t="s">
        <v>3592</v>
      </c>
      <c r="F1749" s="1" t="s">
        <v>356</v>
      </c>
    </row>
    <row r="1750" spans="1:6" ht="30" customHeight="1" x14ac:dyDescent="0.25">
      <c r="A1750" s="1" t="s">
        <v>3593</v>
      </c>
      <c r="B1750" s="1" t="str">
        <f>"9780198031949"</f>
        <v>9780198031949</v>
      </c>
      <c r="C1750" s="1" t="s">
        <v>1120</v>
      </c>
      <c r="D1750" s="2">
        <v>38960</v>
      </c>
      <c r="E1750" s="1" t="s">
        <v>3594</v>
      </c>
      <c r="F1750" s="1" t="s">
        <v>13</v>
      </c>
    </row>
    <row r="1751" spans="1:6" ht="30" customHeight="1" x14ac:dyDescent="0.25">
      <c r="A1751" s="1" t="s">
        <v>3595</v>
      </c>
      <c r="B1751" s="1" t="str">
        <f>"9780470165850"</f>
        <v>9780470165850</v>
      </c>
      <c r="C1751" s="1" t="s">
        <v>11</v>
      </c>
      <c r="D1751" s="2">
        <v>39456</v>
      </c>
      <c r="E1751" s="1" t="s">
        <v>3596</v>
      </c>
      <c r="F1751" s="1" t="s">
        <v>13</v>
      </c>
    </row>
    <row r="1752" spans="1:6" ht="30" customHeight="1" x14ac:dyDescent="0.25">
      <c r="A1752" s="1" t="s">
        <v>3597</v>
      </c>
      <c r="B1752" s="1" t="str">
        <f>"9780470191484"</f>
        <v>9780470191484</v>
      </c>
      <c r="C1752" s="1" t="s">
        <v>11</v>
      </c>
      <c r="D1752" s="2">
        <v>39387</v>
      </c>
      <c r="E1752" s="1" t="s">
        <v>3598</v>
      </c>
      <c r="F1752" s="1" t="s">
        <v>13</v>
      </c>
    </row>
    <row r="1753" spans="1:6" ht="30" customHeight="1" x14ac:dyDescent="0.25">
      <c r="A1753" s="1" t="s">
        <v>3599</v>
      </c>
      <c r="B1753" s="1" t="str">
        <f>"9780470233146"</f>
        <v>9780470233146</v>
      </c>
      <c r="C1753" s="1" t="s">
        <v>11</v>
      </c>
      <c r="D1753" s="2">
        <v>39381</v>
      </c>
      <c r="E1753" s="1" t="s">
        <v>3600</v>
      </c>
      <c r="F1753" s="1" t="s">
        <v>13</v>
      </c>
    </row>
    <row r="1754" spans="1:6" ht="30" customHeight="1" x14ac:dyDescent="0.25">
      <c r="A1754" s="1" t="s">
        <v>3601</v>
      </c>
      <c r="B1754" s="1" t="str">
        <f>"9781574413373"</f>
        <v>9781574413373</v>
      </c>
      <c r="C1754" s="1" t="s">
        <v>3602</v>
      </c>
      <c r="D1754" s="2">
        <v>38487</v>
      </c>
      <c r="E1754" s="1" t="s">
        <v>3603</v>
      </c>
      <c r="F1754" s="1" t="s">
        <v>13</v>
      </c>
    </row>
    <row r="1755" spans="1:6" ht="30" customHeight="1" x14ac:dyDescent="0.25">
      <c r="A1755" s="1" t="s">
        <v>3604</v>
      </c>
      <c r="B1755" s="1" t="str">
        <f>"9781593855338"</f>
        <v>9781593855338</v>
      </c>
      <c r="C1755" s="1" t="s">
        <v>3308</v>
      </c>
      <c r="D1755" s="2">
        <v>41773</v>
      </c>
      <c r="E1755" s="1" t="s">
        <v>3605</v>
      </c>
      <c r="F1755" s="1" t="s">
        <v>13</v>
      </c>
    </row>
    <row r="1756" spans="1:6" ht="30" customHeight="1" x14ac:dyDescent="0.25">
      <c r="A1756" s="1" t="s">
        <v>3606</v>
      </c>
      <c r="B1756" s="1" t="str">
        <f>"9780470183380"</f>
        <v>9780470183380</v>
      </c>
      <c r="C1756" s="1" t="s">
        <v>65</v>
      </c>
      <c r="D1756" s="2">
        <v>39450</v>
      </c>
      <c r="E1756" s="1" t="s">
        <v>3607</v>
      </c>
      <c r="F1756" s="1" t="s">
        <v>13</v>
      </c>
    </row>
    <row r="1757" spans="1:6" ht="30" customHeight="1" x14ac:dyDescent="0.25">
      <c r="A1757" s="1" t="s">
        <v>3608</v>
      </c>
      <c r="B1757" s="1" t="str">
        <f>"9780335229499"</f>
        <v>9780335229499</v>
      </c>
      <c r="C1757" s="1" t="s">
        <v>2247</v>
      </c>
      <c r="D1757" s="2">
        <v>39052</v>
      </c>
      <c r="E1757" s="1" t="s">
        <v>3609</v>
      </c>
      <c r="F1757" s="1" t="s">
        <v>95</v>
      </c>
    </row>
    <row r="1758" spans="1:6" ht="30" customHeight="1" x14ac:dyDescent="0.25">
      <c r="A1758" s="1" t="s">
        <v>3610</v>
      </c>
      <c r="B1758" s="1" t="str">
        <f>"9780335229505"</f>
        <v>9780335229505</v>
      </c>
      <c r="C1758" s="1" t="s">
        <v>2247</v>
      </c>
      <c r="D1758" s="2">
        <v>39052</v>
      </c>
      <c r="E1758" s="1" t="s">
        <v>3611</v>
      </c>
      <c r="F1758" s="1" t="s">
        <v>13</v>
      </c>
    </row>
    <row r="1759" spans="1:6" ht="30" customHeight="1" x14ac:dyDescent="0.25">
      <c r="A1759" s="1" t="s">
        <v>3612</v>
      </c>
      <c r="B1759" s="1" t="str">
        <f>"9780335229512"</f>
        <v>9780335229512</v>
      </c>
      <c r="C1759" s="1" t="s">
        <v>2247</v>
      </c>
      <c r="D1759" s="2">
        <v>38991</v>
      </c>
      <c r="E1759" s="1" t="s">
        <v>2282</v>
      </c>
      <c r="F1759" s="1" t="s">
        <v>13</v>
      </c>
    </row>
    <row r="1760" spans="1:6" ht="30" customHeight="1" x14ac:dyDescent="0.25">
      <c r="A1760" s="1" t="s">
        <v>3614</v>
      </c>
      <c r="B1760" s="1" t="str">
        <f>"9780335229567"</f>
        <v>9780335229567</v>
      </c>
      <c r="C1760" s="1" t="s">
        <v>2247</v>
      </c>
      <c r="D1760" s="2">
        <v>38991</v>
      </c>
      <c r="E1760" s="1" t="s">
        <v>3615</v>
      </c>
      <c r="F1760" s="1" t="s">
        <v>13</v>
      </c>
    </row>
    <row r="1761" spans="1:6" ht="30" customHeight="1" x14ac:dyDescent="0.25">
      <c r="A1761" s="1" t="s">
        <v>3616</v>
      </c>
      <c r="B1761" s="1" t="str">
        <f>"9780335229574"</f>
        <v>9780335229574</v>
      </c>
      <c r="C1761" s="1" t="s">
        <v>2247</v>
      </c>
      <c r="D1761" s="2">
        <v>39052</v>
      </c>
      <c r="E1761" s="1" t="s">
        <v>3617</v>
      </c>
      <c r="F1761" s="1" t="s">
        <v>95</v>
      </c>
    </row>
    <row r="1762" spans="1:6" ht="30" customHeight="1" x14ac:dyDescent="0.25">
      <c r="A1762" s="1" t="s">
        <v>3618</v>
      </c>
      <c r="B1762" s="1" t="str">
        <f>"9780335229598"</f>
        <v>9780335229598</v>
      </c>
      <c r="C1762" s="1" t="s">
        <v>2247</v>
      </c>
      <c r="D1762" s="2">
        <v>39173</v>
      </c>
      <c r="E1762" s="1" t="s">
        <v>3619</v>
      </c>
      <c r="F1762" s="1" t="s">
        <v>13</v>
      </c>
    </row>
    <row r="1763" spans="1:6" ht="30" customHeight="1" x14ac:dyDescent="0.25">
      <c r="A1763" s="1" t="s">
        <v>3620</v>
      </c>
      <c r="B1763" s="1" t="str">
        <f>"9780335229710"</f>
        <v>9780335229710</v>
      </c>
      <c r="C1763" s="1" t="s">
        <v>2247</v>
      </c>
      <c r="D1763" s="2">
        <v>38991</v>
      </c>
      <c r="E1763" s="1" t="s">
        <v>3621</v>
      </c>
      <c r="F1763" s="1" t="s">
        <v>13</v>
      </c>
    </row>
    <row r="1764" spans="1:6" ht="30" customHeight="1" x14ac:dyDescent="0.25">
      <c r="A1764" s="1" t="s">
        <v>3622</v>
      </c>
      <c r="B1764" s="1" t="str">
        <f>"9780335229734"</f>
        <v>9780335229734</v>
      </c>
      <c r="C1764" s="1" t="s">
        <v>2247</v>
      </c>
      <c r="D1764" s="2">
        <v>39052</v>
      </c>
      <c r="E1764" s="1" t="s">
        <v>3623</v>
      </c>
      <c r="F1764" s="1" t="s">
        <v>13</v>
      </c>
    </row>
    <row r="1765" spans="1:6" ht="30" customHeight="1" x14ac:dyDescent="0.25">
      <c r="A1765" s="1" t="s">
        <v>3624</v>
      </c>
      <c r="B1765" s="1" t="str">
        <f>"9780335229772"</f>
        <v>9780335229772</v>
      </c>
      <c r="C1765" s="1" t="s">
        <v>2247</v>
      </c>
      <c r="D1765" s="2">
        <v>38930</v>
      </c>
      <c r="E1765" s="1" t="s">
        <v>3625</v>
      </c>
      <c r="F1765" s="1" t="s">
        <v>30</v>
      </c>
    </row>
    <row r="1766" spans="1:6" ht="30" customHeight="1" x14ac:dyDescent="0.25">
      <c r="A1766" s="1" t="s">
        <v>3626</v>
      </c>
      <c r="B1766" s="1" t="str">
        <f>"9780335229789"</f>
        <v>9780335229789</v>
      </c>
      <c r="C1766" s="1" t="s">
        <v>2247</v>
      </c>
      <c r="D1766" s="2">
        <v>39114</v>
      </c>
      <c r="E1766" s="1" t="s">
        <v>3627</v>
      </c>
      <c r="F1766" s="1" t="s">
        <v>176</v>
      </c>
    </row>
    <row r="1767" spans="1:6" ht="30" customHeight="1" x14ac:dyDescent="0.25">
      <c r="A1767" s="1" t="s">
        <v>3628</v>
      </c>
      <c r="B1767" s="1" t="str">
        <f>"9780335229840"</f>
        <v>9780335229840</v>
      </c>
      <c r="C1767" s="1" t="s">
        <v>2247</v>
      </c>
      <c r="D1767" s="2">
        <v>39022</v>
      </c>
      <c r="E1767" s="1" t="s">
        <v>3629</v>
      </c>
      <c r="F1767" s="1" t="s">
        <v>127</v>
      </c>
    </row>
    <row r="1768" spans="1:6" ht="30" customHeight="1" x14ac:dyDescent="0.25">
      <c r="A1768" s="1" t="s">
        <v>3630</v>
      </c>
      <c r="B1768" s="1" t="str">
        <f>"9780335229918"</f>
        <v>9780335229918</v>
      </c>
      <c r="C1768" s="1" t="s">
        <v>2247</v>
      </c>
      <c r="D1768" s="2">
        <v>39295</v>
      </c>
      <c r="E1768" s="1" t="s">
        <v>3631</v>
      </c>
      <c r="F1768" s="1" t="s">
        <v>13</v>
      </c>
    </row>
    <row r="1769" spans="1:6" ht="30" customHeight="1" x14ac:dyDescent="0.25">
      <c r="A1769" s="1" t="s">
        <v>3632</v>
      </c>
      <c r="B1769" s="1" t="str">
        <f>"9780335229925"</f>
        <v>9780335229925</v>
      </c>
      <c r="C1769" s="1" t="s">
        <v>2247</v>
      </c>
      <c r="D1769" s="2">
        <v>39052</v>
      </c>
      <c r="E1769" s="1" t="s">
        <v>3633</v>
      </c>
      <c r="F1769" s="1" t="s">
        <v>95</v>
      </c>
    </row>
    <row r="1770" spans="1:6" ht="30" customHeight="1" x14ac:dyDescent="0.25">
      <c r="A1770" s="1" t="s">
        <v>3634</v>
      </c>
      <c r="B1770" s="1" t="str">
        <f>"9780335229956"</f>
        <v>9780335229956</v>
      </c>
      <c r="C1770" s="1" t="s">
        <v>2247</v>
      </c>
      <c r="D1770" s="2">
        <v>39173</v>
      </c>
      <c r="E1770" s="1" t="s">
        <v>3635</v>
      </c>
      <c r="F1770" s="1" t="s">
        <v>30</v>
      </c>
    </row>
    <row r="1771" spans="1:6" ht="30" customHeight="1" x14ac:dyDescent="0.25">
      <c r="A1771" s="1" t="s">
        <v>3636</v>
      </c>
      <c r="B1771" s="1" t="str">
        <f>"9780335229987"</f>
        <v>9780335229987</v>
      </c>
      <c r="C1771" s="1" t="s">
        <v>2247</v>
      </c>
      <c r="D1771" s="2">
        <v>39022</v>
      </c>
      <c r="E1771" s="1" t="s">
        <v>3637</v>
      </c>
      <c r="F1771" s="1" t="s">
        <v>95</v>
      </c>
    </row>
    <row r="1772" spans="1:6" ht="30" customHeight="1" x14ac:dyDescent="0.25">
      <c r="A1772" s="1" t="s">
        <v>3638</v>
      </c>
      <c r="B1772" s="1" t="str">
        <f>"9780335230112"</f>
        <v>9780335230112</v>
      </c>
      <c r="C1772" s="1" t="s">
        <v>2247</v>
      </c>
      <c r="D1772" s="2">
        <v>39114</v>
      </c>
      <c r="E1772" s="1" t="s">
        <v>3639</v>
      </c>
      <c r="F1772" s="1" t="s">
        <v>95</v>
      </c>
    </row>
    <row r="1773" spans="1:6" ht="30" customHeight="1" x14ac:dyDescent="0.25">
      <c r="A1773" s="1" t="s">
        <v>3640</v>
      </c>
      <c r="B1773" s="1" t="str">
        <f>"9780335230136"</f>
        <v>9780335230136</v>
      </c>
      <c r="C1773" s="1" t="s">
        <v>2247</v>
      </c>
      <c r="D1773" s="2">
        <v>39173</v>
      </c>
      <c r="E1773" s="1" t="s">
        <v>3641</v>
      </c>
      <c r="F1773" s="1" t="s">
        <v>95</v>
      </c>
    </row>
    <row r="1774" spans="1:6" ht="30" customHeight="1" x14ac:dyDescent="0.25">
      <c r="A1774" s="1" t="s">
        <v>3642</v>
      </c>
      <c r="B1774" s="1" t="str">
        <f>"9780335230150"</f>
        <v>9780335230150</v>
      </c>
      <c r="C1774" s="1" t="s">
        <v>2247</v>
      </c>
      <c r="D1774" s="2">
        <v>39264</v>
      </c>
      <c r="E1774" s="1" t="s">
        <v>3643</v>
      </c>
      <c r="F1774" s="1" t="s">
        <v>158</v>
      </c>
    </row>
    <row r="1775" spans="1:6" ht="30" customHeight="1" x14ac:dyDescent="0.25">
      <c r="A1775" s="1" t="s">
        <v>3644</v>
      </c>
      <c r="B1775" s="1" t="str">
        <f>"9780335230242"</f>
        <v>9780335230242</v>
      </c>
      <c r="C1775" s="1" t="s">
        <v>2247</v>
      </c>
      <c r="D1775" s="2">
        <v>39267</v>
      </c>
      <c r="E1775" s="1" t="s">
        <v>3645</v>
      </c>
      <c r="F1775" s="1" t="s">
        <v>70</v>
      </c>
    </row>
    <row r="1776" spans="1:6" ht="30" customHeight="1" x14ac:dyDescent="0.25">
      <c r="A1776" s="1" t="s">
        <v>3646</v>
      </c>
      <c r="B1776" s="1" t="str">
        <f>"9780335230310"</f>
        <v>9780335230310</v>
      </c>
      <c r="C1776" s="1" t="s">
        <v>2247</v>
      </c>
      <c r="D1776" s="2">
        <v>39052</v>
      </c>
      <c r="E1776" s="1" t="s">
        <v>3647</v>
      </c>
      <c r="F1776" s="1" t="s">
        <v>3648</v>
      </c>
    </row>
    <row r="1777" spans="1:6" ht="30" customHeight="1" x14ac:dyDescent="0.25">
      <c r="A1777" s="1" t="s">
        <v>3649</v>
      </c>
      <c r="B1777" s="1" t="str">
        <f>"9780335230402"</f>
        <v>9780335230402</v>
      </c>
      <c r="C1777" s="1" t="s">
        <v>2247</v>
      </c>
      <c r="D1777" s="2">
        <v>39052</v>
      </c>
      <c r="E1777" s="1" t="s">
        <v>3650</v>
      </c>
      <c r="F1777" s="1" t="s">
        <v>205</v>
      </c>
    </row>
    <row r="1778" spans="1:6" ht="30" customHeight="1" x14ac:dyDescent="0.25">
      <c r="A1778" s="1" t="s">
        <v>3651</v>
      </c>
      <c r="B1778" s="1" t="str">
        <f>"9781550923520"</f>
        <v>9781550923520</v>
      </c>
      <c r="C1778" s="1" t="s">
        <v>3652</v>
      </c>
      <c r="D1778" s="2">
        <v>39356</v>
      </c>
      <c r="E1778" s="1" t="s">
        <v>3653</v>
      </c>
      <c r="F1778" s="1" t="s">
        <v>3654</v>
      </c>
    </row>
    <row r="1779" spans="1:6" ht="30" customHeight="1" x14ac:dyDescent="0.25">
      <c r="A1779" s="1" t="s">
        <v>3655</v>
      </c>
      <c r="B1779" s="1" t="str">
        <f>"9780813541624"</f>
        <v>9780813541624</v>
      </c>
      <c r="C1779" s="1" t="s">
        <v>3656</v>
      </c>
      <c r="D1779" s="2">
        <v>39217</v>
      </c>
      <c r="E1779" s="1" t="s">
        <v>3657</v>
      </c>
      <c r="F1779" s="1" t="s">
        <v>599</v>
      </c>
    </row>
    <row r="1780" spans="1:6" ht="30" customHeight="1" x14ac:dyDescent="0.25">
      <c r="A1780" s="1" t="s">
        <v>3658</v>
      </c>
      <c r="B1780" s="1" t="str">
        <f>"9780813542393"</f>
        <v>9780813542393</v>
      </c>
      <c r="C1780" s="1" t="s">
        <v>3656</v>
      </c>
      <c r="D1780" s="2">
        <v>39066</v>
      </c>
      <c r="E1780" s="1" t="s">
        <v>3659</v>
      </c>
      <c r="F1780" s="1" t="s">
        <v>30</v>
      </c>
    </row>
    <row r="1781" spans="1:6" ht="30" customHeight="1" x14ac:dyDescent="0.25">
      <c r="A1781" s="1" t="s">
        <v>3660</v>
      </c>
      <c r="B1781" s="1" t="str">
        <f>"9780813542386"</f>
        <v>9780813542386</v>
      </c>
      <c r="C1781" s="1" t="s">
        <v>3656</v>
      </c>
      <c r="D1781" s="2">
        <v>39030</v>
      </c>
      <c r="E1781" s="1" t="s">
        <v>3661</v>
      </c>
      <c r="F1781" s="1" t="s">
        <v>158</v>
      </c>
    </row>
    <row r="1782" spans="1:6" ht="30" customHeight="1" x14ac:dyDescent="0.25">
      <c r="A1782" s="1" t="s">
        <v>3662</v>
      </c>
      <c r="B1782" s="1" t="str">
        <f>"9780826163660"</f>
        <v>9780826163660</v>
      </c>
      <c r="C1782" s="1" t="s">
        <v>2339</v>
      </c>
      <c r="D1782" s="2">
        <v>39278</v>
      </c>
      <c r="E1782" s="1" t="s">
        <v>3663</v>
      </c>
      <c r="F1782" s="1" t="s">
        <v>70</v>
      </c>
    </row>
    <row r="1783" spans="1:6" ht="30" customHeight="1" x14ac:dyDescent="0.25">
      <c r="A1783" s="1" t="s">
        <v>3664</v>
      </c>
      <c r="B1783" s="1" t="str">
        <f>"9780826110848"</f>
        <v>9780826110848</v>
      </c>
      <c r="C1783" s="1" t="s">
        <v>2339</v>
      </c>
      <c r="D1783" s="2">
        <v>39318</v>
      </c>
      <c r="E1783" s="1" t="s">
        <v>3665</v>
      </c>
      <c r="F1783" s="1" t="s">
        <v>126</v>
      </c>
    </row>
    <row r="1784" spans="1:6" ht="30" customHeight="1" x14ac:dyDescent="0.25">
      <c r="A1784" s="1" t="s">
        <v>3666</v>
      </c>
      <c r="B1784" s="1" t="str">
        <f>"9780826103376"</f>
        <v>9780826103376</v>
      </c>
      <c r="C1784" s="1" t="s">
        <v>2339</v>
      </c>
      <c r="D1784" s="2">
        <v>39278</v>
      </c>
      <c r="E1784" s="1" t="s">
        <v>3667</v>
      </c>
      <c r="F1784" s="1" t="s">
        <v>87</v>
      </c>
    </row>
    <row r="1785" spans="1:6" ht="30" customHeight="1" x14ac:dyDescent="0.25">
      <c r="A1785" s="1" t="s">
        <v>3668</v>
      </c>
      <c r="B1785" s="1" t="str">
        <f>"9780826111364"</f>
        <v>9780826111364</v>
      </c>
      <c r="C1785" s="1" t="s">
        <v>2339</v>
      </c>
      <c r="D1785" s="2">
        <v>39278</v>
      </c>
      <c r="E1785" s="1" t="s">
        <v>3669</v>
      </c>
      <c r="F1785" s="1" t="s">
        <v>126</v>
      </c>
    </row>
    <row r="1786" spans="1:6" ht="30" customHeight="1" x14ac:dyDescent="0.25">
      <c r="A1786" s="1" t="s">
        <v>3670</v>
      </c>
      <c r="B1786" s="1" t="str">
        <f>"9780816655199"</f>
        <v>9780816655199</v>
      </c>
      <c r="C1786" s="1" t="s">
        <v>3458</v>
      </c>
      <c r="D1786" s="2">
        <v>28368</v>
      </c>
      <c r="E1786" s="1" t="s">
        <v>3671</v>
      </c>
      <c r="F1786" s="1" t="s">
        <v>13</v>
      </c>
    </row>
    <row r="1787" spans="1:6" ht="30" customHeight="1" x14ac:dyDescent="0.25">
      <c r="A1787" s="1" t="s">
        <v>3672</v>
      </c>
      <c r="B1787" s="1" t="str">
        <f>"9780816655304"</f>
        <v>9780816655304</v>
      </c>
      <c r="C1787" s="1" t="s">
        <v>3458</v>
      </c>
      <c r="D1787" s="2">
        <v>29399</v>
      </c>
      <c r="E1787" s="1" t="s">
        <v>3673</v>
      </c>
      <c r="F1787" s="1" t="s">
        <v>87</v>
      </c>
    </row>
    <row r="1788" spans="1:6" ht="30" customHeight="1" x14ac:dyDescent="0.25">
      <c r="A1788" s="1" t="s">
        <v>3674</v>
      </c>
      <c r="B1788" s="1" t="str">
        <f>"9780816655335"</f>
        <v>9780816655335</v>
      </c>
      <c r="C1788" s="1" t="s">
        <v>3458</v>
      </c>
      <c r="D1788" s="2">
        <v>30068</v>
      </c>
      <c r="E1788" s="1" t="s">
        <v>3675</v>
      </c>
      <c r="F1788" s="1" t="s">
        <v>13</v>
      </c>
    </row>
    <row r="1789" spans="1:6" ht="30" customHeight="1" x14ac:dyDescent="0.25">
      <c r="A1789" s="1" t="s">
        <v>3676</v>
      </c>
      <c r="B1789" s="1" t="str">
        <f>"9780816655298"</f>
        <v>9780816655298</v>
      </c>
      <c r="C1789" s="1" t="s">
        <v>3458</v>
      </c>
      <c r="D1789" s="2">
        <v>29347</v>
      </c>
      <c r="E1789" s="1" t="s">
        <v>3677</v>
      </c>
      <c r="F1789" s="1" t="s">
        <v>541</v>
      </c>
    </row>
    <row r="1790" spans="1:6" ht="30" customHeight="1" x14ac:dyDescent="0.25">
      <c r="A1790" s="1" t="s">
        <v>3678</v>
      </c>
      <c r="B1790" s="1" t="str">
        <f>"9780816682386"</f>
        <v>9780816682386</v>
      </c>
      <c r="C1790" s="1" t="s">
        <v>3458</v>
      </c>
      <c r="D1790" s="2">
        <v>31813</v>
      </c>
      <c r="E1790" s="1" t="s">
        <v>3679</v>
      </c>
      <c r="F1790" s="1" t="s">
        <v>13</v>
      </c>
    </row>
    <row r="1791" spans="1:6" ht="30" customHeight="1" x14ac:dyDescent="0.25">
      <c r="A1791" s="1" t="s">
        <v>3680</v>
      </c>
      <c r="B1791" s="1" t="str">
        <f>"9780816682393"</f>
        <v>9780816682393</v>
      </c>
      <c r="C1791" s="1" t="s">
        <v>3458</v>
      </c>
      <c r="D1791" s="2">
        <v>31465</v>
      </c>
      <c r="E1791" s="1" t="s">
        <v>3681</v>
      </c>
      <c r="F1791" s="1" t="s">
        <v>13</v>
      </c>
    </row>
    <row r="1792" spans="1:6" ht="30" customHeight="1" x14ac:dyDescent="0.25">
      <c r="A1792" s="1" t="s">
        <v>3682</v>
      </c>
      <c r="B1792" s="1" t="str">
        <f>"9780816655441"</f>
        <v>9780816655441</v>
      </c>
      <c r="C1792" s="1" t="s">
        <v>3458</v>
      </c>
      <c r="D1792" s="2">
        <v>31783</v>
      </c>
      <c r="E1792" s="1" t="s">
        <v>3683</v>
      </c>
      <c r="F1792" s="1" t="s">
        <v>30</v>
      </c>
    </row>
    <row r="1793" spans="1:6" ht="30" customHeight="1" x14ac:dyDescent="0.25">
      <c r="A1793" s="1" t="s">
        <v>3684</v>
      </c>
      <c r="B1793" s="1" t="str">
        <f>"9780816682690"</f>
        <v>9780816682690</v>
      </c>
      <c r="C1793" s="1" t="s">
        <v>3458</v>
      </c>
      <c r="D1793" s="2">
        <v>31470</v>
      </c>
      <c r="E1793" s="1" t="s">
        <v>3685</v>
      </c>
      <c r="F1793" s="1" t="s">
        <v>13</v>
      </c>
    </row>
    <row r="1794" spans="1:6" ht="30" customHeight="1" x14ac:dyDescent="0.25">
      <c r="A1794" s="1" t="s">
        <v>3686</v>
      </c>
      <c r="B1794" s="1" t="str">
        <f>"9780816655410"</f>
        <v>9780816655410</v>
      </c>
      <c r="C1794" s="1" t="s">
        <v>3458</v>
      </c>
      <c r="D1794" s="2">
        <v>31493</v>
      </c>
      <c r="E1794" s="1" t="s">
        <v>3687</v>
      </c>
      <c r="F1794" s="1" t="s">
        <v>13</v>
      </c>
    </row>
    <row r="1795" spans="1:6" ht="30" customHeight="1" x14ac:dyDescent="0.25">
      <c r="A1795" s="1" t="s">
        <v>3688</v>
      </c>
      <c r="B1795" s="1" t="str">
        <f>"9780816683550"</f>
        <v>9780816683550</v>
      </c>
      <c r="C1795" s="1" t="s">
        <v>3458</v>
      </c>
      <c r="D1795" s="2">
        <v>32081</v>
      </c>
      <c r="E1795" s="1" t="s">
        <v>3689</v>
      </c>
      <c r="F1795" s="1" t="s">
        <v>104</v>
      </c>
    </row>
    <row r="1796" spans="1:6" ht="30" customHeight="1" x14ac:dyDescent="0.25">
      <c r="A1796" s="1" t="s">
        <v>3690</v>
      </c>
      <c r="B1796" s="1" t="str">
        <f>"9780816683567"</f>
        <v>9780816683567</v>
      </c>
      <c r="C1796" s="1" t="s">
        <v>3458</v>
      </c>
      <c r="D1796" s="2">
        <v>32111</v>
      </c>
      <c r="E1796" s="1" t="s">
        <v>3689</v>
      </c>
      <c r="F1796" s="1" t="s">
        <v>291</v>
      </c>
    </row>
    <row r="1797" spans="1:6" ht="30" customHeight="1" x14ac:dyDescent="0.25">
      <c r="A1797" s="1" t="s">
        <v>3691</v>
      </c>
      <c r="B1797" s="1" t="str">
        <f>"9780816681525"</f>
        <v>9780816681525</v>
      </c>
      <c r="C1797" s="1" t="s">
        <v>3458</v>
      </c>
      <c r="D1797" s="2">
        <v>25767</v>
      </c>
      <c r="E1797" s="1" t="s">
        <v>3692</v>
      </c>
      <c r="F1797" s="1" t="s">
        <v>480</v>
      </c>
    </row>
    <row r="1798" spans="1:6" ht="30" customHeight="1" x14ac:dyDescent="0.25">
      <c r="A1798" s="1" t="s">
        <v>3693</v>
      </c>
      <c r="B1798" s="1" t="str">
        <f>"9780816681532"</f>
        <v>9780816681532</v>
      </c>
      <c r="C1798" s="1" t="s">
        <v>3458</v>
      </c>
      <c r="D1798" s="2">
        <v>25767</v>
      </c>
      <c r="E1798" s="1" t="s">
        <v>3692</v>
      </c>
      <c r="F1798" s="1" t="s">
        <v>117</v>
      </c>
    </row>
    <row r="1799" spans="1:6" ht="30" customHeight="1" x14ac:dyDescent="0.25">
      <c r="A1799" s="1" t="s">
        <v>3694</v>
      </c>
      <c r="B1799" s="1" t="str">
        <f>"9780816655656"</f>
        <v>9780816655656</v>
      </c>
      <c r="C1799" s="1" t="s">
        <v>3458</v>
      </c>
      <c r="D1799" s="2">
        <v>29914</v>
      </c>
      <c r="E1799" s="1" t="s">
        <v>3695</v>
      </c>
      <c r="F1799" s="1" t="s">
        <v>3696</v>
      </c>
    </row>
    <row r="1800" spans="1:6" ht="30" customHeight="1" x14ac:dyDescent="0.25">
      <c r="A1800" s="1" t="s">
        <v>3697</v>
      </c>
      <c r="B1800" s="1" t="str">
        <f>"9780816655694"</f>
        <v>9780816655694</v>
      </c>
      <c r="C1800" s="1" t="s">
        <v>3458</v>
      </c>
      <c r="D1800" s="2">
        <v>30055</v>
      </c>
      <c r="E1800" s="1" t="s">
        <v>3698</v>
      </c>
      <c r="F1800" s="1" t="s">
        <v>13</v>
      </c>
    </row>
    <row r="1801" spans="1:6" ht="30" customHeight="1" x14ac:dyDescent="0.25">
      <c r="A1801" s="1" t="s">
        <v>3699</v>
      </c>
      <c r="B1801" s="1" t="str">
        <f>"9780080511399"</f>
        <v>9780080511399</v>
      </c>
      <c r="C1801" s="1" t="s">
        <v>900</v>
      </c>
      <c r="D1801" s="2">
        <v>37160</v>
      </c>
      <c r="E1801" s="1" t="s">
        <v>3700</v>
      </c>
      <c r="F1801" s="1" t="s">
        <v>480</v>
      </c>
    </row>
    <row r="1802" spans="1:6" ht="30" customHeight="1" x14ac:dyDescent="0.25">
      <c r="A1802" s="1" t="s">
        <v>3701</v>
      </c>
      <c r="B1802" s="1" t="str">
        <f>"9780080542423"</f>
        <v>9780080542423</v>
      </c>
      <c r="C1802" s="1" t="s">
        <v>900</v>
      </c>
      <c r="D1802" s="2">
        <v>37109</v>
      </c>
      <c r="E1802" s="1" t="s">
        <v>3702</v>
      </c>
      <c r="F1802" s="1" t="s">
        <v>13</v>
      </c>
    </row>
    <row r="1803" spans="1:6" ht="30" customHeight="1" x14ac:dyDescent="0.25">
      <c r="A1803" s="1" t="s">
        <v>3703</v>
      </c>
      <c r="B1803" s="1" t="str">
        <f>"9780080525921"</f>
        <v>9780080525921</v>
      </c>
      <c r="C1803" s="1" t="s">
        <v>900</v>
      </c>
      <c r="D1803" s="2">
        <v>35730</v>
      </c>
      <c r="E1803" s="1" t="s">
        <v>3704</v>
      </c>
      <c r="F1803" s="1" t="s">
        <v>3705</v>
      </c>
    </row>
    <row r="1804" spans="1:6" ht="30" customHeight="1" x14ac:dyDescent="0.25">
      <c r="A1804" s="1" t="s">
        <v>3706</v>
      </c>
      <c r="B1804" s="1" t="str">
        <f>"9780080527925"</f>
        <v>9780080527925</v>
      </c>
      <c r="C1804" s="1" t="s">
        <v>900</v>
      </c>
      <c r="D1804" s="2">
        <v>38554</v>
      </c>
      <c r="E1804" s="1" t="s">
        <v>3707</v>
      </c>
      <c r="F1804" s="1" t="s">
        <v>1948</v>
      </c>
    </row>
    <row r="1805" spans="1:6" ht="30" customHeight="1" x14ac:dyDescent="0.25">
      <c r="A1805" s="1" t="s">
        <v>3708</v>
      </c>
      <c r="B1805" s="1" t="str">
        <f>"9780080531434"</f>
        <v>9780080531434</v>
      </c>
      <c r="C1805" s="1" t="s">
        <v>900</v>
      </c>
      <c r="D1805" s="2">
        <v>36871</v>
      </c>
      <c r="E1805" s="1" t="s">
        <v>3709</v>
      </c>
      <c r="F1805" s="1" t="s">
        <v>13</v>
      </c>
    </row>
    <row r="1806" spans="1:6" ht="30" customHeight="1" x14ac:dyDescent="0.25">
      <c r="A1806" s="1" t="s">
        <v>3710</v>
      </c>
      <c r="B1806" s="1" t="str">
        <f>"9781934559826"</f>
        <v>9781934559826</v>
      </c>
      <c r="C1806" s="1" t="s">
        <v>2342</v>
      </c>
      <c r="D1806" s="2">
        <v>39142</v>
      </c>
      <c r="E1806" s="1" t="s">
        <v>3711</v>
      </c>
      <c r="F1806" s="1" t="s">
        <v>13</v>
      </c>
    </row>
    <row r="1807" spans="1:6" ht="30" customHeight="1" x14ac:dyDescent="0.25">
      <c r="A1807" s="1" t="s">
        <v>3712</v>
      </c>
      <c r="B1807" s="1" t="str">
        <f>"9781934559727"</f>
        <v>9781934559727</v>
      </c>
      <c r="C1807" s="1" t="s">
        <v>2342</v>
      </c>
      <c r="D1807" s="2">
        <v>39142</v>
      </c>
      <c r="E1807" s="1" t="s">
        <v>3713</v>
      </c>
      <c r="F1807" s="1" t="s">
        <v>13</v>
      </c>
    </row>
    <row r="1808" spans="1:6" ht="30" customHeight="1" x14ac:dyDescent="0.25">
      <c r="A1808" s="1" t="s">
        <v>3714</v>
      </c>
      <c r="B1808" s="1" t="str">
        <f>"9781934559574"</f>
        <v>9781934559574</v>
      </c>
      <c r="C1808" s="1" t="s">
        <v>2342</v>
      </c>
      <c r="D1808" s="2">
        <v>39142</v>
      </c>
      <c r="E1808" s="1" t="s">
        <v>3715</v>
      </c>
      <c r="F1808" s="1" t="s">
        <v>13</v>
      </c>
    </row>
    <row r="1809" spans="1:6" ht="30" customHeight="1" x14ac:dyDescent="0.25">
      <c r="A1809" s="1" t="s">
        <v>3716</v>
      </c>
      <c r="B1809" s="1" t="str">
        <f>"9781934559512"</f>
        <v>9781934559512</v>
      </c>
      <c r="C1809" s="1" t="s">
        <v>2342</v>
      </c>
      <c r="D1809" s="2">
        <v>39142</v>
      </c>
      <c r="E1809" s="1" t="s">
        <v>3717</v>
      </c>
      <c r="F1809" s="1" t="s">
        <v>13</v>
      </c>
    </row>
    <row r="1810" spans="1:6" ht="30" customHeight="1" x14ac:dyDescent="0.25">
      <c r="A1810" s="1" t="s">
        <v>3718</v>
      </c>
      <c r="B1810" s="1" t="str">
        <f>"9781934559536"</f>
        <v>9781934559536</v>
      </c>
      <c r="C1810" s="1" t="s">
        <v>2342</v>
      </c>
      <c r="D1810" s="2">
        <v>39142</v>
      </c>
      <c r="E1810" s="1" t="s">
        <v>3719</v>
      </c>
      <c r="F1810" s="1" t="s">
        <v>13</v>
      </c>
    </row>
    <row r="1811" spans="1:6" ht="30" customHeight="1" x14ac:dyDescent="0.25">
      <c r="A1811" s="1" t="s">
        <v>3720</v>
      </c>
      <c r="B1811" s="1" t="str">
        <f>"9781934559598"</f>
        <v>9781934559598</v>
      </c>
      <c r="C1811" s="1" t="s">
        <v>2342</v>
      </c>
      <c r="D1811" s="2">
        <v>39264</v>
      </c>
      <c r="E1811" s="1" t="s">
        <v>3721</v>
      </c>
      <c r="F1811" s="1" t="s">
        <v>13</v>
      </c>
    </row>
    <row r="1812" spans="1:6" ht="30" customHeight="1" x14ac:dyDescent="0.25">
      <c r="A1812" s="1" t="s">
        <v>3722</v>
      </c>
      <c r="B1812" s="1" t="str">
        <f>"9780080528069"</f>
        <v>9780080528069</v>
      </c>
      <c r="C1812" s="1" t="s">
        <v>900</v>
      </c>
      <c r="D1812" s="2">
        <v>40752</v>
      </c>
      <c r="E1812" s="1" t="s">
        <v>3723</v>
      </c>
      <c r="F1812" s="1" t="s">
        <v>13</v>
      </c>
    </row>
    <row r="1813" spans="1:6" ht="30" customHeight="1" x14ac:dyDescent="0.25">
      <c r="A1813" s="1" t="s">
        <v>3724</v>
      </c>
      <c r="B1813" s="1" t="str">
        <f>"9780080553276"</f>
        <v>9780080553276</v>
      </c>
      <c r="C1813" s="1" t="s">
        <v>900</v>
      </c>
      <c r="D1813" s="2">
        <v>39393</v>
      </c>
      <c r="E1813" s="1" t="s">
        <v>3725</v>
      </c>
      <c r="F1813" s="1" t="s">
        <v>3726</v>
      </c>
    </row>
    <row r="1814" spans="1:6" ht="30" customHeight="1" x14ac:dyDescent="0.25">
      <c r="A1814" s="1" t="s">
        <v>3727</v>
      </c>
      <c r="B1814" s="1" t="str">
        <f>"9780080553320"</f>
        <v>9780080553320</v>
      </c>
      <c r="C1814" s="1" t="s">
        <v>900</v>
      </c>
      <c r="D1814" s="2">
        <v>39388</v>
      </c>
      <c r="E1814" s="1" t="s">
        <v>3728</v>
      </c>
      <c r="F1814" s="1" t="s">
        <v>13</v>
      </c>
    </row>
    <row r="1815" spans="1:6" ht="30" customHeight="1" x14ac:dyDescent="0.25">
      <c r="A1815" s="1" t="s">
        <v>3729</v>
      </c>
      <c r="B1815" s="1" t="str">
        <f>"9780080529202"</f>
        <v>9780080529202</v>
      </c>
      <c r="C1815" s="1" t="s">
        <v>900</v>
      </c>
      <c r="D1815" s="2">
        <v>40661</v>
      </c>
      <c r="E1815" s="1" t="s">
        <v>1095</v>
      </c>
      <c r="F1815" s="1" t="s">
        <v>13</v>
      </c>
    </row>
    <row r="1816" spans="1:6" ht="30" customHeight="1" x14ac:dyDescent="0.25">
      <c r="A1816" s="1" t="s">
        <v>3730</v>
      </c>
      <c r="B1816" s="1" t="str">
        <f>"9780080527659"</f>
        <v>9780080527659</v>
      </c>
      <c r="C1816" s="1" t="s">
        <v>900</v>
      </c>
      <c r="D1816" s="2">
        <v>36949</v>
      </c>
      <c r="E1816" s="1" t="s">
        <v>3731</v>
      </c>
      <c r="F1816" s="1" t="s">
        <v>13</v>
      </c>
    </row>
    <row r="1817" spans="1:6" ht="30" customHeight="1" x14ac:dyDescent="0.25">
      <c r="A1817" s="1" t="s">
        <v>3732</v>
      </c>
      <c r="B1817" s="1" t="str">
        <f>"9781892941282"</f>
        <v>9781892941282</v>
      </c>
      <c r="C1817" s="1" t="s">
        <v>3733</v>
      </c>
      <c r="D1817" s="2">
        <v>36831</v>
      </c>
      <c r="E1817" s="1" t="s">
        <v>3734</v>
      </c>
      <c r="F1817" s="1" t="s">
        <v>13</v>
      </c>
    </row>
    <row r="1818" spans="1:6" ht="30" customHeight="1" x14ac:dyDescent="0.25">
      <c r="A1818" s="1" t="s">
        <v>3735</v>
      </c>
      <c r="B1818" s="1" t="str">
        <f>"9780875863450"</f>
        <v>9780875863450</v>
      </c>
      <c r="C1818" s="1" t="s">
        <v>3733</v>
      </c>
      <c r="D1818" s="2">
        <v>38231</v>
      </c>
      <c r="E1818" s="1" t="s">
        <v>3736</v>
      </c>
      <c r="F1818" s="1" t="s">
        <v>13</v>
      </c>
    </row>
    <row r="1819" spans="1:6" ht="30" customHeight="1" x14ac:dyDescent="0.25">
      <c r="A1819" s="1" t="s">
        <v>3737</v>
      </c>
      <c r="B1819" s="1" t="str">
        <f>"9780875863245"</f>
        <v>9780875863245</v>
      </c>
      <c r="C1819" s="1" t="s">
        <v>3733</v>
      </c>
      <c r="D1819" s="2">
        <v>38292</v>
      </c>
      <c r="E1819" s="1" t="s">
        <v>3738</v>
      </c>
      <c r="F1819" s="1" t="s">
        <v>13</v>
      </c>
    </row>
    <row r="1820" spans="1:6" ht="30" customHeight="1" x14ac:dyDescent="0.25">
      <c r="A1820" s="1" t="s">
        <v>3739</v>
      </c>
      <c r="B1820" s="1" t="str">
        <f>"9780875864129"</f>
        <v>9780875864129</v>
      </c>
      <c r="C1820" s="1" t="s">
        <v>3733</v>
      </c>
      <c r="D1820" s="2">
        <v>38657</v>
      </c>
      <c r="E1820" s="1" t="s">
        <v>3736</v>
      </c>
      <c r="F1820" s="1" t="s">
        <v>13</v>
      </c>
    </row>
    <row r="1821" spans="1:6" ht="30" customHeight="1" x14ac:dyDescent="0.25">
      <c r="A1821" s="1" t="s">
        <v>3740</v>
      </c>
      <c r="B1821" s="1" t="str">
        <f>"9781859591772"</f>
        <v>9781859591772</v>
      </c>
      <c r="C1821" s="1" t="s">
        <v>1024</v>
      </c>
      <c r="D1821" s="2">
        <v>39370</v>
      </c>
      <c r="E1821" s="1" t="s">
        <v>3741</v>
      </c>
      <c r="F1821" s="1" t="s">
        <v>13</v>
      </c>
    </row>
    <row r="1822" spans="1:6" ht="30" customHeight="1" x14ac:dyDescent="0.25">
      <c r="A1822" s="1" t="s">
        <v>3742</v>
      </c>
      <c r="B1822" s="1" t="str">
        <f>"9781859591789"</f>
        <v>9781859591789</v>
      </c>
      <c r="C1822" s="1" t="s">
        <v>1024</v>
      </c>
      <c r="D1822" s="2">
        <v>39217</v>
      </c>
      <c r="E1822" s="1" t="s">
        <v>3741</v>
      </c>
      <c r="F1822" s="1" t="s">
        <v>13</v>
      </c>
    </row>
    <row r="1823" spans="1:6" ht="30" customHeight="1" x14ac:dyDescent="0.25">
      <c r="A1823" s="1" t="s">
        <v>3743</v>
      </c>
      <c r="B1823" s="1" t="str">
        <f>"9781859591963"</f>
        <v>9781859591963</v>
      </c>
      <c r="C1823" s="1" t="s">
        <v>1024</v>
      </c>
      <c r="D1823" s="2">
        <v>39360</v>
      </c>
      <c r="E1823" s="1" t="s">
        <v>3744</v>
      </c>
      <c r="F1823" s="1" t="s">
        <v>13</v>
      </c>
    </row>
    <row r="1824" spans="1:6" ht="30" customHeight="1" x14ac:dyDescent="0.25">
      <c r="A1824" s="1" t="s">
        <v>3745</v>
      </c>
      <c r="B1824" s="1" t="str">
        <f>"9780080554068"</f>
        <v>9780080554068</v>
      </c>
      <c r="C1824" s="1" t="s">
        <v>900</v>
      </c>
      <c r="D1824" s="2">
        <v>40826</v>
      </c>
      <c r="E1824" s="1" t="s">
        <v>3746</v>
      </c>
      <c r="F1824" s="1" t="s">
        <v>13</v>
      </c>
    </row>
    <row r="1825" spans="1:6" ht="30" customHeight="1" x14ac:dyDescent="0.25">
      <c r="A1825" s="1" t="s">
        <v>3747</v>
      </c>
      <c r="B1825" s="1" t="str">
        <f>"9780875864068"</f>
        <v>9780875864068</v>
      </c>
      <c r="C1825" s="1" t="s">
        <v>3733</v>
      </c>
      <c r="D1825" s="2">
        <v>38777</v>
      </c>
      <c r="E1825" s="1" t="s">
        <v>3748</v>
      </c>
      <c r="F1825" s="1" t="s">
        <v>13</v>
      </c>
    </row>
    <row r="1826" spans="1:6" ht="30" customHeight="1" x14ac:dyDescent="0.25">
      <c r="A1826" s="1" t="s">
        <v>3749</v>
      </c>
      <c r="B1826" s="1" t="str">
        <f>"9780875864877"</f>
        <v>9780875864877</v>
      </c>
      <c r="C1826" s="1" t="s">
        <v>3733</v>
      </c>
      <c r="D1826" s="2">
        <v>38991</v>
      </c>
      <c r="E1826" s="1" t="s">
        <v>3750</v>
      </c>
      <c r="F1826" s="1" t="s">
        <v>13</v>
      </c>
    </row>
    <row r="1827" spans="1:6" ht="30" customHeight="1" x14ac:dyDescent="0.25">
      <c r="A1827" s="1" t="s">
        <v>3751</v>
      </c>
      <c r="B1827" s="1" t="str">
        <f>"9780470187494"</f>
        <v>9780470187494</v>
      </c>
      <c r="C1827" s="1" t="s">
        <v>65</v>
      </c>
      <c r="D1827" s="2">
        <v>39465</v>
      </c>
      <c r="E1827" s="1" t="s">
        <v>3752</v>
      </c>
      <c r="F1827" s="1" t="s">
        <v>3753</v>
      </c>
    </row>
    <row r="1828" spans="1:6" ht="30" customHeight="1" x14ac:dyDescent="0.25">
      <c r="A1828" s="1" t="s">
        <v>3754</v>
      </c>
      <c r="B1828" s="1" t="str">
        <f>"9780470227084"</f>
        <v>9780470227084</v>
      </c>
      <c r="C1828" s="1" t="s">
        <v>11</v>
      </c>
      <c r="D1828" s="2">
        <v>39510</v>
      </c>
      <c r="E1828" s="1" t="s">
        <v>3755</v>
      </c>
      <c r="F1828" s="1" t="s">
        <v>3261</v>
      </c>
    </row>
    <row r="1829" spans="1:6" ht="30" customHeight="1" x14ac:dyDescent="0.25">
      <c r="A1829" s="1" t="s">
        <v>3756</v>
      </c>
      <c r="B1829" s="1" t="str">
        <f>"9780470994054"</f>
        <v>9780470994054</v>
      </c>
      <c r="C1829" s="1" t="s">
        <v>65</v>
      </c>
      <c r="D1829" s="2">
        <v>39553</v>
      </c>
      <c r="E1829" s="1" t="s">
        <v>3757</v>
      </c>
      <c r="F1829" s="1" t="s">
        <v>13</v>
      </c>
    </row>
    <row r="1830" spans="1:6" ht="30" customHeight="1" x14ac:dyDescent="0.25">
      <c r="A1830" s="1" t="s">
        <v>3758</v>
      </c>
      <c r="B1830" s="1" t="str">
        <f>"9781408102060"</f>
        <v>9781408102060</v>
      </c>
      <c r="C1830" s="1" t="s">
        <v>3759</v>
      </c>
      <c r="D1830" s="2">
        <v>39814</v>
      </c>
      <c r="E1830" s="1" t="s">
        <v>3760</v>
      </c>
      <c r="F1830" s="1" t="s">
        <v>126</v>
      </c>
    </row>
    <row r="1831" spans="1:6" ht="30" customHeight="1" x14ac:dyDescent="0.25">
      <c r="A1831" s="1" t="s">
        <v>3761</v>
      </c>
      <c r="B1831" s="1" t="str">
        <f>"9781607502203"</f>
        <v>9781607502203</v>
      </c>
      <c r="C1831" s="1" t="s">
        <v>1390</v>
      </c>
      <c r="D1831" s="2">
        <v>39232</v>
      </c>
      <c r="E1831" s="1" t="s">
        <v>3762</v>
      </c>
      <c r="F1831" s="1" t="s">
        <v>304</v>
      </c>
    </row>
    <row r="1832" spans="1:6" ht="30" customHeight="1" x14ac:dyDescent="0.25">
      <c r="A1832" s="1" t="s">
        <v>3763</v>
      </c>
      <c r="B1832" s="1" t="str">
        <f>"9781607502456"</f>
        <v>9781607502456</v>
      </c>
      <c r="C1832" s="1" t="s">
        <v>1390</v>
      </c>
      <c r="D1832" s="2">
        <v>39262</v>
      </c>
      <c r="E1832" s="1" t="s">
        <v>3764</v>
      </c>
      <c r="F1832" s="1" t="s">
        <v>30</v>
      </c>
    </row>
    <row r="1833" spans="1:6" ht="30" customHeight="1" x14ac:dyDescent="0.25">
      <c r="A1833" s="1" t="s">
        <v>3765</v>
      </c>
      <c r="B1833" s="1" t="str">
        <f>"9781607502647"</f>
        <v>9781607502647</v>
      </c>
      <c r="C1833" s="1" t="s">
        <v>1390</v>
      </c>
      <c r="D1833" s="2">
        <v>39290</v>
      </c>
      <c r="E1833" s="1" t="s">
        <v>3766</v>
      </c>
      <c r="F1833" s="1" t="s">
        <v>82</v>
      </c>
    </row>
    <row r="1834" spans="1:6" ht="30" customHeight="1" x14ac:dyDescent="0.25">
      <c r="A1834" s="1" t="s">
        <v>3767</v>
      </c>
      <c r="B1834" s="1" t="str">
        <f>"9781607502685"</f>
        <v>9781607502685</v>
      </c>
      <c r="C1834" s="1" t="s">
        <v>1390</v>
      </c>
      <c r="D1834" s="2">
        <v>39290</v>
      </c>
      <c r="E1834" s="1" t="s">
        <v>3768</v>
      </c>
      <c r="F1834" s="1" t="s">
        <v>214</v>
      </c>
    </row>
    <row r="1835" spans="1:6" ht="30" customHeight="1" x14ac:dyDescent="0.25">
      <c r="A1835" s="1" t="s">
        <v>3769</v>
      </c>
      <c r="B1835" s="1" t="str">
        <f>"9781607502777"</f>
        <v>9781607502777</v>
      </c>
      <c r="C1835" s="1" t="s">
        <v>1390</v>
      </c>
      <c r="D1835" s="2">
        <v>39360</v>
      </c>
      <c r="E1835" s="1" t="s">
        <v>2237</v>
      </c>
      <c r="F1835" s="1" t="s">
        <v>3770</v>
      </c>
    </row>
    <row r="1836" spans="1:6" ht="30" customHeight="1" x14ac:dyDescent="0.25">
      <c r="A1836" s="1" t="s">
        <v>3771</v>
      </c>
      <c r="B1836" s="1" t="str">
        <f>"9781593857233"</f>
        <v>9781593857233</v>
      </c>
      <c r="C1836" s="1" t="s">
        <v>3308</v>
      </c>
      <c r="D1836" s="2">
        <v>41773</v>
      </c>
      <c r="E1836" s="1" t="s">
        <v>3772</v>
      </c>
      <c r="F1836" s="1" t="s">
        <v>13</v>
      </c>
    </row>
    <row r="1837" spans="1:6" ht="30" customHeight="1" x14ac:dyDescent="0.25">
      <c r="A1837" s="1" t="s">
        <v>3773</v>
      </c>
      <c r="B1837" s="1" t="str">
        <f>"9781593857264"</f>
        <v>9781593857264</v>
      </c>
      <c r="C1837" s="1" t="s">
        <v>3308</v>
      </c>
      <c r="D1837" s="2">
        <v>41773</v>
      </c>
      <c r="E1837" s="1" t="s">
        <v>3774</v>
      </c>
      <c r="F1837" s="1" t="s">
        <v>13</v>
      </c>
    </row>
    <row r="1838" spans="1:6" ht="30" customHeight="1" x14ac:dyDescent="0.25">
      <c r="A1838" s="1" t="s">
        <v>3775</v>
      </c>
      <c r="B1838" s="1" t="str">
        <f>"9781593857318"</f>
        <v>9781593857318</v>
      </c>
      <c r="C1838" s="1" t="s">
        <v>3308</v>
      </c>
      <c r="D1838" s="2">
        <v>41773</v>
      </c>
      <c r="E1838" s="1" t="s">
        <v>3776</v>
      </c>
      <c r="F1838" s="1" t="s">
        <v>13</v>
      </c>
    </row>
    <row r="1839" spans="1:6" ht="30" customHeight="1" x14ac:dyDescent="0.25">
      <c r="A1839" s="1" t="s">
        <v>3777</v>
      </c>
      <c r="B1839" s="1" t="str">
        <f>"9781593857370"</f>
        <v>9781593857370</v>
      </c>
      <c r="C1839" s="1" t="s">
        <v>3308</v>
      </c>
      <c r="D1839" s="2">
        <v>39257</v>
      </c>
      <c r="E1839" s="1" t="s">
        <v>3778</v>
      </c>
      <c r="F1839" s="1" t="s">
        <v>13</v>
      </c>
    </row>
    <row r="1840" spans="1:6" ht="30" customHeight="1" x14ac:dyDescent="0.25">
      <c r="A1840" s="1" t="s">
        <v>3779</v>
      </c>
      <c r="B1840" s="1" t="str">
        <f>"9781593857462"</f>
        <v>9781593857462</v>
      </c>
      <c r="C1840" s="1" t="s">
        <v>3308</v>
      </c>
      <c r="D1840" s="2">
        <v>41773</v>
      </c>
      <c r="E1840" s="1" t="s">
        <v>3780</v>
      </c>
      <c r="F1840" s="1" t="s">
        <v>13</v>
      </c>
    </row>
    <row r="1841" spans="1:6" ht="30" customHeight="1" x14ac:dyDescent="0.25">
      <c r="A1841" s="1" t="s">
        <v>3781</v>
      </c>
      <c r="B1841" s="1" t="str">
        <f>"9781593857486"</f>
        <v>9781593857486</v>
      </c>
      <c r="C1841" s="1" t="s">
        <v>3308</v>
      </c>
      <c r="D1841" s="2">
        <v>41773</v>
      </c>
      <c r="E1841" s="1" t="s">
        <v>3782</v>
      </c>
      <c r="F1841" s="1" t="s">
        <v>13</v>
      </c>
    </row>
    <row r="1842" spans="1:6" ht="30" customHeight="1" x14ac:dyDescent="0.25">
      <c r="A1842" s="1" t="s">
        <v>3783</v>
      </c>
      <c r="B1842" s="1" t="str">
        <f>"9781934559840"</f>
        <v>9781934559840</v>
      </c>
      <c r="C1842" s="1" t="s">
        <v>2342</v>
      </c>
      <c r="D1842" s="2">
        <v>38777</v>
      </c>
      <c r="E1842" s="1" t="s">
        <v>3784</v>
      </c>
      <c r="F1842" s="1" t="s">
        <v>13</v>
      </c>
    </row>
    <row r="1843" spans="1:6" ht="30" customHeight="1" x14ac:dyDescent="0.25">
      <c r="A1843" s="1" t="s">
        <v>3785</v>
      </c>
      <c r="B1843" s="1" t="str">
        <f>"9781846635335"</f>
        <v>9781846635335</v>
      </c>
      <c r="C1843" s="1" t="s">
        <v>971</v>
      </c>
      <c r="D1843" s="2">
        <v>39276</v>
      </c>
      <c r="E1843" s="1" t="s">
        <v>3786</v>
      </c>
      <c r="F1843" s="1" t="s">
        <v>3787</v>
      </c>
    </row>
    <row r="1844" spans="1:6" ht="30" customHeight="1" x14ac:dyDescent="0.25">
      <c r="A1844" s="1" t="s">
        <v>3788</v>
      </c>
      <c r="B1844" s="1" t="str">
        <f>"9781846635519"</f>
        <v>9781846635519</v>
      </c>
      <c r="C1844" s="1" t="s">
        <v>971</v>
      </c>
      <c r="D1844" s="2">
        <v>39339</v>
      </c>
      <c r="E1844" s="1" t="s">
        <v>3789</v>
      </c>
      <c r="F1844" s="1" t="s">
        <v>3790</v>
      </c>
    </row>
    <row r="1845" spans="1:6" ht="30" customHeight="1" x14ac:dyDescent="0.25">
      <c r="A1845" s="1" t="s">
        <v>3791</v>
      </c>
      <c r="B1845" s="1" t="str">
        <f>"9781846635915"</f>
        <v>9781846635915</v>
      </c>
      <c r="C1845" s="1" t="s">
        <v>971</v>
      </c>
      <c r="D1845" s="2">
        <v>39339</v>
      </c>
      <c r="E1845" s="1" t="s">
        <v>3792</v>
      </c>
      <c r="F1845" s="1" t="s">
        <v>95</v>
      </c>
    </row>
    <row r="1846" spans="1:6" ht="30" customHeight="1" x14ac:dyDescent="0.25">
      <c r="A1846" s="1" t="s">
        <v>3793</v>
      </c>
      <c r="B1846" s="1" t="str">
        <f>"9781846636592"</f>
        <v>9781846636592</v>
      </c>
      <c r="C1846" s="1" t="s">
        <v>971</v>
      </c>
      <c r="D1846" s="2">
        <v>39346</v>
      </c>
      <c r="E1846" s="1" t="s">
        <v>3794</v>
      </c>
      <c r="F1846" s="1" t="s">
        <v>114</v>
      </c>
    </row>
    <row r="1847" spans="1:6" ht="30" customHeight="1" x14ac:dyDescent="0.25">
      <c r="A1847" s="1" t="s">
        <v>3795</v>
      </c>
      <c r="B1847" s="1" t="str">
        <f>"9780511354311"</f>
        <v>9780511354311</v>
      </c>
      <c r="C1847" s="1" t="s">
        <v>25</v>
      </c>
      <c r="D1847" s="2">
        <v>39373</v>
      </c>
      <c r="E1847" s="1" t="s">
        <v>3796</v>
      </c>
      <c r="F1847" s="1" t="s">
        <v>13</v>
      </c>
    </row>
    <row r="1848" spans="1:6" ht="30" customHeight="1" x14ac:dyDescent="0.25">
      <c r="A1848" s="1" t="s">
        <v>3797</v>
      </c>
      <c r="B1848" s="1" t="str">
        <f>"9780511354328"</f>
        <v>9780511354328</v>
      </c>
      <c r="C1848" s="1" t="s">
        <v>25</v>
      </c>
      <c r="D1848" s="2">
        <v>39331</v>
      </c>
      <c r="E1848" s="1" t="s">
        <v>3798</v>
      </c>
      <c r="F1848" s="1" t="s">
        <v>13</v>
      </c>
    </row>
    <row r="1849" spans="1:6" ht="30" customHeight="1" x14ac:dyDescent="0.25">
      <c r="A1849" s="1" t="s">
        <v>3799</v>
      </c>
      <c r="B1849" s="1" t="str">
        <f>"9780511365485"</f>
        <v>9780511365485</v>
      </c>
      <c r="C1849" s="1" t="s">
        <v>25</v>
      </c>
      <c r="D1849" s="2">
        <v>39366</v>
      </c>
      <c r="E1849" s="1" t="s">
        <v>3800</v>
      </c>
      <c r="F1849" s="1" t="s">
        <v>95</v>
      </c>
    </row>
    <row r="1850" spans="1:6" ht="30" customHeight="1" x14ac:dyDescent="0.25">
      <c r="A1850" s="1" t="s">
        <v>3801</v>
      </c>
      <c r="B1850" s="1" t="str">
        <f>"9780511365515"</f>
        <v>9780511365515</v>
      </c>
      <c r="C1850" s="1" t="s">
        <v>25</v>
      </c>
      <c r="D1850" s="2">
        <v>39387</v>
      </c>
      <c r="E1850" s="1" t="s">
        <v>3802</v>
      </c>
      <c r="F1850" s="1" t="s">
        <v>3803</v>
      </c>
    </row>
    <row r="1851" spans="1:6" ht="30" customHeight="1" x14ac:dyDescent="0.25">
      <c r="A1851" s="1" t="s">
        <v>3804</v>
      </c>
      <c r="B1851" s="1" t="str">
        <f>"9780203644157"</f>
        <v>9780203644157</v>
      </c>
      <c r="C1851" s="1" t="s">
        <v>68</v>
      </c>
      <c r="D1851" s="2">
        <v>41285</v>
      </c>
      <c r="E1851" s="1" t="s">
        <v>3805</v>
      </c>
      <c r="F1851" s="1" t="s">
        <v>13</v>
      </c>
    </row>
    <row r="1852" spans="1:6" ht="30" customHeight="1" x14ac:dyDescent="0.25">
      <c r="A1852" s="1" t="s">
        <v>3806</v>
      </c>
      <c r="B1852" s="1" t="str">
        <f>"9781135433000"</f>
        <v>9781135433000</v>
      </c>
      <c r="C1852" s="1" t="s">
        <v>68</v>
      </c>
      <c r="D1852" s="2">
        <v>38483</v>
      </c>
      <c r="E1852" s="1" t="s">
        <v>3807</v>
      </c>
      <c r="F1852" s="1" t="s">
        <v>176</v>
      </c>
    </row>
    <row r="1853" spans="1:6" ht="30" customHeight="1" x14ac:dyDescent="0.25">
      <c r="A1853" s="1" t="s">
        <v>3808</v>
      </c>
      <c r="B1853" s="1" t="str">
        <f>"9780833040992"</f>
        <v>9780833040992</v>
      </c>
      <c r="C1853" s="1" t="s">
        <v>516</v>
      </c>
      <c r="D1853" s="2">
        <v>38353</v>
      </c>
      <c r="E1853" s="1" t="s">
        <v>3809</v>
      </c>
      <c r="F1853" s="1" t="s">
        <v>1469</v>
      </c>
    </row>
    <row r="1854" spans="1:6" ht="30" customHeight="1" x14ac:dyDescent="0.25">
      <c r="A1854" s="1" t="s">
        <v>3810</v>
      </c>
      <c r="B1854" s="1" t="str">
        <f>"9780203955321"</f>
        <v>9780203955321</v>
      </c>
      <c r="C1854" s="1" t="s">
        <v>68</v>
      </c>
      <c r="D1854" s="2">
        <v>38552</v>
      </c>
      <c r="E1854" s="1" t="s">
        <v>3811</v>
      </c>
      <c r="F1854" s="1" t="s">
        <v>13</v>
      </c>
    </row>
    <row r="1855" spans="1:6" ht="30" customHeight="1" x14ac:dyDescent="0.25">
      <c r="A1855" s="1" t="s">
        <v>3812</v>
      </c>
      <c r="B1855" s="1" t="str">
        <f>"9781934559864"</f>
        <v>9781934559864</v>
      </c>
      <c r="C1855" s="1" t="s">
        <v>2342</v>
      </c>
      <c r="D1855" s="2">
        <v>39448</v>
      </c>
      <c r="E1855" s="1" t="s">
        <v>3813</v>
      </c>
      <c r="F1855" s="1" t="s">
        <v>13</v>
      </c>
    </row>
    <row r="1856" spans="1:6" ht="30" customHeight="1" x14ac:dyDescent="0.25">
      <c r="A1856" s="1" t="s">
        <v>3814</v>
      </c>
      <c r="B1856" s="1" t="str">
        <f>"9781934559888"</f>
        <v>9781934559888</v>
      </c>
      <c r="C1856" s="1" t="s">
        <v>2339</v>
      </c>
      <c r="D1856" s="2">
        <v>39370</v>
      </c>
      <c r="E1856" s="1" t="s">
        <v>3815</v>
      </c>
      <c r="F1856" s="1" t="s">
        <v>13</v>
      </c>
    </row>
    <row r="1857" spans="1:6" ht="30" customHeight="1" x14ac:dyDescent="0.25">
      <c r="A1857" s="1" t="s">
        <v>3816</v>
      </c>
      <c r="B1857" s="1" t="str">
        <f>"9781934559871"</f>
        <v>9781934559871</v>
      </c>
      <c r="C1857" s="1" t="s">
        <v>2342</v>
      </c>
      <c r="D1857" s="2">
        <v>39448</v>
      </c>
      <c r="E1857" s="1" t="s">
        <v>3817</v>
      </c>
      <c r="F1857" s="1" t="s">
        <v>13</v>
      </c>
    </row>
    <row r="1858" spans="1:6" ht="30" customHeight="1" x14ac:dyDescent="0.25">
      <c r="A1858" s="1" t="s">
        <v>3818</v>
      </c>
      <c r="B1858" s="1" t="str">
        <f>"9780833042866"</f>
        <v>9780833042866</v>
      </c>
      <c r="C1858" s="1" t="s">
        <v>516</v>
      </c>
      <c r="D1858" s="2">
        <v>39015</v>
      </c>
      <c r="E1858" s="1" t="s">
        <v>3819</v>
      </c>
      <c r="F1858" s="1" t="s">
        <v>13</v>
      </c>
    </row>
    <row r="1859" spans="1:6" ht="30" customHeight="1" x14ac:dyDescent="0.25">
      <c r="A1859" s="1" t="s">
        <v>3820</v>
      </c>
      <c r="B1859" s="1" t="str">
        <f>"9780816654413"</f>
        <v>9780816654413</v>
      </c>
      <c r="C1859" s="1" t="s">
        <v>3458</v>
      </c>
      <c r="D1859" s="2">
        <v>39121</v>
      </c>
      <c r="E1859" s="1" t="s">
        <v>3821</v>
      </c>
      <c r="F1859" s="1" t="s">
        <v>1152</v>
      </c>
    </row>
    <row r="1860" spans="1:6" ht="30" customHeight="1" x14ac:dyDescent="0.25">
      <c r="A1860" s="1" t="s">
        <v>3822</v>
      </c>
      <c r="B1860" s="1" t="str">
        <f>"9783110200195"</f>
        <v>9783110200195</v>
      </c>
      <c r="C1860" s="1" t="s">
        <v>1848</v>
      </c>
      <c r="D1860" s="2">
        <v>39682</v>
      </c>
      <c r="E1860" s="1" t="s">
        <v>3823</v>
      </c>
      <c r="F1860" s="1" t="s">
        <v>13</v>
      </c>
    </row>
    <row r="1861" spans="1:6" ht="30" customHeight="1" x14ac:dyDescent="0.25">
      <c r="A1861" s="1" t="s">
        <v>3824</v>
      </c>
      <c r="B1861" s="1" t="str">
        <f>"9783110200157"</f>
        <v>9783110200157</v>
      </c>
      <c r="C1861" s="1" t="s">
        <v>1848</v>
      </c>
      <c r="D1861" s="2">
        <v>39682</v>
      </c>
      <c r="E1861" s="1" t="s">
        <v>3825</v>
      </c>
      <c r="F1861" s="1" t="s">
        <v>176</v>
      </c>
    </row>
    <row r="1862" spans="1:6" ht="30" customHeight="1" x14ac:dyDescent="0.25">
      <c r="A1862" s="1" t="s">
        <v>3826</v>
      </c>
      <c r="B1862" s="1" t="str">
        <f>"9780511341083"</f>
        <v>9780511341083</v>
      </c>
      <c r="C1862" s="1" t="s">
        <v>25</v>
      </c>
      <c r="D1862" s="2">
        <v>39275</v>
      </c>
      <c r="E1862" s="1" t="s">
        <v>3827</v>
      </c>
      <c r="F1862" s="1" t="s">
        <v>205</v>
      </c>
    </row>
    <row r="1863" spans="1:6" ht="30" customHeight="1" x14ac:dyDescent="0.25">
      <c r="A1863" s="1" t="s">
        <v>3828</v>
      </c>
      <c r="B1863" s="1" t="str">
        <f>"9780826153951"</f>
        <v>9780826153951</v>
      </c>
      <c r="C1863" s="1" t="s">
        <v>2339</v>
      </c>
      <c r="D1863" s="2">
        <v>39380</v>
      </c>
      <c r="E1863" s="1" t="s">
        <v>3829</v>
      </c>
      <c r="F1863" s="1" t="s">
        <v>30</v>
      </c>
    </row>
    <row r="1864" spans="1:6" ht="30" customHeight="1" x14ac:dyDescent="0.25">
      <c r="A1864" s="1" t="s">
        <v>3830</v>
      </c>
      <c r="B1864" s="1" t="str">
        <f>"9780826120533"</f>
        <v>9780826120533</v>
      </c>
      <c r="C1864" s="1" t="s">
        <v>2339</v>
      </c>
      <c r="D1864" s="2">
        <v>39326</v>
      </c>
      <c r="E1864" s="1" t="s">
        <v>3831</v>
      </c>
      <c r="F1864" s="1" t="s">
        <v>13</v>
      </c>
    </row>
    <row r="1865" spans="1:6" ht="30" customHeight="1" x14ac:dyDescent="0.25">
      <c r="A1865" s="1" t="s">
        <v>3832</v>
      </c>
      <c r="B1865" s="1" t="str">
        <f>"9780826103536"</f>
        <v>9780826103536</v>
      </c>
      <c r="C1865" s="1" t="s">
        <v>2339</v>
      </c>
      <c r="D1865" s="2">
        <v>39783</v>
      </c>
      <c r="E1865" s="1" t="s">
        <v>3833</v>
      </c>
      <c r="F1865" s="1" t="s">
        <v>70</v>
      </c>
    </row>
    <row r="1866" spans="1:6" ht="30" customHeight="1" x14ac:dyDescent="0.25">
      <c r="A1866" s="1" t="s">
        <v>3834</v>
      </c>
      <c r="B1866" s="1" t="str">
        <f>"9780826111371"</f>
        <v>9780826111371</v>
      </c>
      <c r="C1866" s="1" t="s">
        <v>2339</v>
      </c>
      <c r="D1866" s="2">
        <v>39370</v>
      </c>
      <c r="E1866" s="1" t="s">
        <v>3669</v>
      </c>
      <c r="F1866" s="1" t="s">
        <v>126</v>
      </c>
    </row>
    <row r="1867" spans="1:6" ht="30" customHeight="1" x14ac:dyDescent="0.25">
      <c r="A1867" s="1" t="s">
        <v>3835</v>
      </c>
      <c r="B1867" s="1" t="str">
        <f>"9780826115492"</f>
        <v>9780826115492</v>
      </c>
      <c r="C1867" s="1" t="s">
        <v>2339</v>
      </c>
      <c r="D1867" s="2">
        <v>39326</v>
      </c>
      <c r="E1867" s="1" t="s">
        <v>3836</v>
      </c>
      <c r="F1867" s="1" t="s">
        <v>33</v>
      </c>
    </row>
    <row r="1868" spans="1:6" ht="30" customHeight="1" x14ac:dyDescent="0.25">
      <c r="A1868" s="1" t="s">
        <v>3837</v>
      </c>
      <c r="B1868" s="1" t="str">
        <f>"9780826103437"</f>
        <v>9780826103437</v>
      </c>
      <c r="C1868" s="1" t="s">
        <v>2339</v>
      </c>
      <c r="D1868" s="2">
        <v>39309</v>
      </c>
      <c r="E1868" s="1" t="s">
        <v>3838</v>
      </c>
      <c r="F1868" s="1" t="s">
        <v>13</v>
      </c>
    </row>
    <row r="1869" spans="1:6" ht="30" customHeight="1" x14ac:dyDescent="0.25">
      <c r="A1869" s="1" t="s">
        <v>3839</v>
      </c>
      <c r="B1869" s="1" t="str">
        <f>"9780511369476"</f>
        <v>9780511369476</v>
      </c>
      <c r="C1869" s="1" t="s">
        <v>25</v>
      </c>
      <c r="D1869" s="2">
        <v>39387</v>
      </c>
      <c r="E1869" s="1" t="s">
        <v>3840</v>
      </c>
      <c r="F1869" s="1" t="s">
        <v>13</v>
      </c>
    </row>
    <row r="1870" spans="1:6" ht="30" customHeight="1" x14ac:dyDescent="0.25">
      <c r="A1870" s="1" t="s">
        <v>3841</v>
      </c>
      <c r="B1870" s="1" t="str">
        <f>"9780816697687"</f>
        <v>9780816697687</v>
      </c>
      <c r="C1870" s="1" t="s">
        <v>3458</v>
      </c>
      <c r="D1870" s="2">
        <v>39107</v>
      </c>
      <c r="E1870" s="1" t="s">
        <v>3842</v>
      </c>
      <c r="F1870" s="1" t="s">
        <v>3843</v>
      </c>
    </row>
    <row r="1871" spans="1:6" ht="30" customHeight="1" x14ac:dyDescent="0.25">
      <c r="A1871" s="1" t="s">
        <v>3844</v>
      </c>
      <c r="B1871" s="1" t="str">
        <f>"9780470518571"</f>
        <v>9780470518571</v>
      </c>
      <c r="C1871" s="1" t="s">
        <v>65</v>
      </c>
      <c r="D1871" s="2">
        <v>39377</v>
      </c>
      <c r="E1871" s="1" t="s">
        <v>3845</v>
      </c>
      <c r="F1871" s="1" t="s">
        <v>13</v>
      </c>
    </row>
    <row r="1872" spans="1:6" ht="30" customHeight="1" x14ac:dyDescent="0.25">
      <c r="A1872" s="1" t="s">
        <v>3846</v>
      </c>
      <c r="B1872" s="1" t="str">
        <f>"9780470725252"</f>
        <v>9780470725252</v>
      </c>
      <c r="C1872" s="1" t="s">
        <v>65</v>
      </c>
      <c r="D1872" s="2">
        <v>39377</v>
      </c>
      <c r="E1872" s="1" t="s">
        <v>3847</v>
      </c>
      <c r="F1872" s="1" t="s">
        <v>13</v>
      </c>
    </row>
    <row r="1873" spans="1:6" ht="30" customHeight="1" x14ac:dyDescent="0.25">
      <c r="A1873" s="1" t="s">
        <v>3848</v>
      </c>
      <c r="B1873" s="1" t="str">
        <f>"9781934559895"</f>
        <v>9781934559895</v>
      </c>
      <c r="C1873" s="1" t="s">
        <v>2339</v>
      </c>
      <c r="D1873" s="2">
        <v>39437</v>
      </c>
      <c r="E1873" s="1" t="s">
        <v>3849</v>
      </c>
      <c r="F1873" s="1" t="s">
        <v>13</v>
      </c>
    </row>
    <row r="1874" spans="1:6" ht="30" customHeight="1" x14ac:dyDescent="0.25">
      <c r="A1874" s="1" t="s">
        <v>3850</v>
      </c>
      <c r="B1874" s="1" t="str">
        <f>"9781552503706"</f>
        <v>9781552503706</v>
      </c>
      <c r="C1874" s="1" t="s">
        <v>1340</v>
      </c>
      <c r="D1874" s="2">
        <v>39326</v>
      </c>
      <c r="E1874" s="1" t="s">
        <v>3851</v>
      </c>
      <c r="F1874" s="1" t="s">
        <v>95</v>
      </c>
    </row>
    <row r="1875" spans="1:6" ht="30" customHeight="1" x14ac:dyDescent="0.25">
      <c r="A1875" s="1" t="s">
        <v>3852</v>
      </c>
      <c r="B1875" s="1" t="str">
        <f>"9780253116802"</f>
        <v>9780253116802</v>
      </c>
      <c r="C1875" s="1" t="s">
        <v>19</v>
      </c>
      <c r="D1875" s="2">
        <v>39267</v>
      </c>
      <c r="E1875" s="1" t="s">
        <v>3853</v>
      </c>
      <c r="F1875" s="1" t="s">
        <v>205</v>
      </c>
    </row>
    <row r="1876" spans="1:6" ht="30" customHeight="1" x14ac:dyDescent="0.25">
      <c r="A1876" s="1" t="s">
        <v>3854</v>
      </c>
      <c r="B1876" s="1" t="str">
        <f>"9780816654154"</f>
        <v>9780816654154</v>
      </c>
      <c r="C1876" s="1" t="s">
        <v>3458</v>
      </c>
      <c r="D1876" s="2">
        <v>39226</v>
      </c>
      <c r="E1876" s="1" t="s">
        <v>3855</v>
      </c>
      <c r="F1876" s="1" t="s">
        <v>13</v>
      </c>
    </row>
    <row r="1877" spans="1:6" ht="30" customHeight="1" x14ac:dyDescent="0.25">
      <c r="A1877" s="1" t="s">
        <v>3856</v>
      </c>
      <c r="B1877" s="1" t="str">
        <f>"9780080556192"</f>
        <v>9780080556192</v>
      </c>
      <c r="C1877" s="1" t="s">
        <v>900</v>
      </c>
      <c r="D1877" s="2">
        <v>40661</v>
      </c>
      <c r="E1877" s="1" t="s">
        <v>3857</v>
      </c>
      <c r="F1877" s="1" t="s">
        <v>13</v>
      </c>
    </row>
    <row r="1878" spans="1:6" ht="30" customHeight="1" x14ac:dyDescent="0.25">
      <c r="A1878" s="1" t="s">
        <v>3858</v>
      </c>
      <c r="B1878" s="1" t="str">
        <f>"9780080556529"</f>
        <v>9780080556529</v>
      </c>
      <c r="C1878" s="1" t="s">
        <v>900</v>
      </c>
      <c r="D1878" s="2">
        <v>39435</v>
      </c>
      <c r="E1878" s="1" t="s">
        <v>3859</v>
      </c>
      <c r="F1878" s="1" t="s">
        <v>13</v>
      </c>
    </row>
    <row r="1879" spans="1:6" ht="30" customHeight="1" x14ac:dyDescent="0.25">
      <c r="A1879" s="1" t="s">
        <v>3860</v>
      </c>
      <c r="B1879" s="1" t="str">
        <f>"9781854186157"</f>
        <v>9781854186157</v>
      </c>
      <c r="C1879" s="1" t="s">
        <v>3407</v>
      </c>
      <c r="D1879" s="2">
        <v>39083</v>
      </c>
      <c r="E1879" s="1" t="s">
        <v>3861</v>
      </c>
      <c r="F1879" s="1" t="s">
        <v>95</v>
      </c>
    </row>
    <row r="1880" spans="1:6" ht="30" customHeight="1" x14ac:dyDescent="0.25">
      <c r="A1880" s="1" t="s">
        <v>3862</v>
      </c>
      <c r="B1880" s="1" t="str">
        <f>"9780813541310"</f>
        <v>9780813541310</v>
      </c>
      <c r="C1880" s="1" t="s">
        <v>3656</v>
      </c>
      <c r="D1880" s="2">
        <v>39091</v>
      </c>
      <c r="E1880" s="1" t="s">
        <v>3863</v>
      </c>
      <c r="F1880" s="1" t="s">
        <v>30</v>
      </c>
    </row>
    <row r="1881" spans="1:6" ht="30" customHeight="1" x14ac:dyDescent="0.25">
      <c r="A1881" s="1" t="s">
        <v>3864</v>
      </c>
      <c r="B1881" s="1" t="str">
        <f>"9780813541457"</f>
        <v>9780813541457</v>
      </c>
      <c r="C1881" s="1" t="s">
        <v>3656</v>
      </c>
      <c r="D1881" s="2">
        <v>39314</v>
      </c>
      <c r="E1881" s="1" t="s">
        <v>3865</v>
      </c>
      <c r="F1881" s="1" t="s">
        <v>30</v>
      </c>
    </row>
    <row r="1882" spans="1:6" ht="30" customHeight="1" x14ac:dyDescent="0.25">
      <c r="A1882" s="1" t="s">
        <v>3866</v>
      </c>
      <c r="B1882" s="1" t="str">
        <f>"9780813543802"</f>
        <v>9780813543802</v>
      </c>
      <c r="C1882" s="1" t="s">
        <v>3656</v>
      </c>
      <c r="D1882" s="2">
        <v>39324</v>
      </c>
      <c r="E1882" s="1" t="s">
        <v>3867</v>
      </c>
      <c r="F1882" s="1" t="s">
        <v>87</v>
      </c>
    </row>
    <row r="1883" spans="1:6" ht="30" customHeight="1" x14ac:dyDescent="0.25">
      <c r="A1883" s="1" t="s">
        <v>3868</v>
      </c>
      <c r="B1883" s="1" t="str">
        <f>"9789062998432"</f>
        <v>9789062998432</v>
      </c>
      <c r="C1883" s="1" t="s">
        <v>3412</v>
      </c>
      <c r="D1883" s="2">
        <v>39331</v>
      </c>
      <c r="E1883" s="1" t="s">
        <v>3869</v>
      </c>
      <c r="F1883" s="1" t="s">
        <v>13</v>
      </c>
    </row>
    <row r="1884" spans="1:6" ht="30" customHeight="1" x14ac:dyDescent="0.25">
      <c r="A1884" s="1" t="s">
        <v>3870</v>
      </c>
      <c r="B1884" s="1" t="str">
        <f>"9789062998036"</f>
        <v>9789062998036</v>
      </c>
      <c r="C1884" s="1" t="s">
        <v>3412</v>
      </c>
      <c r="D1884" s="2">
        <v>36552</v>
      </c>
      <c r="E1884" s="1" t="s">
        <v>3871</v>
      </c>
      <c r="F1884" s="1" t="s">
        <v>13</v>
      </c>
    </row>
    <row r="1885" spans="1:6" ht="30" customHeight="1" x14ac:dyDescent="0.25">
      <c r="A1885" s="1" t="s">
        <v>3872</v>
      </c>
      <c r="B1885" s="1" t="str">
        <f>"9789062998012"</f>
        <v>9789062998012</v>
      </c>
      <c r="C1885" s="1" t="s">
        <v>3411</v>
      </c>
      <c r="D1885" s="2">
        <v>37028</v>
      </c>
      <c r="E1885" s="1" t="s">
        <v>3426</v>
      </c>
      <c r="F1885" s="1" t="s">
        <v>13</v>
      </c>
    </row>
    <row r="1886" spans="1:6" ht="30" customHeight="1" x14ac:dyDescent="0.25">
      <c r="A1886" s="1" t="s">
        <v>3873</v>
      </c>
      <c r="B1886" s="1" t="str">
        <f>"9781846637254"</f>
        <v>9781846637254</v>
      </c>
      <c r="C1886" s="1" t="s">
        <v>971</v>
      </c>
      <c r="D1886" s="2">
        <v>39388</v>
      </c>
      <c r="E1886" s="1" t="s">
        <v>3874</v>
      </c>
      <c r="F1886" s="1" t="s">
        <v>3875</v>
      </c>
    </row>
    <row r="1887" spans="1:6" ht="30" customHeight="1" x14ac:dyDescent="0.25">
      <c r="A1887" s="1" t="s">
        <v>3876</v>
      </c>
      <c r="B1887" s="1" t="str">
        <f>"9781846636615"</f>
        <v>9781846636615</v>
      </c>
      <c r="C1887" s="1" t="s">
        <v>971</v>
      </c>
      <c r="D1887" s="2">
        <v>39381</v>
      </c>
      <c r="E1887" s="1" t="s">
        <v>3877</v>
      </c>
      <c r="F1887" s="1" t="s">
        <v>95</v>
      </c>
    </row>
    <row r="1888" spans="1:6" ht="30" customHeight="1" x14ac:dyDescent="0.25">
      <c r="A1888" s="1" t="s">
        <v>3878</v>
      </c>
      <c r="B1888" s="1" t="str">
        <f>"9781846636356"</f>
        <v>9781846636356</v>
      </c>
      <c r="C1888" s="1" t="s">
        <v>971</v>
      </c>
      <c r="D1888" s="2">
        <v>39367</v>
      </c>
      <c r="E1888" s="1" t="s">
        <v>3879</v>
      </c>
      <c r="F1888" s="1" t="s">
        <v>95</v>
      </c>
    </row>
    <row r="1889" spans="1:6" ht="30" customHeight="1" x14ac:dyDescent="0.25">
      <c r="A1889" s="1" t="s">
        <v>3880</v>
      </c>
      <c r="B1889" s="1" t="str">
        <f>"9781846637131"</f>
        <v>9781846637131</v>
      </c>
      <c r="C1889" s="1" t="s">
        <v>971</v>
      </c>
      <c r="D1889" s="2">
        <v>39395</v>
      </c>
      <c r="E1889" s="1" t="s">
        <v>3881</v>
      </c>
      <c r="F1889" s="1" t="s">
        <v>95</v>
      </c>
    </row>
    <row r="1890" spans="1:6" ht="30" customHeight="1" x14ac:dyDescent="0.25">
      <c r="A1890" s="1" t="s">
        <v>3882</v>
      </c>
      <c r="B1890" s="1" t="str">
        <f>"9781846636738"</f>
        <v>9781846636738</v>
      </c>
      <c r="C1890" s="1" t="s">
        <v>971</v>
      </c>
      <c r="D1890" s="2">
        <v>39367</v>
      </c>
      <c r="E1890" s="1" t="s">
        <v>3883</v>
      </c>
      <c r="F1890" s="1" t="s">
        <v>2019</v>
      </c>
    </row>
    <row r="1891" spans="1:6" ht="30" customHeight="1" x14ac:dyDescent="0.25">
      <c r="A1891" s="1" t="s">
        <v>3884</v>
      </c>
      <c r="B1891" s="1" t="str">
        <f>"9780511375750"</f>
        <v>9780511375750</v>
      </c>
      <c r="C1891" s="1" t="s">
        <v>25</v>
      </c>
      <c r="D1891" s="2">
        <v>39387</v>
      </c>
      <c r="E1891" s="1" t="s">
        <v>3885</v>
      </c>
      <c r="F1891" s="1" t="s">
        <v>13</v>
      </c>
    </row>
    <row r="1892" spans="1:6" ht="30" customHeight="1" x14ac:dyDescent="0.25">
      <c r="A1892" s="1" t="s">
        <v>3886</v>
      </c>
      <c r="B1892" s="1" t="str">
        <f>"9780511376061"</f>
        <v>9780511376061</v>
      </c>
      <c r="C1892" s="1" t="s">
        <v>25</v>
      </c>
      <c r="D1892" s="2">
        <v>39415</v>
      </c>
      <c r="E1892" s="1" t="s">
        <v>3887</v>
      </c>
      <c r="F1892" s="1" t="s">
        <v>3888</v>
      </c>
    </row>
    <row r="1893" spans="1:6" ht="30" customHeight="1" x14ac:dyDescent="0.25">
      <c r="A1893" s="1" t="s">
        <v>3889</v>
      </c>
      <c r="B1893" s="1" t="str">
        <f>"9780511376276"</f>
        <v>9780511376276</v>
      </c>
      <c r="C1893" s="1" t="s">
        <v>25</v>
      </c>
      <c r="D1893" s="2">
        <v>39436</v>
      </c>
      <c r="E1893" s="1" t="s">
        <v>3890</v>
      </c>
      <c r="F1893" s="1" t="s">
        <v>13</v>
      </c>
    </row>
    <row r="1894" spans="1:6" ht="30" customHeight="1" x14ac:dyDescent="0.25">
      <c r="A1894" s="1" t="s">
        <v>3891</v>
      </c>
      <c r="B1894" s="1" t="str">
        <f>"9789240682535"</f>
        <v>9789240682535</v>
      </c>
      <c r="C1894" s="1" t="s">
        <v>1981</v>
      </c>
      <c r="D1894" s="2">
        <v>39083</v>
      </c>
      <c r="E1894" s="1" t="s">
        <v>3256</v>
      </c>
      <c r="F1894" s="1" t="s">
        <v>13</v>
      </c>
    </row>
    <row r="1895" spans="1:6" ht="30" customHeight="1" x14ac:dyDescent="0.25">
      <c r="A1895" s="1" t="s">
        <v>3892</v>
      </c>
      <c r="B1895" s="1" t="str">
        <f>"9789240682597"</f>
        <v>9789240682597</v>
      </c>
      <c r="C1895" s="1" t="s">
        <v>1981</v>
      </c>
      <c r="D1895" s="2">
        <v>39083</v>
      </c>
      <c r="E1895" s="1" t="s">
        <v>3256</v>
      </c>
      <c r="F1895" s="1" t="s">
        <v>3893</v>
      </c>
    </row>
    <row r="1896" spans="1:6" ht="30" customHeight="1" x14ac:dyDescent="0.25">
      <c r="A1896" s="1" t="s">
        <v>3894</v>
      </c>
      <c r="B1896" s="1" t="str">
        <f>"9789240682566"</f>
        <v>9789240682566</v>
      </c>
      <c r="C1896" s="1" t="s">
        <v>1981</v>
      </c>
      <c r="D1896" s="2">
        <v>39083</v>
      </c>
      <c r="E1896" s="1" t="s">
        <v>3895</v>
      </c>
      <c r="F1896" s="1" t="s">
        <v>3896</v>
      </c>
    </row>
    <row r="1897" spans="1:6" ht="30" customHeight="1" x14ac:dyDescent="0.25">
      <c r="A1897" s="1" t="s">
        <v>3897</v>
      </c>
      <c r="B1897" s="1" t="str">
        <f>"9789240685550"</f>
        <v>9789240685550</v>
      </c>
      <c r="C1897" s="1" t="s">
        <v>1981</v>
      </c>
      <c r="D1897" s="2">
        <v>39083</v>
      </c>
      <c r="F1897" s="1" t="s">
        <v>13</v>
      </c>
    </row>
    <row r="1898" spans="1:6" ht="30" customHeight="1" x14ac:dyDescent="0.25">
      <c r="A1898" s="1" t="s">
        <v>3898</v>
      </c>
      <c r="B1898" s="1" t="str">
        <f>"9789240682498"</f>
        <v>9789240682498</v>
      </c>
      <c r="C1898" s="1" t="s">
        <v>1981</v>
      </c>
      <c r="D1898" s="2">
        <v>38718</v>
      </c>
      <c r="E1898" s="1" t="s">
        <v>3899</v>
      </c>
      <c r="F1898" s="1" t="s">
        <v>148</v>
      </c>
    </row>
    <row r="1899" spans="1:6" ht="30" customHeight="1" x14ac:dyDescent="0.25">
      <c r="A1899" s="1" t="s">
        <v>3900</v>
      </c>
      <c r="B1899" s="1" t="str">
        <f>"9789240682443"</f>
        <v>9789240682443</v>
      </c>
      <c r="C1899" s="1" t="s">
        <v>1981</v>
      </c>
      <c r="D1899" s="2">
        <v>39083</v>
      </c>
      <c r="E1899" s="1" t="s">
        <v>3901</v>
      </c>
      <c r="F1899" s="1" t="s">
        <v>205</v>
      </c>
    </row>
    <row r="1900" spans="1:6" ht="30" customHeight="1" x14ac:dyDescent="0.25">
      <c r="A1900" s="1" t="s">
        <v>3902</v>
      </c>
      <c r="B1900" s="1" t="str">
        <f>"9789240687462"</f>
        <v>9789240687462</v>
      </c>
      <c r="C1900" s="1" t="s">
        <v>1981</v>
      </c>
      <c r="D1900" s="2">
        <v>39083</v>
      </c>
      <c r="E1900" s="1" t="s">
        <v>3256</v>
      </c>
      <c r="F1900" s="1" t="s">
        <v>95</v>
      </c>
    </row>
    <row r="1901" spans="1:6" ht="30" customHeight="1" x14ac:dyDescent="0.25">
      <c r="A1901" s="1" t="s">
        <v>3903</v>
      </c>
      <c r="B1901" s="1" t="str">
        <f>"9789240682603"</f>
        <v>9789240682603</v>
      </c>
      <c r="C1901" s="1" t="s">
        <v>1981</v>
      </c>
      <c r="D1901" s="2">
        <v>39083</v>
      </c>
      <c r="E1901" s="1" t="s">
        <v>3256</v>
      </c>
      <c r="F1901" s="1" t="s">
        <v>33</v>
      </c>
    </row>
    <row r="1902" spans="1:6" ht="30" customHeight="1" x14ac:dyDescent="0.25">
      <c r="A1902" s="1" t="s">
        <v>3904</v>
      </c>
      <c r="B1902" s="1" t="str">
        <f>"9789291736157"</f>
        <v>9789291736157</v>
      </c>
      <c r="C1902" s="1" t="s">
        <v>1981</v>
      </c>
      <c r="D1902" s="2">
        <v>39083</v>
      </c>
      <c r="E1902" s="1" t="s">
        <v>2116</v>
      </c>
      <c r="F1902" s="1" t="s">
        <v>95</v>
      </c>
    </row>
    <row r="1903" spans="1:6" ht="30" customHeight="1" x14ac:dyDescent="0.25">
      <c r="A1903" s="1" t="s">
        <v>3905</v>
      </c>
      <c r="B1903" s="1" t="str">
        <f>"9789240682429"</f>
        <v>9789240682429</v>
      </c>
      <c r="C1903" s="1" t="s">
        <v>1981</v>
      </c>
      <c r="D1903" s="2">
        <v>39083</v>
      </c>
      <c r="E1903" s="1" t="s">
        <v>3906</v>
      </c>
      <c r="F1903" s="1" t="s">
        <v>95</v>
      </c>
    </row>
    <row r="1904" spans="1:6" ht="30" customHeight="1" x14ac:dyDescent="0.25">
      <c r="A1904" s="1" t="s">
        <v>3907</v>
      </c>
      <c r="B1904" s="1" t="str">
        <f>"9789240682351"</f>
        <v>9789240682351</v>
      </c>
      <c r="C1904" s="1" t="s">
        <v>1981</v>
      </c>
      <c r="D1904" s="2">
        <v>39083</v>
      </c>
      <c r="E1904" s="1" t="s">
        <v>3908</v>
      </c>
      <c r="F1904" s="1" t="s">
        <v>176</v>
      </c>
    </row>
    <row r="1905" spans="1:6" ht="30" customHeight="1" x14ac:dyDescent="0.25">
      <c r="A1905" s="1" t="s">
        <v>3909</v>
      </c>
      <c r="B1905" s="1" t="str">
        <f>"9789240682504"</f>
        <v>9789240682504</v>
      </c>
      <c r="C1905" s="1" t="s">
        <v>1981</v>
      </c>
      <c r="D1905" s="2">
        <v>38718</v>
      </c>
      <c r="E1905" s="1" t="s">
        <v>3910</v>
      </c>
      <c r="F1905" s="1" t="s">
        <v>3911</v>
      </c>
    </row>
    <row r="1906" spans="1:6" ht="30" customHeight="1" x14ac:dyDescent="0.25">
      <c r="A1906" s="1" t="s">
        <v>3912</v>
      </c>
      <c r="B1906" s="1" t="str">
        <f>"9789240687684"</f>
        <v>9789240687684</v>
      </c>
      <c r="C1906" s="1" t="s">
        <v>1981</v>
      </c>
      <c r="D1906" s="2">
        <v>38718</v>
      </c>
      <c r="E1906" s="1" t="s">
        <v>3899</v>
      </c>
      <c r="F1906" s="1" t="s">
        <v>95</v>
      </c>
    </row>
    <row r="1907" spans="1:6" ht="30" customHeight="1" x14ac:dyDescent="0.25">
      <c r="A1907" s="1" t="s">
        <v>3913</v>
      </c>
      <c r="B1907" s="1" t="str">
        <f>"9789240682337"</f>
        <v>9789240682337</v>
      </c>
      <c r="C1907" s="1" t="s">
        <v>1981</v>
      </c>
      <c r="D1907" s="2">
        <v>39083</v>
      </c>
      <c r="E1907" s="1" t="s">
        <v>3256</v>
      </c>
      <c r="F1907" s="1" t="s">
        <v>13</v>
      </c>
    </row>
    <row r="1908" spans="1:6" ht="30" customHeight="1" x14ac:dyDescent="0.25">
      <c r="A1908" s="1" t="s">
        <v>3914</v>
      </c>
      <c r="B1908" s="1" t="str">
        <f>"9789240682467"</f>
        <v>9789240682467</v>
      </c>
      <c r="C1908" s="1" t="s">
        <v>1981</v>
      </c>
      <c r="D1908" s="2">
        <v>39083</v>
      </c>
      <c r="E1908" s="1" t="s">
        <v>3256</v>
      </c>
      <c r="F1908" s="1" t="s">
        <v>158</v>
      </c>
    </row>
    <row r="1909" spans="1:6" ht="30" customHeight="1" x14ac:dyDescent="0.25">
      <c r="A1909" s="1" t="s">
        <v>3915</v>
      </c>
      <c r="B1909" s="1" t="str">
        <f>"9789240682481"</f>
        <v>9789240682481</v>
      </c>
      <c r="C1909" s="1" t="s">
        <v>1981</v>
      </c>
      <c r="D1909" s="2">
        <v>39083</v>
      </c>
      <c r="E1909" s="1" t="s">
        <v>3256</v>
      </c>
      <c r="F1909" s="1" t="s">
        <v>3916</v>
      </c>
    </row>
    <row r="1910" spans="1:6" ht="30" customHeight="1" x14ac:dyDescent="0.25">
      <c r="A1910" s="1" t="s">
        <v>3917</v>
      </c>
      <c r="B1910" s="1" t="str">
        <f>"9789240682672"</f>
        <v>9789240682672</v>
      </c>
      <c r="C1910" s="1" t="s">
        <v>1981</v>
      </c>
      <c r="D1910" s="2">
        <v>38718</v>
      </c>
      <c r="E1910" s="1" t="s">
        <v>3919</v>
      </c>
      <c r="F1910" s="1" t="s">
        <v>95</v>
      </c>
    </row>
    <row r="1911" spans="1:6" ht="30" customHeight="1" x14ac:dyDescent="0.25">
      <c r="A1911" s="1" t="s">
        <v>3920</v>
      </c>
      <c r="B1911" s="1" t="str">
        <f>"9789240682146"</f>
        <v>9789240682146</v>
      </c>
      <c r="C1911" s="1" t="s">
        <v>1981</v>
      </c>
      <c r="D1911" s="2">
        <v>39083</v>
      </c>
      <c r="E1911" s="1" t="s">
        <v>3256</v>
      </c>
      <c r="F1911" s="1" t="s">
        <v>176</v>
      </c>
    </row>
    <row r="1912" spans="1:6" ht="30" customHeight="1" x14ac:dyDescent="0.25">
      <c r="A1912" s="1" t="s">
        <v>3921</v>
      </c>
      <c r="B1912" s="1" t="str">
        <f>"9789240682320"</f>
        <v>9789240682320</v>
      </c>
      <c r="C1912" s="1" t="s">
        <v>1981</v>
      </c>
      <c r="D1912" s="2">
        <v>37257</v>
      </c>
      <c r="E1912" s="1" t="s">
        <v>3922</v>
      </c>
      <c r="F1912" s="1" t="s">
        <v>356</v>
      </c>
    </row>
    <row r="1913" spans="1:6" ht="30" customHeight="1" x14ac:dyDescent="0.25">
      <c r="A1913" s="1" t="s">
        <v>3923</v>
      </c>
      <c r="B1913" s="1" t="str">
        <f>"9789240682344"</f>
        <v>9789240682344</v>
      </c>
      <c r="C1913" s="1" t="s">
        <v>1981</v>
      </c>
      <c r="D1913" s="2">
        <v>39083</v>
      </c>
      <c r="E1913" s="1" t="s">
        <v>3924</v>
      </c>
      <c r="F1913" s="1" t="s">
        <v>158</v>
      </c>
    </row>
    <row r="1914" spans="1:6" ht="30" customHeight="1" x14ac:dyDescent="0.25">
      <c r="A1914" s="1" t="s">
        <v>3925</v>
      </c>
      <c r="B1914" s="1" t="str">
        <f>"9789240682641"</f>
        <v>9789240682641</v>
      </c>
      <c r="C1914" s="1" t="s">
        <v>1981</v>
      </c>
      <c r="D1914" s="2">
        <v>39083</v>
      </c>
      <c r="E1914" s="1" t="s">
        <v>3256</v>
      </c>
      <c r="F1914" s="1" t="s">
        <v>33</v>
      </c>
    </row>
    <row r="1915" spans="1:6" ht="30" customHeight="1" x14ac:dyDescent="0.25">
      <c r="A1915" s="1" t="s">
        <v>3926</v>
      </c>
      <c r="B1915" s="1" t="str">
        <f>"9789283221814"</f>
        <v>9789283221814</v>
      </c>
      <c r="C1915" s="1" t="s">
        <v>1981</v>
      </c>
      <c r="D1915" s="2">
        <v>38737</v>
      </c>
      <c r="E1915" s="1" t="s">
        <v>3928</v>
      </c>
      <c r="F1915" s="1" t="s">
        <v>13</v>
      </c>
    </row>
    <row r="1916" spans="1:6" ht="30" customHeight="1" x14ac:dyDescent="0.25">
      <c r="A1916" s="1" t="s">
        <v>3929</v>
      </c>
      <c r="B1916" s="1" t="str">
        <f>"9789240682450"</f>
        <v>9789240682450</v>
      </c>
      <c r="C1916" s="1" t="s">
        <v>1981</v>
      </c>
      <c r="D1916" s="2">
        <v>39083</v>
      </c>
      <c r="E1916" s="1" t="s">
        <v>3256</v>
      </c>
      <c r="F1916" s="1" t="s">
        <v>356</v>
      </c>
    </row>
    <row r="1917" spans="1:6" ht="30" customHeight="1" x14ac:dyDescent="0.25">
      <c r="A1917" s="1" t="s">
        <v>3930</v>
      </c>
      <c r="B1917" s="1" t="str">
        <f>"9781607502654"</f>
        <v>9781607502654</v>
      </c>
      <c r="C1917" s="1" t="s">
        <v>1390</v>
      </c>
      <c r="D1917" s="2">
        <v>39387</v>
      </c>
      <c r="E1917" s="1" t="s">
        <v>3931</v>
      </c>
      <c r="F1917" s="1" t="s">
        <v>13</v>
      </c>
    </row>
    <row r="1918" spans="1:6" ht="30" customHeight="1" x14ac:dyDescent="0.25">
      <c r="A1918" s="1" t="s">
        <v>3932</v>
      </c>
      <c r="B1918" s="1" t="str">
        <f>"9781607502760"</f>
        <v>9781607502760</v>
      </c>
      <c r="C1918" s="1" t="s">
        <v>1390</v>
      </c>
      <c r="D1918" s="2">
        <v>39356</v>
      </c>
      <c r="E1918" s="1" t="s">
        <v>3933</v>
      </c>
      <c r="F1918" s="1" t="s">
        <v>87</v>
      </c>
    </row>
    <row r="1919" spans="1:6" ht="30" customHeight="1" x14ac:dyDescent="0.25">
      <c r="A1919" s="1" t="s">
        <v>3934</v>
      </c>
      <c r="B1919" s="1" t="str">
        <f>"9780080557144"</f>
        <v>9780080557144</v>
      </c>
      <c r="C1919" s="1" t="s">
        <v>900</v>
      </c>
      <c r="D1919" s="2">
        <v>40661</v>
      </c>
      <c r="E1919" s="1" t="s">
        <v>3935</v>
      </c>
      <c r="F1919" s="1" t="s">
        <v>214</v>
      </c>
    </row>
    <row r="1920" spans="1:6" ht="30" customHeight="1" x14ac:dyDescent="0.25">
      <c r="A1920" s="1" t="s">
        <v>3936</v>
      </c>
      <c r="B1920" s="1" t="str">
        <f>"9780080556970"</f>
        <v>9780080556970</v>
      </c>
      <c r="C1920" s="1" t="s">
        <v>900</v>
      </c>
      <c r="D1920" s="2">
        <v>40386</v>
      </c>
      <c r="E1920" s="1" t="s">
        <v>3937</v>
      </c>
      <c r="F1920" s="1" t="s">
        <v>13</v>
      </c>
    </row>
    <row r="1921" spans="1:6" ht="30" customHeight="1" x14ac:dyDescent="0.25">
      <c r="A1921" s="1" t="s">
        <v>3938</v>
      </c>
      <c r="B1921" s="1" t="str">
        <f>"9780080557328"</f>
        <v>9780080557328</v>
      </c>
      <c r="C1921" s="1" t="s">
        <v>900</v>
      </c>
      <c r="D1921" s="2">
        <v>39518</v>
      </c>
      <c r="E1921" s="1" t="s">
        <v>3939</v>
      </c>
      <c r="F1921" s="1" t="s">
        <v>13</v>
      </c>
    </row>
    <row r="1922" spans="1:6" ht="30" customHeight="1" x14ac:dyDescent="0.25">
      <c r="A1922" s="1" t="s">
        <v>3940</v>
      </c>
      <c r="B1922" s="1" t="str">
        <f>"9780080554891"</f>
        <v>9780080554891</v>
      </c>
      <c r="C1922" s="1" t="s">
        <v>900</v>
      </c>
      <c r="D1922" s="2">
        <v>40661</v>
      </c>
      <c r="E1922" s="1" t="s">
        <v>3941</v>
      </c>
      <c r="F1922" s="1" t="s">
        <v>1750</v>
      </c>
    </row>
    <row r="1923" spans="1:6" ht="30" customHeight="1" x14ac:dyDescent="0.25">
      <c r="A1923" s="1" t="s">
        <v>3942</v>
      </c>
      <c r="B1923" s="1" t="str">
        <f>"9780080555126"</f>
        <v>9780080555126</v>
      </c>
      <c r="C1923" s="1" t="s">
        <v>900</v>
      </c>
      <c r="D1923" s="2">
        <v>39415</v>
      </c>
      <c r="E1923" s="1" t="s">
        <v>3943</v>
      </c>
      <c r="F1923" s="1" t="s">
        <v>13</v>
      </c>
    </row>
    <row r="1924" spans="1:6" ht="30" customHeight="1" x14ac:dyDescent="0.25">
      <c r="A1924" s="1" t="s">
        <v>3944</v>
      </c>
      <c r="B1924" s="1" t="str">
        <f>"9781593858810"</f>
        <v>9781593858810</v>
      </c>
      <c r="C1924" s="1" t="s">
        <v>3308</v>
      </c>
      <c r="D1924" s="2">
        <v>38538</v>
      </c>
      <c r="E1924" s="1" t="s">
        <v>3945</v>
      </c>
      <c r="F1924" s="1" t="s">
        <v>13</v>
      </c>
    </row>
    <row r="1925" spans="1:6" ht="30" customHeight="1" x14ac:dyDescent="0.25">
      <c r="A1925" s="1" t="s">
        <v>3946</v>
      </c>
      <c r="B1925" s="1" t="str">
        <f>"9789062998418"</f>
        <v>9789062998418</v>
      </c>
      <c r="C1925" s="1" t="s">
        <v>3412</v>
      </c>
      <c r="D1925" s="2">
        <v>39272</v>
      </c>
      <c r="E1925" s="1" t="s">
        <v>3947</v>
      </c>
      <c r="F1925" s="1" t="s">
        <v>13</v>
      </c>
    </row>
    <row r="1926" spans="1:6" ht="30" customHeight="1" x14ac:dyDescent="0.25">
      <c r="A1926" s="1" t="s">
        <v>3948</v>
      </c>
      <c r="B1926" s="1" t="str">
        <f>"9789062998425"</f>
        <v>9789062998425</v>
      </c>
      <c r="C1926" s="1" t="s">
        <v>3411</v>
      </c>
      <c r="D1926" s="2">
        <v>39275</v>
      </c>
      <c r="E1926" s="1" t="s">
        <v>3949</v>
      </c>
      <c r="F1926" s="1" t="s">
        <v>13</v>
      </c>
    </row>
    <row r="1927" spans="1:6" ht="30" customHeight="1" x14ac:dyDescent="0.25">
      <c r="A1927" s="1" t="s">
        <v>3950</v>
      </c>
      <c r="B1927" s="1" t="str">
        <f>"9781934559772"</f>
        <v>9781934559772</v>
      </c>
      <c r="C1927" s="1" t="s">
        <v>2342</v>
      </c>
      <c r="D1927" s="2">
        <v>39052</v>
      </c>
      <c r="E1927" s="1" t="s">
        <v>3951</v>
      </c>
      <c r="F1927" s="1" t="s">
        <v>13</v>
      </c>
    </row>
    <row r="1928" spans="1:6" ht="30" customHeight="1" x14ac:dyDescent="0.25">
      <c r="A1928" s="1" t="s">
        <v>3952</v>
      </c>
      <c r="B1928" s="1" t="str">
        <f>"9780470173374"</f>
        <v>9780470173374</v>
      </c>
      <c r="C1928" s="1" t="s">
        <v>65</v>
      </c>
      <c r="D1928" s="2">
        <v>39395</v>
      </c>
      <c r="E1928" s="1" t="s">
        <v>3953</v>
      </c>
      <c r="F1928" s="1" t="s">
        <v>95</v>
      </c>
    </row>
    <row r="1929" spans="1:6" ht="30" customHeight="1" x14ac:dyDescent="0.25">
      <c r="A1929" s="1" t="s">
        <v>3954</v>
      </c>
      <c r="B1929" s="1" t="str">
        <f>"9780470174289"</f>
        <v>9780470174289</v>
      </c>
      <c r="C1929" s="1" t="s">
        <v>65</v>
      </c>
      <c r="D1929" s="2">
        <v>39454</v>
      </c>
      <c r="E1929" s="1" t="s">
        <v>3955</v>
      </c>
      <c r="F1929" s="1" t="s">
        <v>760</v>
      </c>
    </row>
    <row r="1930" spans="1:6" ht="30" customHeight="1" x14ac:dyDescent="0.25">
      <c r="A1930" s="1" t="s">
        <v>3956</v>
      </c>
      <c r="B1930" s="1" t="str">
        <f>"9780470181195"</f>
        <v>9780470181195</v>
      </c>
      <c r="C1930" s="1" t="s">
        <v>65</v>
      </c>
      <c r="D1930" s="2">
        <v>39430</v>
      </c>
      <c r="E1930" s="1" t="s">
        <v>3957</v>
      </c>
      <c r="F1930" s="1" t="s">
        <v>13</v>
      </c>
    </row>
    <row r="1931" spans="1:6" ht="30" customHeight="1" x14ac:dyDescent="0.25">
      <c r="A1931" s="1" t="s">
        <v>3958</v>
      </c>
      <c r="B1931" s="1" t="str">
        <f>"9780470189726"</f>
        <v>9780470189726</v>
      </c>
      <c r="C1931" s="1" t="s">
        <v>65</v>
      </c>
      <c r="D1931" s="2">
        <v>39454</v>
      </c>
      <c r="E1931" s="1" t="s">
        <v>3959</v>
      </c>
      <c r="F1931" s="1" t="s">
        <v>30</v>
      </c>
    </row>
    <row r="1932" spans="1:6" ht="30" customHeight="1" x14ac:dyDescent="0.25">
      <c r="A1932" s="1" t="s">
        <v>3960</v>
      </c>
      <c r="B1932" s="1" t="str">
        <f>"9780470196496"</f>
        <v>9780470196496</v>
      </c>
      <c r="C1932" s="1" t="s">
        <v>65</v>
      </c>
      <c r="D1932" s="2">
        <v>39437</v>
      </c>
      <c r="E1932" s="1" t="s">
        <v>3961</v>
      </c>
      <c r="F1932" s="1" t="s">
        <v>751</v>
      </c>
    </row>
    <row r="1933" spans="1:6" ht="30" customHeight="1" x14ac:dyDescent="0.25">
      <c r="A1933" s="1" t="s">
        <v>3962</v>
      </c>
      <c r="B1933" s="1" t="str">
        <f>"9780470228326"</f>
        <v>9780470228326</v>
      </c>
      <c r="C1933" s="1" t="s">
        <v>65</v>
      </c>
      <c r="D1933" s="2">
        <v>39514</v>
      </c>
      <c r="E1933" s="1" t="s">
        <v>3963</v>
      </c>
      <c r="F1933" s="1" t="s">
        <v>200</v>
      </c>
    </row>
    <row r="1934" spans="1:6" ht="30" customHeight="1" x14ac:dyDescent="0.25">
      <c r="A1934" s="1" t="s">
        <v>3964</v>
      </c>
      <c r="B1934" s="1" t="str">
        <f>"9780470245774"</f>
        <v>9780470245774</v>
      </c>
      <c r="C1934" s="1" t="s">
        <v>65</v>
      </c>
      <c r="D1934" s="2">
        <v>39542</v>
      </c>
      <c r="E1934" s="1" t="s">
        <v>3965</v>
      </c>
      <c r="F1934" s="1" t="s">
        <v>95</v>
      </c>
    </row>
    <row r="1935" spans="1:6" ht="30" customHeight="1" x14ac:dyDescent="0.25">
      <c r="A1935" s="1" t="s">
        <v>3966</v>
      </c>
      <c r="B1935" s="1" t="str">
        <f>"9780470180662"</f>
        <v>9780470180662</v>
      </c>
      <c r="C1935" s="1" t="s">
        <v>65</v>
      </c>
      <c r="D1935" s="2">
        <v>39430</v>
      </c>
      <c r="E1935" s="1" t="s">
        <v>3967</v>
      </c>
      <c r="F1935" s="1" t="s">
        <v>268</v>
      </c>
    </row>
    <row r="1936" spans="1:6" ht="30" customHeight="1" x14ac:dyDescent="0.25">
      <c r="A1936" s="1" t="s">
        <v>3968</v>
      </c>
      <c r="B1936" s="1" t="str">
        <f>"9780470258569"</f>
        <v>9780470258569</v>
      </c>
      <c r="C1936" s="1" t="s">
        <v>65</v>
      </c>
      <c r="D1936" s="2">
        <v>39493</v>
      </c>
      <c r="E1936" s="1" t="s">
        <v>3969</v>
      </c>
      <c r="F1936" s="1" t="s">
        <v>13</v>
      </c>
    </row>
    <row r="1937" spans="1:6" ht="30" customHeight="1" x14ac:dyDescent="0.25">
      <c r="A1937" s="1" t="s">
        <v>3970</v>
      </c>
      <c r="B1937" s="1" t="str">
        <f>"9780816653997"</f>
        <v>9780816653997</v>
      </c>
      <c r="C1937" s="1" t="s">
        <v>3458</v>
      </c>
      <c r="D1937" s="2">
        <v>39465</v>
      </c>
      <c r="E1937" s="1" t="s">
        <v>3971</v>
      </c>
      <c r="F1937" s="1" t="s">
        <v>3972</v>
      </c>
    </row>
    <row r="1938" spans="1:6" ht="30" customHeight="1" x14ac:dyDescent="0.25">
      <c r="A1938" s="1" t="s">
        <v>3973</v>
      </c>
      <c r="B1938" s="1" t="str">
        <f>"9780080559391"</f>
        <v>9780080559391</v>
      </c>
      <c r="C1938" s="1" t="s">
        <v>900</v>
      </c>
      <c r="D1938" s="2">
        <v>39342</v>
      </c>
      <c r="E1938" s="1" t="s">
        <v>3974</v>
      </c>
      <c r="F1938" s="1" t="s">
        <v>13</v>
      </c>
    </row>
    <row r="1939" spans="1:6" ht="30" customHeight="1" x14ac:dyDescent="0.25">
      <c r="A1939" s="1" t="s">
        <v>3975</v>
      </c>
      <c r="B1939" s="1" t="str">
        <f>"9781934559925"</f>
        <v>9781934559925</v>
      </c>
      <c r="C1939" s="1" t="s">
        <v>2342</v>
      </c>
      <c r="D1939" s="2">
        <v>39448</v>
      </c>
      <c r="E1939" s="1" t="s">
        <v>3976</v>
      </c>
      <c r="F1939" s="1" t="s">
        <v>13</v>
      </c>
    </row>
    <row r="1940" spans="1:6" ht="30" customHeight="1" x14ac:dyDescent="0.25">
      <c r="A1940" s="1" t="s">
        <v>3977</v>
      </c>
      <c r="B1940" s="1" t="str">
        <f>"9780748629251"</f>
        <v>9780748629251</v>
      </c>
      <c r="C1940" s="1" t="s">
        <v>3978</v>
      </c>
      <c r="D1940" s="2">
        <v>39484</v>
      </c>
      <c r="E1940" s="1" t="s">
        <v>3979</v>
      </c>
      <c r="F1940" s="1" t="s">
        <v>13</v>
      </c>
    </row>
    <row r="1941" spans="1:6" ht="30" customHeight="1" x14ac:dyDescent="0.25">
      <c r="A1941" s="1" t="s">
        <v>3980</v>
      </c>
      <c r="B1941" s="1" t="str">
        <f>"9780335233854"</f>
        <v>9780335233854</v>
      </c>
      <c r="C1941" s="1" t="s">
        <v>2247</v>
      </c>
      <c r="D1941" s="2">
        <v>39326</v>
      </c>
      <c r="E1941" s="1" t="s">
        <v>3981</v>
      </c>
      <c r="F1941" s="1" t="s">
        <v>158</v>
      </c>
    </row>
    <row r="1942" spans="1:6" ht="30" customHeight="1" x14ac:dyDescent="0.25">
      <c r="A1942" s="1" t="s">
        <v>3982</v>
      </c>
      <c r="B1942" s="1" t="str">
        <f>"9780335233861"</f>
        <v>9780335233861</v>
      </c>
      <c r="C1942" s="1" t="s">
        <v>2247</v>
      </c>
      <c r="D1942" s="2">
        <v>39326</v>
      </c>
      <c r="E1942" s="1" t="s">
        <v>3983</v>
      </c>
      <c r="F1942" s="1" t="s">
        <v>30</v>
      </c>
    </row>
    <row r="1943" spans="1:6" ht="30" customHeight="1" x14ac:dyDescent="0.25">
      <c r="A1943" s="1" t="s">
        <v>3984</v>
      </c>
      <c r="B1943" s="1" t="str">
        <f>"9780335233915"</f>
        <v>9780335233915</v>
      </c>
      <c r="C1943" s="1" t="s">
        <v>2247</v>
      </c>
      <c r="D1943" s="2">
        <v>39295</v>
      </c>
      <c r="E1943" s="1" t="s">
        <v>3985</v>
      </c>
      <c r="F1943" s="1" t="s">
        <v>87</v>
      </c>
    </row>
    <row r="1944" spans="1:6" ht="30" customHeight="1" x14ac:dyDescent="0.25">
      <c r="A1944" s="1" t="s">
        <v>3986</v>
      </c>
      <c r="B1944" s="1" t="str">
        <f>"9780335233922"</f>
        <v>9780335233922</v>
      </c>
      <c r="C1944" s="1" t="s">
        <v>2247</v>
      </c>
      <c r="D1944" s="2">
        <v>39295</v>
      </c>
      <c r="E1944" s="1" t="s">
        <v>3987</v>
      </c>
      <c r="F1944" s="1" t="s">
        <v>95</v>
      </c>
    </row>
    <row r="1945" spans="1:6" ht="30" customHeight="1" x14ac:dyDescent="0.25">
      <c r="A1945" s="1" t="s">
        <v>3988</v>
      </c>
      <c r="B1945" s="1" t="str">
        <f>"9780335233939"</f>
        <v>9780335233939</v>
      </c>
      <c r="C1945" s="1" t="s">
        <v>2247</v>
      </c>
      <c r="D1945" s="2">
        <v>39295</v>
      </c>
      <c r="E1945" s="1" t="s">
        <v>3989</v>
      </c>
      <c r="F1945" s="1" t="s">
        <v>126</v>
      </c>
    </row>
    <row r="1946" spans="1:6" ht="30" customHeight="1" x14ac:dyDescent="0.25">
      <c r="A1946" s="1" t="s">
        <v>3990</v>
      </c>
      <c r="B1946" s="1" t="str">
        <f>"9780335234967"</f>
        <v>9780335234967</v>
      </c>
      <c r="C1946" s="1" t="s">
        <v>2247</v>
      </c>
      <c r="D1946" s="2">
        <v>39356</v>
      </c>
      <c r="E1946" s="1" t="s">
        <v>3991</v>
      </c>
      <c r="F1946" s="1" t="s">
        <v>95</v>
      </c>
    </row>
    <row r="1947" spans="1:6" ht="30" customHeight="1" x14ac:dyDescent="0.25">
      <c r="A1947" s="1" t="s">
        <v>3992</v>
      </c>
      <c r="B1947" s="1" t="str">
        <f>"9780335235001"</f>
        <v>9780335235001</v>
      </c>
      <c r="C1947" s="1" t="s">
        <v>2247</v>
      </c>
      <c r="D1947" s="2">
        <v>39326</v>
      </c>
      <c r="E1947" s="1" t="s">
        <v>3993</v>
      </c>
      <c r="F1947" s="1" t="s">
        <v>95</v>
      </c>
    </row>
    <row r="1948" spans="1:6" ht="30" customHeight="1" x14ac:dyDescent="0.25">
      <c r="A1948" s="1" t="s">
        <v>3994</v>
      </c>
      <c r="B1948" s="1" t="str">
        <f>"9780335235155"</f>
        <v>9780335235155</v>
      </c>
      <c r="C1948" s="1" t="s">
        <v>2247</v>
      </c>
      <c r="D1948" s="2">
        <v>39417</v>
      </c>
      <c r="E1948" s="1" t="s">
        <v>3995</v>
      </c>
      <c r="F1948" s="1" t="s">
        <v>13</v>
      </c>
    </row>
    <row r="1949" spans="1:6" ht="30" customHeight="1" x14ac:dyDescent="0.25">
      <c r="A1949" s="1" t="s">
        <v>3996</v>
      </c>
      <c r="B1949" s="1" t="str">
        <f>"9780203956526"</f>
        <v>9780203956526</v>
      </c>
      <c r="C1949" s="1" t="s">
        <v>93</v>
      </c>
      <c r="D1949" s="2">
        <v>38468</v>
      </c>
      <c r="E1949" s="1" t="s">
        <v>3997</v>
      </c>
      <c r="F1949" s="1" t="s">
        <v>291</v>
      </c>
    </row>
    <row r="1950" spans="1:6" ht="30" customHeight="1" x14ac:dyDescent="0.25">
      <c r="A1950" s="1" t="s">
        <v>3998</v>
      </c>
      <c r="B1950" s="1" t="str">
        <f>"9780803217416"</f>
        <v>9780803217416</v>
      </c>
      <c r="C1950" s="1" t="s">
        <v>3573</v>
      </c>
      <c r="D1950" s="2">
        <v>39539</v>
      </c>
      <c r="E1950" s="1" t="s">
        <v>3999</v>
      </c>
      <c r="F1950" s="1" t="s">
        <v>541</v>
      </c>
    </row>
    <row r="1951" spans="1:6" ht="30" customHeight="1" x14ac:dyDescent="0.25">
      <c r="A1951" s="1" t="s">
        <v>4000</v>
      </c>
      <c r="B1951" s="1" t="str">
        <f>"9788122423150"</f>
        <v>9788122423150</v>
      </c>
      <c r="C1951" s="1" t="s">
        <v>4001</v>
      </c>
      <c r="D1951" s="2">
        <v>38847</v>
      </c>
      <c r="E1951" s="1" t="s">
        <v>4002</v>
      </c>
      <c r="F1951" s="1" t="s">
        <v>137</v>
      </c>
    </row>
    <row r="1952" spans="1:6" ht="30" customHeight="1" x14ac:dyDescent="0.25">
      <c r="A1952" s="1" t="s">
        <v>4003</v>
      </c>
      <c r="B1952" s="1" t="str">
        <f>"9788122423358"</f>
        <v>9788122423358</v>
      </c>
      <c r="C1952" s="1" t="s">
        <v>4001</v>
      </c>
      <c r="D1952" s="2">
        <v>38465</v>
      </c>
      <c r="E1952" s="1" t="s">
        <v>4004</v>
      </c>
      <c r="F1952" s="1" t="s">
        <v>3911</v>
      </c>
    </row>
    <row r="1953" spans="1:6" ht="30" customHeight="1" x14ac:dyDescent="0.25">
      <c r="A1953" s="1" t="s">
        <v>4005</v>
      </c>
      <c r="B1953" s="1" t="str">
        <f>"9780470170106"</f>
        <v>9780470170106</v>
      </c>
      <c r="C1953" s="1" t="s">
        <v>65</v>
      </c>
      <c r="D1953" s="2">
        <v>39381</v>
      </c>
      <c r="E1953" s="1" t="s">
        <v>4006</v>
      </c>
      <c r="F1953" s="1" t="s">
        <v>13</v>
      </c>
    </row>
    <row r="1954" spans="1:6" ht="30" customHeight="1" x14ac:dyDescent="0.25">
      <c r="A1954" s="1" t="s">
        <v>4007</v>
      </c>
      <c r="B1954" s="1" t="str">
        <f>"9780470259801"</f>
        <v>9780470259801</v>
      </c>
      <c r="C1954" s="1" t="s">
        <v>65</v>
      </c>
      <c r="D1954" s="2">
        <v>39528</v>
      </c>
      <c r="E1954" s="1" t="s">
        <v>989</v>
      </c>
      <c r="F1954" s="1" t="s">
        <v>268</v>
      </c>
    </row>
    <row r="1955" spans="1:6" ht="30" customHeight="1" x14ac:dyDescent="0.25">
      <c r="A1955" s="1" t="s">
        <v>4008</v>
      </c>
      <c r="B1955" s="1" t="str">
        <f>"9780470259825"</f>
        <v>9780470259825</v>
      </c>
      <c r="C1955" s="1" t="s">
        <v>65</v>
      </c>
      <c r="D1955" s="2">
        <v>39542</v>
      </c>
      <c r="E1955" s="1" t="s">
        <v>989</v>
      </c>
      <c r="F1955" s="1" t="s">
        <v>137</v>
      </c>
    </row>
    <row r="1956" spans="1:6" ht="30" customHeight="1" x14ac:dyDescent="0.25">
      <c r="A1956" s="1" t="s">
        <v>4009</v>
      </c>
      <c r="B1956" s="1" t="str">
        <f>"9780470249024"</f>
        <v>9780470249024</v>
      </c>
      <c r="C1956" s="1" t="s">
        <v>65</v>
      </c>
      <c r="D1956" s="2">
        <v>39528</v>
      </c>
      <c r="E1956" s="1" t="s">
        <v>989</v>
      </c>
      <c r="F1956" s="1" t="s">
        <v>137</v>
      </c>
    </row>
    <row r="1957" spans="1:6" ht="30" customHeight="1" x14ac:dyDescent="0.25">
      <c r="A1957" s="1" t="s">
        <v>4010</v>
      </c>
      <c r="B1957" s="1" t="str">
        <f>"9780470249048"</f>
        <v>9780470249048</v>
      </c>
      <c r="C1957" s="1" t="s">
        <v>65</v>
      </c>
      <c r="D1957" s="2">
        <v>39528</v>
      </c>
      <c r="E1957" s="1" t="s">
        <v>989</v>
      </c>
      <c r="F1957" s="1" t="s">
        <v>4011</v>
      </c>
    </row>
    <row r="1958" spans="1:6" ht="30" customHeight="1" x14ac:dyDescent="0.25">
      <c r="A1958" s="1" t="s">
        <v>4012</v>
      </c>
      <c r="B1958" s="1" t="str">
        <f>"9781846425899"</f>
        <v>9781846425899</v>
      </c>
      <c r="C1958" s="1" t="s">
        <v>2387</v>
      </c>
      <c r="D1958" s="2">
        <v>39066</v>
      </c>
      <c r="E1958" s="1" t="s">
        <v>4013</v>
      </c>
      <c r="F1958" s="1" t="s">
        <v>13</v>
      </c>
    </row>
    <row r="1959" spans="1:6" ht="30" customHeight="1" x14ac:dyDescent="0.25">
      <c r="A1959" s="1" t="s">
        <v>4014</v>
      </c>
      <c r="B1959" s="1" t="str">
        <f>"9781846426681"</f>
        <v>9781846426681</v>
      </c>
      <c r="C1959" s="1" t="s">
        <v>2387</v>
      </c>
      <c r="D1959" s="2">
        <v>39278</v>
      </c>
      <c r="E1959" s="1" t="s">
        <v>4015</v>
      </c>
      <c r="F1959" s="1" t="s">
        <v>30</v>
      </c>
    </row>
    <row r="1960" spans="1:6" ht="30" customHeight="1" x14ac:dyDescent="0.25">
      <c r="A1960" s="1" t="s">
        <v>4016</v>
      </c>
      <c r="B1960" s="1" t="str">
        <f>"9781846426230"</f>
        <v>9781846426230</v>
      </c>
      <c r="C1960" s="1" t="s">
        <v>2387</v>
      </c>
      <c r="D1960" s="2">
        <v>39187</v>
      </c>
      <c r="E1960" s="1" t="s">
        <v>4017</v>
      </c>
      <c r="F1960" s="1" t="s">
        <v>176</v>
      </c>
    </row>
    <row r="1961" spans="1:6" ht="30" customHeight="1" x14ac:dyDescent="0.25">
      <c r="A1961" s="1" t="s">
        <v>4018</v>
      </c>
      <c r="B1961" s="1" t="str">
        <f>"9781846426049"</f>
        <v>9781846426049</v>
      </c>
      <c r="C1961" s="1" t="s">
        <v>2387</v>
      </c>
      <c r="D1961" s="2">
        <v>39156</v>
      </c>
      <c r="E1961" s="1" t="s">
        <v>4019</v>
      </c>
      <c r="F1961" s="1" t="s">
        <v>158</v>
      </c>
    </row>
    <row r="1962" spans="1:6" ht="30" customHeight="1" x14ac:dyDescent="0.25">
      <c r="A1962" s="1" t="s">
        <v>4020</v>
      </c>
      <c r="B1962" s="1" t="str">
        <f>"9781846426353"</f>
        <v>9781846426353</v>
      </c>
      <c r="C1962" s="1" t="s">
        <v>2387</v>
      </c>
      <c r="D1962" s="2">
        <v>39248</v>
      </c>
      <c r="E1962" s="1" t="s">
        <v>4021</v>
      </c>
      <c r="F1962" s="1" t="s">
        <v>148</v>
      </c>
    </row>
    <row r="1963" spans="1:6" ht="30" customHeight="1" x14ac:dyDescent="0.25">
      <c r="A1963" s="1" t="s">
        <v>4022</v>
      </c>
      <c r="B1963" s="1" t="str">
        <f>"9781846426582"</f>
        <v>9781846426582</v>
      </c>
      <c r="C1963" s="1" t="s">
        <v>2387</v>
      </c>
      <c r="D1963" s="2">
        <v>39248</v>
      </c>
      <c r="E1963" s="1" t="s">
        <v>4023</v>
      </c>
      <c r="F1963" s="1" t="s">
        <v>158</v>
      </c>
    </row>
    <row r="1964" spans="1:6" ht="30" customHeight="1" x14ac:dyDescent="0.25">
      <c r="A1964" s="1" t="s">
        <v>4024</v>
      </c>
      <c r="B1964" s="1" t="str">
        <f>"9781846425950"</f>
        <v>9781846425950</v>
      </c>
      <c r="C1964" s="1" t="s">
        <v>2387</v>
      </c>
      <c r="D1964" s="2">
        <v>39112</v>
      </c>
      <c r="E1964" s="1" t="s">
        <v>4025</v>
      </c>
      <c r="F1964" s="1" t="s">
        <v>13</v>
      </c>
    </row>
    <row r="1965" spans="1:6" ht="30" customHeight="1" x14ac:dyDescent="0.25">
      <c r="A1965" s="1" t="s">
        <v>4026</v>
      </c>
      <c r="B1965" s="1" t="str">
        <f>"9781846426506"</f>
        <v>9781846426506</v>
      </c>
      <c r="C1965" s="1" t="s">
        <v>2387</v>
      </c>
      <c r="D1965" s="2">
        <v>39217</v>
      </c>
      <c r="E1965" s="1" t="s">
        <v>2720</v>
      </c>
      <c r="F1965" s="1" t="s">
        <v>294</v>
      </c>
    </row>
    <row r="1966" spans="1:6" ht="30" customHeight="1" x14ac:dyDescent="0.25">
      <c r="A1966" s="1" t="s">
        <v>4027</v>
      </c>
      <c r="B1966" s="1" t="str">
        <f>"9781846426254"</f>
        <v>9781846426254</v>
      </c>
      <c r="C1966" s="1" t="s">
        <v>2387</v>
      </c>
      <c r="D1966" s="2">
        <v>39217</v>
      </c>
      <c r="E1966" s="1" t="s">
        <v>4028</v>
      </c>
      <c r="F1966" s="1" t="s">
        <v>13</v>
      </c>
    </row>
    <row r="1967" spans="1:6" ht="30" customHeight="1" x14ac:dyDescent="0.25">
      <c r="A1967" s="1" t="s">
        <v>4029</v>
      </c>
      <c r="B1967" s="1" t="str">
        <f>"9781846425943"</f>
        <v>9781846425943</v>
      </c>
      <c r="C1967" s="1" t="s">
        <v>2387</v>
      </c>
      <c r="D1967" s="2">
        <v>39107</v>
      </c>
      <c r="E1967" s="1" t="s">
        <v>4030</v>
      </c>
      <c r="F1967" s="1" t="s">
        <v>13</v>
      </c>
    </row>
    <row r="1968" spans="1:6" ht="30" customHeight="1" x14ac:dyDescent="0.25">
      <c r="A1968" s="1" t="s">
        <v>4031</v>
      </c>
      <c r="B1968" s="1" t="str">
        <f>"9781846426605"</f>
        <v>9781846426605</v>
      </c>
      <c r="C1968" s="1" t="s">
        <v>2387</v>
      </c>
      <c r="D1968" s="2">
        <v>39248</v>
      </c>
      <c r="E1968" s="1" t="s">
        <v>4032</v>
      </c>
      <c r="F1968" s="1" t="s">
        <v>13</v>
      </c>
    </row>
    <row r="1969" spans="1:6" ht="30" customHeight="1" x14ac:dyDescent="0.25">
      <c r="A1969" s="1" t="s">
        <v>4033</v>
      </c>
      <c r="B1969" s="1" t="str">
        <f>"9781846426278"</f>
        <v>9781846426278</v>
      </c>
      <c r="C1969" s="1" t="s">
        <v>2387</v>
      </c>
      <c r="D1969" s="2">
        <v>39187</v>
      </c>
      <c r="E1969" s="1" t="s">
        <v>4034</v>
      </c>
      <c r="F1969" s="1" t="s">
        <v>214</v>
      </c>
    </row>
    <row r="1970" spans="1:6" ht="30" customHeight="1" x14ac:dyDescent="0.25">
      <c r="A1970" s="1" t="s">
        <v>4035</v>
      </c>
      <c r="B1970" s="1" t="str">
        <f>"9781846426247"</f>
        <v>9781846426247</v>
      </c>
      <c r="C1970" s="1" t="s">
        <v>2387</v>
      </c>
      <c r="D1970" s="2">
        <v>39248</v>
      </c>
      <c r="E1970" s="1" t="s">
        <v>4036</v>
      </c>
      <c r="F1970" s="1" t="s">
        <v>13</v>
      </c>
    </row>
    <row r="1971" spans="1:6" ht="30" customHeight="1" x14ac:dyDescent="0.25">
      <c r="A1971" s="1" t="s">
        <v>4037</v>
      </c>
      <c r="B1971" s="1" t="str">
        <f>"9781846425967"</f>
        <v>9781846425967</v>
      </c>
      <c r="C1971" s="1" t="s">
        <v>2387</v>
      </c>
      <c r="D1971" s="2">
        <v>39112</v>
      </c>
      <c r="E1971" s="1" t="s">
        <v>4038</v>
      </c>
      <c r="F1971" s="1" t="s">
        <v>13</v>
      </c>
    </row>
    <row r="1972" spans="1:6" ht="30" customHeight="1" x14ac:dyDescent="0.25">
      <c r="A1972" s="1" t="s">
        <v>4039</v>
      </c>
      <c r="B1972" s="1" t="str">
        <f>"9781846426186"</f>
        <v>9781846426186</v>
      </c>
      <c r="C1972" s="1" t="s">
        <v>2387</v>
      </c>
      <c r="D1972" s="2">
        <v>39156</v>
      </c>
      <c r="E1972" s="1" t="s">
        <v>4040</v>
      </c>
      <c r="F1972" s="1" t="s">
        <v>13</v>
      </c>
    </row>
    <row r="1973" spans="1:6" ht="30" customHeight="1" x14ac:dyDescent="0.25">
      <c r="A1973" s="1" t="s">
        <v>4041</v>
      </c>
      <c r="B1973" s="1" t="str">
        <f>"9781846426612"</f>
        <v>9781846426612</v>
      </c>
      <c r="C1973" s="1" t="s">
        <v>2387</v>
      </c>
      <c r="D1973" s="2">
        <v>39248</v>
      </c>
      <c r="E1973" s="1" t="s">
        <v>4042</v>
      </c>
      <c r="F1973" s="1" t="s">
        <v>13</v>
      </c>
    </row>
    <row r="1974" spans="1:6" ht="30" customHeight="1" x14ac:dyDescent="0.25">
      <c r="A1974" s="1" t="s">
        <v>4043</v>
      </c>
      <c r="B1974" s="1" t="str">
        <f>"9781846426360"</f>
        <v>9781846426360</v>
      </c>
      <c r="C1974" s="1" t="s">
        <v>2387</v>
      </c>
      <c r="D1974" s="2">
        <v>39217</v>
      </c>
      <c r="E1974" s="1" t="s">
        <v>4044</v>
      </c>
      <c r="F1974" s="1" t="s">
        <v>13</v>
      </c>
    </row>
    <row r="1975" spans="1:6" ht="30" customHeight="1" x14ac:dyDescent="0.25">
      <c r="A1975" s="1" t="s">
        <v>4045</v>
      </c>
      <c r="B1975" s="1" t="str">
        <f>"9781846426193"</f>
        <v>9781846426193</v>
      </c>
      <c r="C1975" s="1" t="s">
        <v>2387</v>
      </c>
      <c r="D1975" s="2">
        <v>39187</v>
      </c>
      <c r="E1975" s="1" t="s">
        <v>4046</v>
      </c>
      <c r="F1975" s="1" t="s">
        <v>13</v>
      </c>
    </row>
    <row r="1976" spans="1:6" ht="30" customHeight="1" x14ac:dyDescent="0.25">
      <c r="A1976" s="1" t="s">
        <v>4047</v>
      </c>
      <c r="B1976" s="1" t="str">
        <f>"9781846426285"</f>
        <v>9781846426285</v>
      </c>
      <c r="C1976" s="1" t="s">
        <v>2387</v>
      </c>
      <c r="D1976" s="2">
        <v>39248</v>
      </c>
      <c r="E1976" s="1" t="s">
        <v>4048</v>
      </c>
      <c r="F1976" s="1" t="s">
        <v>13</v>
      </c>
    </row>
    <row r="1977" spans="1:6" ht="30" customHeight="1" x14ac:dyDescent="0.25">
      <c r="A1977" s="1" t="s">
        <v>4049</v>
      </c>
      <c r="B1977" s="1" t="str">
        <f>"9781846426698"</f>
        <v>9781846426698</v>
      </c>
      <c r="C1977" s="1" t="s">
        <v>2387</v>
      </c>
      <c r="D1977" s="2">
        <v>39278</v>
      </c>
      <c r="E1977" s="1" t="s">
        <v>4050</v>
      </c>
      <c r="F1977" s="1" t="s">
        <v>13</v>
      </c>
    </row>
    <row r="1978" spans="1:6" ht="30" customHeight="1" x14ac:dyDescent="0.25">
      <c r="A1978" s="1" t="s">
        <v>4051</v>
      </c>
      <c r="B1978" s="1" t="str">
        <f>"9781846426308"</f>
        <v>9781846426308</v>
      </c>
      <c r="C1978" s="1" t="s">
        <v>2387</v>
      </c>
      <c r="D1978" s="2">
        <v>39187</v>
      </c>
      <c r="E1978" s="1" t="s">
        <v>4052</v>
      </c>
      <c r="F1978" s="1" t="s">
        <v>13</v>
      </c>
    </row>
    <row r="1979" spans="1:6" ht="30" customHeight="1" x14ac:dyDescent="0.25">
      <c r="A1979" s="1" t="s">
        <v>4053</v>
      </c>
      <c r="B1979" s="1" t="str">
        <f>"9781846425813"</f>
        <v>9781846425813</v>
      </c>
      <c r="C1979" s="1" t="s">
        <v>2387</v>
      </c>
      <c r="D1979" s="2">
        <v>39066</v>
      </c>
      <c r="E1979" s="1" t="s">
        <v>4054</v>
      </c>
      <c r="F1979" s="1" t="s">
        <v>13</v>
      </c>
    </row>
    <row r="1980" spans="1:6" ht="30" customHeight="1" x14ac:dyDescent="0.25">
      <c r="A1980" s="1" t="s">
        <v>4055</v>
      </c>
      <c r="B1980" s="1" t="str">
        <f>"9781846426292"</f>
        <v>9781846426292</v>
      </c>
      <c r="C1980" s="1" t="s">
        <v>2387</v>
      </c>
      <c r="D1980" s="2">
        <v>39187</v>
      </c>
      <c r="E1980" s="1" t="s">
        <v>4056</v>
      </c>
      <c r="F1980" s="1" t="s">
        <v>13</v>
      </c>
    </row>
    <row r="1981" spans="1:6" ht="30" customHeight="1" x14ac:dyDescent="0.25">
      <c r="A1981" s="1" t="s">
        <v>4057</v>
      </c>
      <c r="B1981" s="1" t="str">
        <f>"9781846426674"</f>
        <v>9781846426674</v>
      </c>
      <c r="C1981" s="1" t="s">
        <v>2387</v>
      </c>
      <c r="D1981" s="2">
        <v>39278</v>
      </c>
      <c r="E1981" s="1" t="s">
        <v>4058</v>
      </c>
      <c r="F1981" s="1" t="s">
        <v>3460</v>
      </c>
    </row>
    <row r="1982" spans="1:6" ht="30" customHeight="1" x14ac:dyDescent="0.25">
      <c r="A1982" s="1" t="s">
        <v>4059</v>
      </c>
      <c r="B1982" s="1" t="str">
        <f>"9781846425837"</f>
        <v>9781846425837</v>
      </c>
      <c r="C1982" s="1" t="s">
        <v>2387</v>
      </c>
      <c r="D1982" s="2">
        <v>39097</v>
      </c>
      <c r="E1982" s="1" t="s">
        <v>4060</v>
      </c>
      <c r="F1982" s="1" t="s">
        <v>13</v>
      </c>
    </row>
    <row r="1983" spans="1:6" ht="30" customHeight="1" x14ac:dyDescent="0.25">
      <c r="A1983" s="1" t="s">
        <v>4061</v>
      </c>
      <c r="B1983" s="1" t="str">
        <f>"9781846426063"</f>
        <v>9781846426063</v>
      </c>
      <c r="C1983" s="1" t="s">
        <v>2387</v>
      </c>
      <c r="D1983" s="2">
        <v>39187</v>
      </c>
      <c r="E1983" s="1" t="s">
        <v>4062</v>
      </c>
      <c r="F1983" s="1" t="s">
        <v>127</v>
      </c>
    </row>
    <row r="1984" spans="1:6" ht="30" customHeight="1" x14ac:dyDescent="0.25">
      <c r="A1984" s="1" t="s">
        <v>4063</v>
      </c>
      <c r="B1984" s="1" t="str">
        <f>"9781846425882"</f>
        <v>9781846425882</v>
      </c>
      <c r="C1984" s="1" t="s">
        <v>2387</v>
      </c>
      <c r="D1984" s="2">
        <v>39066</v>
      </c>
      <c r="E1984" s="1" t="s">
        <v>4064</v>
      </c>
      <c r="F1984" s="1" t="s">
        <v>13</v>
      </c>
    </row>
    <row r="1985" spans="1:6" ht="30" customHeight="1" x14ac:dyDescent="0.25">
      <c r="A1985" s="1" t="s">
        <v>4065</v>
      </c>
      <c r="B1985" s="1" t="str">
        <f>"9781846426667"</f>
        <v>9781846426667</v>
      </c>
      <c r="C1985" s="1" t="s">
        <v>2387</v>
      </c>
      <c r="D1985" s="2">
        <v>39278</v>
      </c>
      <c r="E1985" s="1" t="s">
        <v>4066</v>
      </c>
      <c r="F1985" s="1" t="s">
        <v>13</v>
      </c>
    </row>
    <row r="1986" spans="1:6" ht="30" customHeight="1" x14ac:dyDescent="0.25">
      <c r="A1986" s="1" t="s">
        <v>4067</v>
      </c>
      <c r="B1986" s="1" t="str">
        <f>"9781846426162"</f>
        <v>9781846426162</v>
      </c>
      <c r="C1986" s="1" t="s">
        <v>2387</v>
      </c>
      <c r="D1986" s="2">
        <v>39217</v>
      </c>
      <c r="E1986" s="1" t="s">
        <v>4068</v>
      </c>
      <c r="F1986" s="1" t="s">
        <v>158</v>
      </c>
    </row>
    <row r="1987" spans="1:6" ht="30" customHeight="1" x14ac:dyDescent="0.25">
      <c r="A1987" s="1" t="s">
        <v>4069</v>
      </c>
      <c r="B1987" s="1" t="str">
        <f>"9781846426599"</f>
        <v>9781846426599</v>
      </c>
      <c r="C1987" s="1" t="s">
        <v>2387</v>
      </c>
      <c r="D1987" s="2">
        <v>39248</v>
      </c>
      <c r="E1987" s="1" t="s">
        <v>4070</v>
      </c>
      <c r="F1987" s="1" t="s">
        <v>13</v>
      </c>
    </row>
    <row r="1988" spans="1:6" ht="30" customHeight="1" x14ac:dyDescent="0.25">
      <c r="A1988" s="1" t="s">
        <v>4071</v>
      </c>
      <c r="B1988" s="1" t="str">
        <f>"9781846425875"</f>
        <v>9781846425875</v>
      </c>
      <c r="C1988" s="1" t="s">
        <v>2387</v>
      </c>
      <c r="D1988" s="2">
        <v>39097</v>
      </c>
      <c r="E1988" s="1" t="s">
        <v>4072</v>
      </c>
      <c r="F1988" s="1" t="s">
        <v>13</v>
      </c>
    </row>
    <row r="1989" spans="1:6" ht="30" customHeight="1" x14ac:dyDescent="0.25">
      <c r="A1989" s="1" t="s">
        <v>4073</v>
      </c>
      <c r="B1989" s="1" t="str">
        <f>"9781846426537"</f>
        <v>9781846426537</v>
      </c>
      <c r="C1989" s="1" t="s">
        <v>2387</v>
      </c>
      <c r="D1989" s="2">
        <v>39217</v>
      </c>
      <c r="E1989" s="1" t="s">
        <v>4074</v>
      </c>
      <c r="F1989" s="1" t="s">
        <v>13</v>
      </c>
    </row>
    <row r="1990" spans="1:6" ht="30" customHeight="1" x14ac:dyDescent="0.25">
      <c r="A1990" s="1" t="s">
        <v>4075</v>
      </c>
      <c r="B1990" s="1" t="str">
        <f>"9781607502883"</f>
        <v>9781607502883</v>
      </c>
      <c r="C1990" s="1" t="s">
        <v>1390</v>
      </c>
      <c r="D1990" s="2">
        <v>39489</v>
      </c>
      <c r="E1990" s="1" t="s">
        <v>4076</v>
      </c>
      <c r="F1990" s="1" t="s">
        <v>13</v>
      </c>
    </row>
    <row r="1991" spans="1:6" ht="30" customHeight="1" x14ac:dyDescent="0.25">
      <c r="A1991" s="1" t="s">
        <v>4077</v>
      </c>
      <c r="B1991" s="1" t="str">
        <f>"9781607502890"</f>
        <v>9781607502890</v>
      </c>
      <c r="C1991" s="1" t="s">
        <v>1390</v>
      </c>
      <c r="D1991" s="2">
        <v>37500</v>
      </c>
      <c r="E1991" s="1" t="s">
        <v>4078</v>
      </c>
      <c r="F1991" s="1" t="s">
        <v>4079</v>
      </c>
    </row>
    <row r="1992" spans="1:6" ht="30" customHeight="1" x14ac:dyDescent="0.25">
      <c r="A1992" s="1" t="s">
        <v>4080</v>
      </c>
      <c r="B1992" s="1" t="str">
        <f>"9781607502944"</f>
        <v>9781607502944</v>
      </c>
      <c r="C1992" s="1" t="s">
        <v>1390</v>
      </c>
      <c r="D1992" s="2">
        <v>39464</v>
      </c>
      <c r="E1992" s="1" t="s">
        <v>4081</v>
      </c>
      <c r="F1992" s="1" t="s">
        <v>176</v>
      </c>
    </row>
    <row r="1993" spans="1:6" ht="30" customHeight="1" x14ac:dyDescent="0.25">
      <c r="A1993" s="1" t="s">
        <v>4082</v>
      </c>
      <c r="B1993" s="1" t="str">
        <f>"9781607503088"</f>
        <v>9781607503088</v>
      </c>
      <c r="C1993" s="1" t="s">
        <v>1390</v>
      </c>
      <c r="D1993" s="2">
        <v>39489</v>
      </c>
      <c r="E1993" s="1" t="s">
        <v>4083</v>
      </c>
      <c r="F1993" s="1" t="s">
        <v>13</v>
      </c>
    </row>
    <row r="1994" spans="1:6" ht="30" customHeight="1" x14ac:dyDescent="0.25">
      <c r="A1994" s="1" t="s">
        <v>4084</v>
      </c>
      <c r="B1994" s="1" t="str">
        <f>"9781847877338"</f>
        <v>9781847877338</v>
      </c>
      <c r="C1994" s="1" t="s">
        <v>1228</v>
      </c>
      <c r="D1994" s="2">
        <v>38092</v>
      </c>
      <c r="E1994" s="1" t="s">
        <v>4085</v>
      </c>
      <c r="F1994" s="1" t="s">
        <v>13</v>
      </c>
    </row>
    <row r="1995" spans="1:6" ht="30" customHeight="1" x14ac:dyDescent="0.25">
      <c r="A1995" s="1" t="s">
        <v>4086</v>
      </c>
      <c r="B1995" s="1" t="str">
        <f>"9781847877772"</f>
        <v>9781847877772</v>
      </c>
      <c r="C1995" s="1" t="s">
        <v>1228</v>
      </c>
      <c r="D1995" s="2">
        <v>38079</v>
      </c>
      <c r="E1995" s="1" t="s">
        <v>4087</v>
      </c>
      <c r="F1995" s="1" t="s">
        <v>406</v>
      </c>
    </row>
    <row r="1996" spans="1:6" ht="30" customHeight="1" x14ac:dyDescent="0.25">
      <c r="A1996" s="1" t="s">
        <v>4088</v>
      </c>
      <c r="B1996" s="1" t="str">
        <f>"9781847878748"</f>
        <v>9781847878748</v>
      </c>
      <c r="C1996" s="1" t="s">
        <v>1228</v>
      </c>
      <c r="D1996" s="2">
        <v>38742</v>
      </c>
      <c r="E1996" s="1" t="s">
        <v>4089</v>
      </c>
      <c r="F1996" s="1" t="s">
        <v>13</v>
      </c>
    </row>
    <row r="1997" spans="1:6" ht="30" customHeight="1" x14ac:dyDescent="0.25">
      <c r="A1997" s="1" t="s">
        <v>4090</v>
      </c>
      <c r="B1997" s="1" t="str">
        <f>"9781847878458"</f>
        <v>9781847878458</v>
      </c>
      <c r="C1997" s="1" t="s">
        <v>1228</v>
      </c>
      <c r="D1997" s="2">
        <v>38909</v>
      </c>
      <c r="E1997" s="1" t="s">
        <v>4091</v>
      </c>
      <c r="F1997" s="1" t="s">
        <v>13</v>
      </c>
    </row>
    <row r="1998" spans="1:6" ht="30" customHeight="1" x14ac:dyDescent="0.25">
      <c r="A1998" s="1" t="s">
        <v>4092</v>
      </c>
      <c r="B1998" s="1" t="str">
        <f>"9781847878762"</f>
        <v>9781847878762</v>
      </c>
      <c r="C1998" s="1" t="s">
        <v>1228</v>
      </c>
      <c r="D1998" s="2">
        <v>38855</v>
      </c>
      <c r="E1998" s="1" t="s">
        <v>4093</v>
      </c>
      <c r="F1998" s="1" t="s">
        <v>599</v>
      </c>
    </row>
    <row r="1999" spans="1:6" ht="30" customHeight="1" x14ac:dyDescent="0.25">
      <c r="A1999" s="1" t="s">
        <v>4094</v>
      </c>
      <c r="B1999" s="1" t="str">
        <f>"9781847878724"</f>
        <v>9781847878724</v>
      </c>
      <c r="C1999" s="1" t="s">
        <v>1228</v>
      </c>
      <c r="D1999" s="2">
        <v>39064</v>
      </c>
      <c r="E1999" s="1" t="s">
        <v>4095</v>
      </c>
      <c r="F1999" s="1" t="s">
        <v>2537</v>
      </c>
    </row>
    <row r="2000" spans="1:6" ht="30" customHeight="1" x14ac:dyDescent="0.25">
      <c r="A2000" s="1" t="s">
        <v>4096</v>
      </c>
      <c r="B2000" s="1" t="str">
        <f>"9781847877796"</f>
        <v>9781847877796</v>
      </c>
      <c r="C2000" s="1" t="s">
        <v>1228</v>
      </c>
      <c r="D2000" s="2">
        <v>39532</v>
      </c>
      <c r="E2000" s="1" t="s">
        <v>4097</v>
      </c>
      <c r="F2000" s="1" t="s">
        <v>104</v>
      </c>
    </row>
    <row r="2001" spans="1:6" ht="30" customHeight="1" x14ac:dyDescent="0.25">
      <c r="A2001" s="1" t="s">
        <v>4098</v>
      </c>
      <c r="B2001" s="1" t="str">
        <f>"9781847871183"</f>
        <v>9781847871183</v>
      </c>
      <c r="C2001" s="1" t="s">
        <v>1228</v>
      </c>
      <c r="D2001" s="2">
        <v>37985</v>
      </c>
      <c r="E2001" s="1" t="s">
        <v>4099</v>
      </c>
      <c r="F2001" s="1" t="s">
        <v>95</v>
      </c>
    </row>
    <row r="2002" spans="1:6" ht="30" customHeight="1" x14ac:dyDescent="0.25">
      <c r="A2002" s="1" t="s">
        <v>4100</v>
      </c>
      <c r="B2002" s="1" t="str">
        <f>"9781847877871"</f>
        <v>9781847877871</v>
      </c>
      <c r="C2002" s="1" t="s">
        <v>1228</v>
      </c>
      <c r="D2002" s="2">
        <v>38106</v>
      </c>
      <c r="E2002" s="1" t="s">
        <v>4101</v>
      </c>
      <c r="F2002" s="1" t="s">
        <v>2537</v>
      </c>
    </row>
    <row r="2003" spans="1:6" ht="30" customHeight="1" x14ac:dyDescent="0.25">
      <c r="A2003" s="1" t="s">
        <v>4102</v>
      </c>
      <c r="B2003" s="1" t="str">
        <f>"9781847871299"</f>
        <v>9781847871299</v>
      </c>
      <c r="C2003" s="1" t="s">
        <v>1228</v>
      </c>
      <c r="D2003" s="2">
        <v>39532</v>
      </c>
      <c r="E2003" s="1" t="s">
        <v>4103</v>
      </c>
      <c r="F2003" s="1" t="s">
        <v>95</v>
      </c>
    </row>
    <row r="2004" spans="1:6" ht="30" customHeight="1" x14ac:dyDescent="0.25">
      <c r="A2004" s="1" t="s">
        <v>4104</v>
      </c>
      <c r="B2004" s="1" t="str">
        <f>"9781847878533"</f>
        <v>9781847878533</v>
      </c>
      <c r="C2004" s="1" t="s">
        <v>1228</v>
      </c>
      <c r="D2004" s="2">
        <v>39039</v>
      </c>
      <c r="E2004" s="1" t="s">
        <v>4105</v>
      </c>
      <c r="F2004" s="1" t="s">
        <v>2443</v>
      </c>
    </row>
    <row r="2005" spans="1:6" ht="30" customHeight="1" x14ac:dyDescent="0.25">
      <c r="A2005" s="1" t="s">
        <v>4106</v>
      </c>
      <c r="B2005" s="1" t="str">
        <f>"9781847878403"</f>
        <v>9781847878403</v>
      </c>
      <c r="C2005" s="1" t="s">
        <v>1228</v>
      </c>
      <c r="D2005" s="2">
        <v>38756</v>
      </c>
      <c r="E2005" s="1" t="s">
        <v>4107</v>
      </c>
      <c r="F2005" s="1" t="s">
        <v>13</v>
      </c>
    </row>
    <row r="2006" spans="1:6" ht="30" customHeight="1" x14ac:dyDescent="0.25">
      <c r="A2006" s="1" t="s">
        <v>4108</v>
      </c>
      <c r="B2006" s="1" t="str">
        <f>"9781847871497"</f>
        <v>9781847871497</v>
      </c>
      <c r="C2006" s="1" t="s">
        <v>1228</v>
      </c>
      <c r="D2006" s="2">
        <v>38678</v>
      </c>
      <c r="E2006" s="1" t="s">
        <v>4109</v>
      </c>
      <c r="F2006" s="1" t="s">
        <v>13</v>
      </c>
    </row>
    <row r="2007" spans="1:6" ht="30" customHeight="1" x14ac:dyDescent="0.25">
      <c r="A2007" s="1" t="s">
        <v>4110</v>
      </c>
      <c r="B2007" s="1" t="str">
        <f>"9781847877369"</f>
        <v>9781847877369</v>
      </c>
      <c r="C2007" s="1" t="s">
        <v>1228</v>
      </c>
      <c r="D2007" s="2">
        <v>38363</v>
      </c>
      <c r="E2007" s="1" t="s">
        <v>4111</v>
      </c>
      <c r="F2007" s="1" t="s">
        <v>4112</v>
      </c>
    </row>
    <row r="2008" spans="1:6" ht="30" customHeight="1" x14ac:dyDescent="0.25">
      <c r="A2008" s="1" t="s">
        <v>4113</v>
      </c>
      <c r="B2008" s="1" t="str">
        <f>"9781847878519"</f>
        <v>9781847878519</v>
      </c>
      <c r="C2008" s="1" t="s">
        <v>1228</v>
      </c>
      <c r="D2008" s="2">
        <v>39006</v>
      </c>
      <c r="E2008" s="1" t="s">
        <v>4114</v>
      </c>
      <c r="F2008" s="1" t="s">
        <v>13</v>
      </c>
    </row>
    <row r="2009" spans="1:6" ht="30" customHeight="1" x14ac:dyDescent="0.25">
      <c r="A2009" s="1" t="s">
        <v>4115</v>
      </c>
      <c r="B2009" s="1" t="str">
        <f>"9781847876355"</f>
        <v>9781847876355</v>
      </c>
      <c r="C2009" s="1" t="s">
        <v>1228</v>
      </c>
      <c r="D2009" s="2">
        <v>37238</v>
      </c>
      <c r="E2009" s="1" t="s">
        <v>4116</v>
      </c>
      <c r="F2009" s="1" t="s">
        <v>13</v>
      </c>
    </row>
    <row r="2010" spans="1:6" ht="30" customHeight="1" x14ac:dyDescent="0.25">
      <c r="A2010" s="1" t="s">
        <v>4117</v>
      </c>
      <c r="B2010" s="1" t="str">
        <f>"9780813543833"</f>
        <v>9780813543833</v>
      </c>
      <c r="C2010" s="1" t="s">
        <v>3656</v>
      </c>
      <c r="D2010" s="2">
        <v>39366</v>
      </c>
      <c r="E2010" s="1" t="s">
        <v>4118</v>
      </c>
      <c r="F2010" s="1" t="s">
        <v>158</v>
      </c>
    </row>
    <row r="2011" spans="1:6" ht="30" customHeight="1" x14ac:dyDescent="0.25">
      <c r="A2011" s="1" t="s">
        <v>4119</v>
      </c>
      <c r="B2011" s="1" t="str">
        <f>"9780813541150"</f>
        <v>9780813541150</v>
      </c>
      <c r="C2011" s="1" t="s">
        <v>3656</v>
      </c>
      <c r="D2011" s="2">
        <v>38933</v>
      </c>
      <c r="E2011" s="1" t="s">
        <v>4120</v>
      </c>
      <c r="F2011" s="1" t="s">
        <v>95</v>
      </c>
    </row>
    <row r="2012" spans="1:6" ht="30" customHeight="1" x14ac:dyDescent="0.25">
      <c r="A2012" s="1" t="s">
        <v>4121</v>
      </c>
      <c r="B2012" s="1" t="str">
        <f>"9780813543826"</f>
        <v>9780813543826</v>
      </c>
      <c r="C2012" s="1" t="s">
        <v>3656</v>
      </c>
      <c r="D2012" s="2">
        <v>39356</v>
      </c>
      <c r="E2012" s="1" t="s">
        <v>4122</v>
      </c>
      <c r="F2012" s="1" t="s">
        <v>114</v>
      </c>
    </row>
    <row r="2013" spans="1:6" ht="30" customHeight="1" x14ac:dyDescent="0.25">
      <c r="A2013" s="1" t="s">
        <v>4123</v>
      </c>
      <c r="B2013" s="1" t="str">
        <f>"9781846426766"</f>
        <v>9781846426766</v>
      </c>
      <c r="C2013" s="1" t="s">
        <v>2387</v>
      </c>
      <c r="D2013" s="2">
        <v>39340</v>
      </c>
      <c r="E2013" s="1" t="s">
        <v>4124</v>
      </c>
      <c r="F2013" s="1" t="s">
        <v>13</v>
      </c>
    </row>
    <row r="2014" spans="1:6" ht="30" customHeight="1" x14ac:dyDescent="0.25">
      <c r="A2014" s="1" t="s">
        <v>4125</v>
      </c>
      <c r="B2014" s="1" t="str">
        <f>"9781846426780"</f>
        <v>9781846426780</v>
      </c>
      <c r="C2014" s="1" t="s">
        <v>2387</v>
      </c>
      <c r="D2014" s="2">
        <v>39340</v>
      </c>
      <c r="E2014" s="1" t="s">
        <v>4126</v>
      </c>
      <c r="F2014" s="1" t="s">
        <v>158</v>
      </c>
    </row>
    <row r="2015" spans="1:6" ht="30" customHeight="1" x14ac:dyDescent="0.25">
      <c r="A2015" s="1" t="s">
        <v>4127</v>
      </c>
      <c r="B2015" s="1" t="str">
        <f>"9781846426858"</f>
        <v>9781846426858</v>
      </c>
      <c r="C2015" s="1" t="s">
        <v>2387</v>
      </c>
      <c r="D2015" s="2">
        <v>39340</v>
      </c>
      <c r="E2015" s="1" t="s">
        <v>4128</v>
      </c>
      <c r="F2015" s="1" t="s">
        <v>13</v>
      </c>
    </row>
    <row r="2016" spans="1:6" ht="30" customHeight="1" x14ac:dyDescent="0.25">
      <c r="A2016" s="1" t="s">
        <v>4129</v>
      </c>
      <c r="B2016" s="1" t="str">
        <f>"9781846426797"</f>
        <v>9781846426797</v>
      </c>
      <c r="C2016" s="1" t="s">
        <v>2387</v>
      </c>
      <c r="D2016" s="2">
        <v>39340</v>
      </c>
      <c r="E2016" s="1" t="s">
        <v>4130</v>
      </c>
      <c r="F2016" s="1" t="s">
        <v>176</v>
      </c>
    </row>
    <row r="2017" spans="1:6" ht="30" customHeight="1" x14ac:dyDescent="0.25">
      <c r="A2017" s="1" t="s">
        <v>4131</v>
      </c>
      <c r="B2017" s="1" t="str">
        <f>"9781846426759"</f>
        <v>9781846426759</v>
      </c>
      <c r="C2017" s="1" t="s">
        <v>2387</v>
      </c>
      <c r="D2017" s="2">
        <v>39340</v>
      </c>
      <c r="E2017" s="1" t="s">
        <v>4132</v>
      </c>
      <c r="F2017" s="1" t="s">
        <v>13</v>
      </c>
    </row>
    <row r="2018" spans="1:6" ht="30" customHeight="1" x14ac:dyDescent="0.25">
      <c r="A2018" s="1" t="s">
        <v>4133</v>
      </c>
      <c r="B2018" s="1" t="str">
        <f>"9781846426810"</f>
        <v>9781846426810</v>
      </c>
      <c r="C2018" s="1" t="s">
        <v>2387</v>
      </c>
      <c r="D2018" s="2">
        <v>39340</v>
      </c>
      <c r="E2018" s="1" t="s">
        <v>4134</v>
      </c>
      <c r="F2018" s="1" t="s">
        <v>13</v>
      </c>
    </row>
    <row r="2019" spans="1:6" ht="30" customHeight="1" x14ac:dyDescent="0.25">
      <c r="A2019" s="1" t="s">
        <v>4135</v>
      </c>
      <c r="B2019" s="1" t="str">
        <f>"9780511384707"</f>
        <v>9780511384707</v>
      </c>
      <c r="C2019" s="1" t="s">
        <v>25</v>
      </c>
      <c r="D2019" s="2">
        <v>39513</v>
      </c>
      <c r="E2019" s="1" t="s">
        <v>4136</v>
      </c>
      <c r="F2019" s="1" t="s">
        <v>13</v>
      </c>
    </row>
    <row r="2020" spans="1:6" ht="30" customHeight="1" x14ac:dyDescent="0.25">
      <c r="A2020" s="1" t="s">
        <v>4137</v>
      </c>
      <c r="B2020" s="1" t="str">
        <f>"9780511384714"</f>
        <v>9780511384714</v>
      </c>
      <c r="C2020" s="1" t="s">
        <v>25</v>
      </c>
      <c r="D2020" s="2">
        <v>39527</v>
      </c>
      <c r="E2020" s="1" t="s">
        <v>4138</v>
      </c>
      <c r="F2020" s="1" t="s">
        <v>33</v>
      </c>
    </row>
    <row r="2021" spans="1:6" ht="30" customHeight="1" x14ac:dyDescent="0.25">
      <c r="A2021" s="1" t="s">
        <v>4139</v>
      </c>
      <c r="B2021" s="1" t="str">
        <f>"9780511384790"</f>
        <v>9780511384790</v>
      </c>
      <c r="C2021" s="1" t="s">
        <v>25</v>
      </c>
      <c r="D2021" s="2">
        <v>39527</v>
      </c>
      <c r="E2021" s="1" t="s">
        <v>4140</v>
      </c>
      <c r="F2021" s="1" t="s">
        <v>362</v>
      </c>
    </row>
    <row r="2022" spans="1:6" ht="30" customHeight="1" x14ac:dyDescent="0.25">
      <c r="A2022" s="1" t="s">
        <v>4141</v>
      </c>
      <c r="B2022" s="1" t="str">
        <f>"9780511384875"</f>
        <v>9780511384875</v>
      </c>
      <c r="C2022" s="1" t="s">
        <v>25</v>
      </c>
      <c r="D2022" s="2">
        <v>39475</v>
      </c>
      <c r="E2022" s="1" t="s">
        <v>4142</v>
      </c>
      <c r="F2022" s="1" t="s">
        <v>114</v>
      </c>
    </row>
    <row r="2023" spans="1:6" ht="30" customHeight="1" x14ac:dyDescent="0.25">
      <c r="A2023" s="1" t="s">
        <v>4143</v>
      </c>
      <c r="B2023" s="1" t="str">
        <f>"9780511384189"</f>
        <v>9780511384189</v>
      </c>
      <c r="C2023" s="1" t="s">
        <v>25</v>
      </c>
      <c r="D2023" s="2">
        <v>40682</v>
      </c>
      <c r="E2023" s="1" t="s">
        <v>4144</v>
      </c>
      <c r="F2023" s="1" t="s">
        <v>13</v>
      </c>
    </row>
    <row r="2024" spans="1:6" ht="30" customHeight="1" x14ac:dyDescent="0.25">
      <c r="A2024" s="1" t="s">
        <v>4145</v>
      </c>
      <c r="B2024" s="1" t="str">
        <f>"9780511384912"</f>
        <v>9780511384912</v>
      </c>
      <c r="C2024" s="1" t="s">
        <v>25</v>
      </c>
      <c r="D2024" s="2">
        <v>40052</v>
      </c>
      <c r="E2024" s="1" t="s">
        <v>4146</v>
      </c>
      <c r="F2024" s="1" t="s">
        <v>13</v>
      </c>
    </row>
    <row r="2025" spans="1:6" ht="30" customHeight="1" x14ac:dyDescent="0.25">
      <c r="A2025" s="1" t="s">
        <v>4147</v>
      </c>
      <c r="B2025" s="1" t="str">
        <f>"9780511384219"</f>
        <v>9780511384219</v>
      </c>
      <c r="C2025" s="1" t="s">
        <v>25</v>
      </c>
      <c r="D2025" s="2">
        <v>39508</v>
      </c>
      <c r="E2025" s="1" t="s">
        <v>4148</v>
      </c>
      <c r="F2025" s="1" t="s">
        <v>137</v>
      </c>
    </row>
    <row r="2026" spans="1:6" ht="30" customHeight="1" x14ac:dyDescent="0.25">
      <c r="A2026" s="1" t="s">
        <v>4149</v>
      </c>
      <c r="B2026" s="1" t="str">
        <f>"9780511384240"</f>
        <v>9780511384240</v>
      </c>
      <c r="C2026" s="1" t="s">
        <v>25</v>
      </c>
      <c r="D2026" s="2">
        <v>39508</v>
      </c>
      <c r="E2026" s="1" t="s">
        <v>4150</v>
      </c>
      <c r="F2026" s="1" t="s">
        <v>205</v>
      </c>
    </row>
    <row r="2027" spans="1:6" ht="30" customHeight="1" x14ac:dyDescent="0.25">
      <c r="A2027" s="1" t="s">
        <v>4151</v>
      </c>
      <c r="B2027" s="1" t="str">
        <f>"9780816654352"</f>
        <v>9780816654352</v>
      </c>
      <c r="C2027" s="1" t="s">
        <v>3458</v>
      </c>
      <c r="D2027" s="2">
        <v>39184</v>
      </c>
      <c r="E2027" s="1" t="s">
        <v>4152</v>
      </c>
      <c r="F2027" s="1" t="s">
        <v>4153</v>
      </c>
    </row>
    <row r="2028" spans="1:6" ht="30" customHeight="1" x14ac:dyDescent="0.25">
      <c r="A2028" s="1" t="s">
        <v>4154</v>
      </c>
      <c r="B2028" s="1" t="str">
        <f>"9781410607225"</f>
        <v>9781410607225</v>
      </c>
      <c r="C2028" s="1" t="s">
        <v>93</v>
      </c>
      <c r="D2028" s="2">
        <v>37622</v>
      </c>
      <c r="E2028" s="1" t="s">
        <v>4155</v>
      </c>
      <c r="F2028" s="1" t="s">
        <v>13</v>
      </c>
    </row>
    <row r="2029" spans="1:6" ht="30" customHeight="1" x14ac:dyDescent="0.25">
      <c r="A2029" s="1" t="s">
        <v>4156</v>
      </c>
      <c r="B2029" s="1" t="str">
        <f>"9781875378913"</f>
        <v>9781875378913</v>
      </c>
      <c r="C2029" s="1" t="s">
        <v>3199</v>
      </c>
      <c r="D2029" s="2">
        <v>37986</v>
      </c>
      <c r="E2029" s="1" t="s">
        <v>4157</v>
      </c>
      <c r="F2029" s="1" t="s">
        <v>13</v>
      </c>
    </row>
    <row r="2030" spans="1:6" ht="30" customHeight="1" x14ac:dyDescent="0.25">
      <c r="A2030" s="1" t="s">
        <v>4158</v>
      </c>
      <c r="B2030" s="1" t="str">
        <f>"9780470184578"</f>
        <v>9780470184578</v>
      </c>
      <c r="C2030" s="1" t="s">
        <v>11</v>
      </c>
      <c r="D2030" s="2">
        <v>39450</v>
      </c>
      <c r="E2030" s="1" t="s">
        <v>4159</v>
      </c>
      <c r="F2030" s="1" t="s">
        <v>13</v>
      </c>
    </row>
    <row r="2031" spans="1:6" ht="30" customHeight="1" x14ac:dyDescent="0.25">
      <c r="A2031" s="1" t="s">
        <v>4160</v>
      </c>
      <c r="B2031" s="1" t="str">
        <f>"9780470192689"</f>
        <v>9780470192689</v>
      </c>
      <c r="C2031" s="1" t="s">
        <v>11</v>
      </c>
      <c r="D2031" s="2">
        <v>39475</v>
      </c>
      <c r="E2031" s="1" t="s">
        <v>4161</v>
      </c>
      <c r="F2031" s="1" t="s">
        <v>30</v>
      </c>
    </row>
    <row r="2032" spans="1:6" ht="30" customHeight="1" x14ac:dyDescent="0.25">
      <c r="A2032" s="1" t="s">
        <v>4162</v>
      </c>
      <c r="B2032" s="1" t="str">
        <f>"9780470283165"</f>
        <v>9780470283165</v>
      </c>
      <c r="C2032" s="1" t="s">
        <v>65</v>
      </c>
      <c r="D2032" s="2">
        <v>39626</v>
      </c>
      <c r="E2032" s="1" t="s">
        <v>4163</v>
      </c>
      <c r="F2032" s="1" t="s">
        <v>4164</v>
      </c>
    </row>
    <row r="2033" spans="1:6" ht="30" customHeight="1" x14ac:dyDescent="0.25">
      <c r="A2033" s="1" t="s">
        <v>4165</v>
      </c>
      <c r="B2033" s="1" t="str">
        <f>"9780470330296"</f>
        <v>9780470330296</v>
      </c>
      <c r="C2033" s="1" t="s">
        <v>11</v>
      </c>
      <c r="D2033" s="2">
        <v>39538</v>
      </c>
      <c r="E2033" s="1" t="s">
        <v>4166</v>
      </c>
      <c r="F2033" s="1" t="s">
        <v>95</v>
      </c>
    </row>
    <row r="2034" spans="1:6" ht="30" customHeight="1" x14ac:dyDescent="0.25">
      <c r="A2034" s="1" t="s">
        <v>4167</v>
      </c>
      <c r="B2034" s="1" t="str">
        <f>"9780511392238"</f>
        <v>9780511392238</v>
      </c>
      <c r="C2034" s="1" t="s">
        <v>25</v>
      </c>
      <c r="D2034" s="2">
        <v>39539</v>
      </c>
      <c r="E2034" s="1" t="s">
        <v>4168</v>
      </c>
      <c r="F2034" s="1" t="s">
        <v>13</v>
      </c>
    </row>
    <row r="2035" spans="1:6" ht="30" customHeight="1" x14ac:dyDescent="0.25">
      <c r="A2035" s="1" t="s">
        <v>4169</v>
      </c>
      <c r="B2035" s="1" t="str">
        <f>"9780511392245"</f>
        <v>9780511392245</v>
      </c>
      <c r="C2035" s="1" t="s">
        <v>25</v>
      </c>
      <c r="D2035" s="2">
        <v>39534</v>
      </c>
      <c r="E2035" s="1" t="s">
        <v>4170</v>
      </c>
      <c r="F2035" s="1" t="s">
        <v>13</v>
      </c>
    </row>
    <row r="2036" spans="1:6" ht="30" customHeight="1" x14ac:dyDescent="0.25">
      <c r="A2036" s="1" t="s">
        <v>4171</v>
      </c>
      <c r="B2036" s="1" t="str">
        <f>"9780511392375"</f>
        <v>9780511392375</v>
      </c>
      <c r="C2036" s="1" t="s">
        <v>25</v>
      </c>
      <c r="D2036" s="2">
        <v>39429</v>
      </c>
      <c r="E2036" s="1" t="s">
        <v>4172</v>
      </c>
      <c r="F2036" s="1" t="s">
        <v>304</v>
      </c>
    </row>
    <row r="2037" spans="1:6" ht="30" customHeight="1" x14ac:dyDescent="0.25">
      <c r="A2037" s="1" t="s">
        <v>4173</v>
      </c>
      <c r="B2037" s="1" t="str">
        <f>"9780511391712"</f>
        <v>9780511391712</v>
      </c>
      <c r="C2037" s="1" t="s">
        <v>25</v>
      </c>
      <c r="D2037" s="2">
        <v>39471</v>
      </c>
      <c r="E2037" s="1" t="s">
        <v>4174</v>
      </c>
      <c r="F2037" s="1" t="s">
        <v>13</v>
      </c>
    </row>
    <row r="2038" spans="1:6" ht="30" customHeight="1" x14ac:dyDescent="0.25">
      <c r="A2038" s="1" t="s">
        <v>4175</v>
      </c>
      <c r="B2038" s="1" t="str">
        <f>"9780511391972"</f>
        <v>9780511391972</v>
      </c>
      <c r="C2038" s="1" t="s">
        <v>25</v>
      </c>
      <c r="D2038" s="2">
        <v>39479</v>
      </c>
      <c r="E2038" s="1" t="s">
        <v>4176</v>
      </c>
      <c r="F2038" s="1" t="s">
        <v>158</v>
      </c>
    </row>
    <row r="2039" spans="1:6" ht="30" customHeight="1" x14ac:dyDescent="0.25">
      <c r="A2039" s="1" t="s">
        <v>4177</v>
      </c>
      <c r="B2039" s="1" t="str">
        <f>"9783540731429"</f>
        <v>9783540731429</v>
      </c>
      <c r="C2039" s="1" t="s">
        <v>4178</v>
      </c>
      <c r="D2039" s="2">
        <v>39783</v>
      </c>
      <c r="E2039" s="1" t="s">
        <v>4179</v>
      </c>
      <c r="F2039" s="1" t="s">
        <v>775</v>
      </c>
    </row>
    <row r="2040" spans="1:6" ht="30" customHeight="1" x14ac:dyDescent="0.25">
      <c r="A2040" s="1" t="s">
        <v>4180</v>
      </c>
      <c r="B2040" s="1" t="str">
        <f>"9781846289538"</f>
        <v>9781846289538</v>
      </c>
      <c r="C2040" s="1" t="s">
        <v>4178</v>
      </c>
      <c r="D2040" s="2">
        <v>39373</v>
      </c>
      <c r="E2040" s="1" t="s">
        <v>4181</v>
      </c>
      <c r="F2040" s="1" t="s">
        <v>13</v>
      </c>
    </row>
    <row r="2041" spans="1:6" ht="30" customHeight="1" x14ac:dyDescent="0.25">
      <c r="A2041" s="1" t="s">
        <v>4182</v>
      </c>
      <c r="B2041" s="1" t="str">
        <f>"9780387733418"</f>
        <v>9780387733418</v>
      </c>
      <c r="C2041" s="1" t="s">
        <v>4178</v>
      </c>
      <c r="D2041" s="2">
        <v>39783</v>
      </c>
      <c r="E2041" s="1" t="s">
        <v>4183</v>
      </c>
      <c r="F2041" s="1" t="s">
        <v>2229</v>
      </c>
    </row>
    <row r="2042" spans="1:6" ht="30" customHeight="1" x14ac:dyDescent="0.25">
      <c r="A2042" s="1" t="s">
        <v>4184</v>
      </c>
      <c r="B2042" s="1" t="str">
        <f>"9781402063459"</f>
        <v>9781402063459</v>
      </c>
      <c r="C2042" s="1" t="s">
        <v>4178</v>
      </c>
      <c r="D2042" s="2">
        <v>39424</v>
      </c>
      <c r="E2042" s="1" t="s">
        <v>4185</v>
      </c>
      <c r="F2042" s="1" t="s">
        <v>359</v>
      </c>
    </row>
    <row r="2043" spans="1:6" ht="30" customHeight="1" x14ac:dyDescent="0.25">
      <c r="A2043" s="1" t="s">
        <v>4186</v>
      </c>
      <c r="B2043" s="1" t="str">
        <f>"9780387746050"</f>
        <v>9780387746050</v>
      </c>
      <c r="C2043" s="1" t="s">
        <v>4178</v>
      </c>
      <c r="D2043" s="2">
        <v>39783</v>
      </c>
      <c r="E2043" s="1" t="s">
        <v>4187</v>
      </c>
      <c r="F2043" s="1" t="s">
        <v>13</v>
      </c>
    </row>
    <row r="2044" spans="1:6" ht="30" customHeight="1" x14ac:dyDescent="0.25">
      <c r="A2044" s="1" t="s">
        <v>4188</v>
      </c>
      <c r="B2044" s="1" t="str">
        <f>"9781597453097"</f>
        <v>9781597453097</v>
      </c>
      <c r="C2044" s="1" t="s">
        <v>4189</v>
      </c>
      <c r="D2044" s="2">
        <v>41943</v>
      </c>
      <c r="E2044" s="1" t="s">
        <v>4190</v>
      </c>
      <c r="F2044" s="1" t="s">
        <v>13</v>
      </c>
    </row>
    <row r="2045" spans="1:6" ht="30" customHeight="1" x14ac:dyDescent="0.25">
      <c r="A2045" s="1" t="s">
        <v>4191</v>
      </c>
      <c r="B2045" s="1" t="str">
        <f>"9780387719474"</f>
        <v>9780387719474</v>
      </c>
      <c r="C2045" s="1" t="s">
        <v>4178</v>
      </c>
      <c r="D2045" s="2">
        <v>39379</v>
      </c>
      <c r="E2045" s="1" t="s">
        <v>4192</v>
      </c>
      <c r="F2045" s="1" t="s">
        <v>4193</v>
      </c>
    </row>
    <row r="2046" spans="1:6" ht="30" customHeight="1" x14ac:dyDescent="0.25">
      <c r="A2046" s="1" t="s">
        <v>4194</v>
      </c>
      <c r="B2046" s="1" t="str">
        <f>"9783764382964"</f>
        <v>9783764382964</v>
      </c>
      <c r="C2046" s="1" t="s">
        <v>4195</v>
      </c>
      <c r="D2046" s="2">
        <v>39434</v>
      </c>
      <c r="E2046" s="1" t="s">
        <v>4196</v>
      </c>
      <c r="F2046" s="1" t="s">
        <v>3911</v>
      </c>
    </row>
    <row r="2047" spans="1:6" ht="30" customHeight="1" x14ac:dyDescent="0.25">
      <c r="A2047" s="1" t="s">
        <v>4197</v>
      </c>
      <c r="B2047" s="1" t="str">
        <f>"9780387746821"</f>
        <v>9780387746821</v>
      </c>
      <c r="C2047" s="1" t="s">
        <v>4178</v>
      </c>
      <c r="D2047" s="2">
        <v>39436</v>
      </c>
      <c r="E2047" s="1" t="s">
        <v>4198</v>
      </c>
      <c r="F2047" s="1" t="s">
        <v>1948</v>
      </c>
    </row>
    <row r="2048" spans="1:6" ht="30" customHeight="1" x14ac:dyDescent="0.25">
      <c r="A2048" s="1" t="s">
        <v>4199</v>
      </c>
      <c r="B2048" s="1" t="str">
        <f>"9781580539999"</f>
        <v>9781580539999</v>
      </c>
      <c r="C2048" s="1" t="s">
        <v>4200</v>
      </c>
      <c r="D2048" s="2">
        <v>38929</v>
      </c>
      <c r="E2048" s="1" t="s">
        <v>4201</v>
      </c>
      <c r="F2048" s="1" t="s">
        <v>13</v>
      </c>
    </row>
    <row r="2049" spans="1:6" ht="30" customHeight="1" x14ac:dyDescent="0.25">
      <c r="A2049" s="1" t="s">
        <v>4202</v>
      </c>
      <c r="B2049" s="1" t="str">
        <f>"9781580539678"</f>
        <v>9781580539678</v>
      </c>
      <c r="C2049" s="1" t="s">
        <v>4200</v>
      </c>
      <c r="D2049" s="2">
        <v>39021</v>
      </c>
      <c r="E2049" s="1" t="s">
        <v>4203</v>
      </c>
      <c r="F2049" s="1" t="s">
        <v>13</v>
      </c>
    </row>
    <row r="2050" spans="1:6" ht="30" customHeight="1" x14ac:dyDescent="0.25">
      <c r="A2050" s="1" t="s">
        <v>4204</v>
      </c>
      <c r="B2050" s="1" t="str">
        <f>"9781596930780"</f>
        <v>9781596930780</v>
      </c>
      <c r="C2050" s="1" t="s">
        <v>4200</v>
      </c>
      <c r="D2050" s="2">
        <v>39416</v>
      </c>
      <c r="E2050" s="1" t="s">
        <v>4205</v>
      </c>
      <c r="F2050" s="1" t="s">
        <v>13</v>
      </c>
    </row>
    <row r="2051" spans="1:6" ht="30" customHeight="1" x14ac:dyDescent="0.25">
      <c r="A2051" s="1" t="s">
        <v>4206</v>
      </c>
      <c r="B2051" s="1" t="str">
        <f>"9781580533195"</f>
        <v>9781580533195</v>
      </c>
      <c r="C2051" s="1" t="s">
        <v>4200</v>
      </c>
      <c r="D2051" s="2">
        <v>39172</v>
      </c>
      <c r="E2051" s="1" t="s">
        <v>4207</v>
      </c>
      <c r="F2051" s="1" t="s">
        <v>349</v>
      </c>
    </row>
    <row r="2052" spans="1:6" ht="30" customHeight="1" x14ac:dyDescent="0.25">
      <c r="A2052" s="1" t="s">
        <v>4208</v>
      </c>
      <c r="B2052" s="1" t="str">
        <f>"9781596931121"</f>
        <v>9781596931121</v>
      </c>
      <c r="C2052" s="1" t="s">
        <v>4200</v>
      </c>
      <c r="D2052" s="2">
        <v>39416</v>
      </c>
      <c r="E2052" s="1" t="s">
        <v>4209</v>
      </c>
      <c r="F2052" s="1" t="s">
        <v>13</v>
      </c>
    </row>
    <row r="2053" spans="1:6" ht="30" customHeight="1" x14ac:dyDescent="0.25">
      <c r="A2053" s="1" t="s">
        <v>4210</v>
      </c>
      <c r="B2053" s="1" t="str">
        <f>"9781596932555"</f>
        <v>9781596932555</v>
      </c>
      <c r="C2053" s="1" t="s">
        <v>4200</v>
      </c>
      <c r="D2053" s="2">
        <v>39416</v>
      </c>
      <c r="E2053" s="1" t="s">
        <v>4211</v>
      </c>
      <c r="F2053" s="1" t="s">
        <v>13</v>
      </c>
    </row>
    <row r="2054" spans="1:6" ht="30" customHeight="1" x14ac:dyDescent="0.25">
      <c r="A2054" s="1" t="s">
        <v>4212</v>
      </c>
      <c r="B2054" s="1" t="str">
        <f>"9781875378982"</f>
        <v>9781875378982</v>
      </c>
      <c r="C2054" s="1" t="s">
        <v>3199</v>
      </c>
      <c r="D2054" s="2">
        <v>39417</v>
      </c>
      <c r="E2054" s="1" t="s">
        <v>4213</v>
      </c>
      <c r="F2054" s="1" t="s">
        <v>13</v>
      </c>
    </row>
    <row r="2055" spans="1:6" ht="30" customHeight="1" x14ac:dyDescent="0.25">
      <c r="A2055" s="1" t="s">
        <v>4214</v>
      </c>
      <c r="B2055" s="1" t="str">
        <f>"9781859591949"</f>
        <v>9781859591949</v>
      </c>
      <c r="C2055" s="1" t="s">
        <v>1024</v>
      </c>
      <c r="D2055" s="2">
        <v>39518</v>
      </c>
      <c r="E2055" s="1" t="s">
        <v>4215</v>
      </c>
      <c r="F2055" s="1" t="s">
        <v>13</v>
      </c>
    </row>
    <row r="2056" spans="1:6" ht="30" customHeight="1" x14ac:dyDescent="0.25">
      <c r="A2056" s="1" t="s">
        <v>4216</v>
      </c>
      <c r="B2056" s="1" t="str">
        <f>"9781859591895"</f>
        <v>9781859591895</v>
      </c>
      <c r="C2056" s="1" t="s">
        <v>1024</v>
      </c>
      <c r="D2056" s="2">
        <v>37653</v>
      </c>
      <c r="E2056" s="1" t="s">
        <v>4217</v>
      </c>
      <c r="F2056" s="1" t="s">
        <v>13</v>
      </c>
    </row>
    <row r="2057" spans="1:6" ht="30" customHeight="1" x14ac:dyDescent="0.25">
      <c r="A2057" s="1" t="s">
        <v>4218</v>
      </c>
      <c r="B2057" s="1" t="str">
        <f>"9781859591628"</f>
        <v>9781859591628</v>
      </c>
      <c r="C2057" s="1" t="s">
        <v>1024</v>
      </c>
      <c r="D2057" s="2">
        <v>38991</v>
      </c>
      <c r="E2057" s="1" t="s">
        <v>4219</v>
      </c>
      <c r="F2057" s="1" t="s">
        <v>359</v>
      </c>
    </row>
    <row r="2058" spans="1:6" ht="30" customHeight="1" x14ac:dyDescent="0.25">
      <c r="A2058" s="1" t="s">
        <v>4220</v>
      </c>
      <c r="B2058" s="1" t="str">
        <f>"9781859592007"</f>
        <v>9781859592007</v>
      </c>
      <c r="C2058" s="1" t="s">
        <v>1024</v>
      </c>
      <c r="D2058" s="2">
        <v>38869</v>
      </c>
      <c r="E2058" s="1" t="s">
        <v>4221</v>
      </c>
      <c r="F2058" s="1" t="s">
        <v>13</v>
      </c>
    </row>
    <row r="2059" spans="1:6" ht="30" customHeight="1" x14ac:dyDescent="0.25">
      <c r="A2059" s="1" t="s">
        <v>4222</v>
      </c>
      <c r="B2059" s="1" t="str">
        <f>"9781605570365"</f>
        <v>9781605570365</v>
      </c>
      <c r="C2059" s="1" t="s">
        <v>3546</v>
      </c>
      <c r="D2059" s="2">
        <v>38718</v>
      </c>
      <c r="E2059" s="1" t="s">
        <v>4223</v>
      </c>
      <c r="F2059" s="1" t="s">
        <v>104</v>
      </c>
    </row>
    <row r="2060" spans="1:6" ht="30" customHeight="1" x14ac:dyDescent="0.25">
      <c r="A2060" s="1" t="s">
        <v>4224</v>
      </c>
      <c r="B2060" s="1" t="str">
        <f>"9781605570785"</f>
        <v>9781605570785</v>
      </c>
      <c r="C2060" s="1" t="s">
        <v>3546</v>
      </c>
      <c r="D2060" s="2">
        <v>37987</v>
      </c>
      <c r="E2060" s="1" t="s">
        <v>4225</v>
      </c>
      <c r="F2060" s="1" t="s">
        <v>13</v>
      </c>
    </row>
    <row r="2061" spans="1:6" ht="30" customHeight="1" x14ac:dyDescent="0.25">
      <c r="A2061" s="1" t="s">
        <v>4226</v>
      </c>
      <c r="B2061" s="1" t="str">
        <f>"9781605571386"</f>
        <v>9781605571386</v>
      </c>
      <c r="C2061" s="1" t="s">
        <v>3546</v>
      </c>
      <c r="D2061" s="2">
        <v>37622</v>
      </c>
      <c r="E2061" s="1" t="s">
        <v>4227</v>
      </c>
      <c r="F2061" s="1" t="s">
        <v>13</v>
      </c>
    </row>
    <row r="2062" spans="1:6" ht="30" customHeight="1" x14ac:dyDescent="0.25">
      <c r="A2062" s="1" t="s">
        <v>4228</v>
      </c>
      <c r="B2062" s="1" t="str">
        <f>"9780253117045"</f>
        <v>9780253117045</v>
      </c>
      <c r="C2062" s="1" t="s">
        <v>19</v>
      </c>
      <c r="D2062" s="2">
        <v>39352</v>
      </c>
      <c r="E2062" s="1" t="s">
        <v>4229</v>
      </c>
      <c r="F2062" s="1" t="s">
        <v>13</v>
      </c>
    </row>
    <row r="2063" spans="1:6" ht="30" customHeight="1" x14ac:dyDescent="0.25">
      <c r="A2063" s="1" t="s">
        <v>4230</v>
      </c>
      <c r="B2063" s="1" t="str">
        <f>"9781846427152"</f>
        <v>9781846427152</v>
      </c>
      <c r="C2063" s="1" t="s">
        <v>2387</v>
      </c>
      <c r="D2063" s="2">
        <v>39370</v>
      </c>
      <c r="E2063" s="1" t="s">
        <v>4231</v>
      </c>
      <c r="F2063" s="1" t="s">
        <v>13</v>
      </c>
    </row>
    <row r="2064" spans="1:6" ht="30" customHeight="1" x14ac:dyDescent="0.25">
      <c r="A2064" s="1" t="s">
        <v>4232</v>
      </c>
      <c r="B2064" s="1" t="str">
        <f>"9781846427657"</f>
        <v>9781846427657</v>
      </c>
      <c r="C2064" s="1" t="s">
        <v>2387</v>
      </c>
      <c r="D2064" s="2">
        <v>39493</v>
      </c>
      <c r="E2064" s="1" t="s">
        <v>4233</v>
      </c>
      <c r="F2064" s="1" t="s">
        <v>13</v>
      </c>
    </row>
    <row r="2065" spans="1:6" ht="30" customHeight="1" x14ac:dyDescent="0.25">
      <c r="A2065" s="1" t="s">
        <v>4234</v>
      </c>
      <c r="B2065" s="1" t="str">
        <f>"9781846426773"</f>
        <v>9781846426773</v>
      </c>
      <c r="C2065" s="1" t="s">
        <v>2387</v>
      </c>
      <c r="D2065" s="2">
        <v>39370</v>
      </c>
      <c r="E2065" s="1" t="s">
        <v>4235</v>
      </c>
      <c r="F2065" s="1" t="s">
        <v>356</v>
      </c>
    </row>
    <row r="2066" spans="1:6" ht="30" customHeight="1" x14ac:dyDescent="0.25">
      <c r="A2066" s="1" t="s">
        <v>4236</v>
      </c>
      <c r="B2066" s="1" t="str">
        <f>"9781846427190"</f>
        <v>9781846427190</v>
      </c>
      <c r="C2066" s="1" t="s">
        <v>2387</v>
      </c>
      <c r="D2066" s="2">
        <v>39370</v>
      </c>
      <c r="E2066" s="1" t="s">
        <v>4237</v>
      </c>
      <c r="F2066" s="1" t="s">
        <v>13</v>
      </c>
    </row>
    <row r="2067" spans="1:6" ht="30" customHeight="1" x14ac:dyDescent="0.25">
      <c r="A2067" s="1" t="s">
        <v>4238</v>
      </c>
      <c r="B2067" s="1" t="str">
        <f>"9781846427183"</f>
        <v>9781846427183</v>
      </c>
      <c r="C2067" s="1" t="s">
        <v>2387</v>
      </c>
      <c r="D2067" s="2">
        <v>39370</v>
      </c>
      <c r="E2067" s="1" t="s">
        <v>4239</v>
      </c>
      <c r="F2067" s="1" t="s">
        <v>13</v>
      </c>
    </row>
    <row r="2068" spans="1:6" ht="30" customHeight="1" x14ac:dyDescent="0.25">
      <c r="A2068" s="1" t="s">
        <v>4240</v>
      </c>
      <c r="B2068" s="1" t="str">
        <f>"9781846426728"</f>
        <v>9781846426728</v>
      </c>
      <c r="C2068" s="1" t="s">
        <v>2387</v>
      </c>
      <c r="D2068" s="2">
        <v>39370</v>
      </c>
      <c r="E2068" s="1" t="s">
        <v>2672</v>
      </c>
      <c r="F2068" s="1" t="s">
        <v>13</v>
      </c>
    </row>
    <row r="2069" spans="1:6" ht="30" customHeight="1" x14ac:dyDescent="0.25">
      <c r="A2069" s="1" t="s">
        <v>4241</v>
      </c>
      <c r="B2069" s="1" t="str">
        <f>"9781846426742"</f>
        <v>9781846426742</v>
      </c>
      <c r="C2069" s="1" t="s">
        <v>2387</v>
      </c>
      <c r="D2069" s="2">
        <v>39370</v>
      </c>
      <c r="E2069" s="1" t="s">
        <v>4242</v>
      </c>
      <c r="F2069" s="1" t="s">
        <v>13</v>
      </c>
    </row>
    <row r="2070" spans="1:6" ht="30" customHeight="1" x14ac:dyDescent="0.25">
      <c r="A2070" s="1" t="s">
        <v>4243</v>
      </c>
      <c r="B2070" s="1" t="str">
        <f>"9780080502076"</f>
        <v>9780080502076</v>
      </c>
      <c r="C2070" s="1" t="s">
        <v>900</v>
      </c>
      <c r="D2070" s="2">
        <v>37537</v>
      </c>
      <c r="E2070" s="1" t="s">
        <v>4244</v>
      </c>
      <c r="F2070" s="1" t="s">
        <v>13</v>
      </c>
    </row>
    <row r="2071" spans="1:6" ht="30" customHeight="1" x14ac:dyDescent="0.25">
      <c r="A2071" s="1" t="s">
        <v>4245</v>
      </c>
      <c r="B2071" s="1" t="str">
        <f>"9780080557762"</f>
        <v>9780080557762</v>
      </c>
      <c r="C2071" s="1" t="s">
        <v>900</v>
      </c>
      <c r="D2071" s="2">
        <v>40661</v>
      </c>
      <c r="E2071" s="1" t="s">
        <v>4246</v>
      </c>
      <c r="F2071" s="1" t="s">
        <v>4247</v>
      </c>
    </row>
    <row r="2072" spans="1:6" ht="30" customHeight="1" x14ac:dyDescent="0.25">
      <c r="A2072" s="1" t="s">
        <v>4248</v>
      </c>
      <c r="B2072" s="1" t="str">
        <f>"9780080559322"</f>
        <v>9780080559322</v>
      </c>
      <c r="C2072" s="1" t="s">
        <v>900</v>
      </c>
      <c r="D2072" s="2">
        <v>39604</v>
      </c>
      <c r="E2072" s="1" t="s">
        <v>4249</v>
      </c>
      <c r="F2072" s="1" t="s">
        <v>4250</v>
      </c>
    </row>
    <row r="2073" spans="1:6" ht="30" customHeight="1" x14ac:dyDescent="0.25">
      <c r="A2073" s="1" t="s">
        <v>4251</v>
      </c>
      <c r="B2073" s="1" t="str">
        <f>"9780813539997"</f>
        <v>9780813539997</v>
      </c>
      <c r="C2073" s="1" t="s">
        <v>3656</v>
      </c>
      <c r="D2073" s="2">
        <v>38922</v>
      </c>
      <c r="E2073" s="1" t="s">
        <v>4252</v>
      </c>
      <c r="F2073" s="1" t="s">
        <v>599</v>
      </c>
    </row>
    <row r="2074" spans="1:6" ht="30" customHeight="1" x14ac:dyDescent="0.25">
      <c r="A2074" s="1" t="s">
        <v>4254</v>
      </c>
      <c r="B2074" s="1" t="str">
        <f>"9788122422962"</f>
        <v>9788122422962</v>
      </c>
      <c r="C2074" s="1" t="s">
        <v>4001</v>
      </c>
      <c r="D2074" s="2">
        <v>39192</v>
      </c>
      <c r="E2074" s="1" t="s">
        <v>4255</v>
      </c>
      <c r="F2074" s="1" t="s">
        <v>4256</v>
      </c>
    </row>
    <row r="2075" spans="1:6" ht="30" customHeight="1" x14ac:dyDescent="0.25">
      <c r="A2075" s="1" t="s">
        <v>4257</v>
      </c>
      <c r="B2075" s="1" t="str">
        <f>"9780511399480"</f>
        <v>9780511399480</v>
      </c>
      <c r="C2075" s="1" t="s">
        <v>25</v>
      </c>
      <c r="D2075" s="2">
        <v>39539</v>
      </c>
      <c r="E2075" s="1" t="s">
        <v>4258</v>
      </c>
      <c r="F2075" s="1" t="s">
        <v>13</v>
      </c>
    </row>
    <row r="2076" spans="1:6" ht="30" customHeight="1" x14ac:dyDescent="0.25">
      <c r="A2076" s="1" t="s">
        <v>4259</v>
      </c>
      <c r="B2076" s="1" t="str">
        <f>"9780511399084"</f>
        <v>9780511399084</v>
      </c>
      <c r="C2076" s="1" t="s">
        <v>25</v>
      </c>
      <c r="D2076" s="2">
        <v>39783</v>
      </c>
      <c r="E2076" s="1" t="s">
        <v>4260</v>
      </c>
      <c r="F2076" s="1" t="s">
        <v>13</v>
      </c>
    </row>
    <row r="2077" spans="1:6" ht="30" customHeight="1" x14ac:dyDescent="0.25">
      <c r="A2077" s="1" t="s">
        <v>4261</v>
      </c>
      <c r="B2077" s="1" t="str">
        <f>"9780080550497"</f>
        <v>9780080550497</v>
      </c>
      <c r="C2077" s="1" t="s">
        <v>900</v>
      </c>
      <c r="D2077" s="2">
        <v>40661</v>
      </c>
      <c r="E2077" s="1" t="s">
        <v>4262</v>
      </c>
      <c r="F2077" s="1" t="s">
        <v>13</v>
      </c>
    </row>
    <row r="2078" spans="1:6" ht="30" customHeight="1" x14ac:dyDescent="0.25">
      <c r="A2078" s="1" t="s">
        <v>4263</v>
      </c>
      <c r="B2078" s="1" t="str">
        <f>"9789240682849"</f>
        <v>9789240682849</v>
      </c>
      <c r="C2078" s="1" t="s">
        <v>1981</v>
      </c>
      <c r="D2078" s="2">
        <v>39311</v>
      </c>
      <c r="E2078" s="1" t="s">
        <v>1981</v>
      </c>
      <c r="F2078" s="1" t="s">
        <v>4264</v>
      </c>
    </row>
    <row r="2079" spans="1:6" ht="30" customHeight="1" x14ac:dyDescent="0.25">
      <c r="A2079" s="1" t="s">
        <v>4265</v>
      </c>
      <c r="B2079" s="1" t="str">
        <f>"9789291736133"</f>
        <v>9789291736133</v>
      </c>
      <c r="C2079" s="1" t="s">
        <v>1981</v>
      </c>
      <c r="D2079" s="2">
        <v>39082</v>
      </c>
      <c r="E2079" s="1" t="s">
        <v>2116</v>
      </c>
      <c r="F2079" s="1" t="s">
        <v>95</v>
      </c>
    </row>
    <row r="2080" spans="1:6" ht="30" customHeight="1" x14ac:dyDescent="0.25">
      <c r="A2080" s="1" t="s">
        <v>4266</v>
      </c>
      <c r="B2080" s="1" t="str">
        <f>"9789240682900"</f>
        <v>9789240682900</v>
      </c>
      <c r="C2080" s="1" t="s">
        <v>1981</v>
      </c>
      <c r="D2080" s="2">
        <v>39300</v>
      </c>
      <c r="E2080" s="1" t="s">
        <v>1981</v>
      </c>
      <c r="F2080" s="1" t="s">
        <v>114</v>
      </c>
    </row>
    <row r="2081" spans="1:6" ht="30" customHeight="1" x14ac:dyDescent="0.25">
      <c r="A2081" s="1" t="s">
        <v>4267</v>
      </c>
      <c r="B2081" s="1" t="str">
        <f>"9789240682863"</f>
        <v>9789240682863</v>
      </c>
      <c r="C2081" s="1" t="s">
        <v>1981</v>
      </c>
      <c r="D2081" s="2">
        <v>39157</v>
      </c>
      <c r="E2081" s="1" t="s">
        <v>1981</v>
      </c>
      <c r="F2081" s="1" t="s">
        <v>356</v>
      </c>
    </row>
    <row r="2082" spans="1:6" ht="30" customHeight="1" x14ac:dyDescent="0.25">
      <c r="A2082" s="1" t="s">
        <v>4268</v>
      </c>
      <c r="B2082" s="1" t="str">
        <f>"9789240682924"</f>
        <v>9789240682924</v>
      </c>
      <c r="C2082" s="1" t="s">
        <v>1981</v>
      </c>
      <c r="D2082" s="2">
        <v>39204</v>
      </c>
      <c r="E2082" s="1" t="s">
        <v>1981</v>
      </c>
      <c r="F2082" s="1" t="s">
        <v>95</v>
      </c>
    </row>
    <row r="2083" spans="1:6" ht="30" customHeight="1" x14ac:dyDescent="0.25">
      <c r="A2083" s="1" t="s">
        <v>4269</v>
      </c>
      <c r="B2083" s="1" t="str">
        <f>"9789240682931"</f>
        <v>9789240682931</v>
      </c>
      <c r="C2083" s="1" t="s">
        <v>1981</v>
      </c>
      <c r="D2083" s="2">
        <v>39431</v>
      </c>
      <c r="E2083" s="1" t="s">
        <v>1981</v>
      </c>
      <c r="F2083" s="1" t="s">
        <v>356</v>
      </c>
    </row>
    <row r="2084" spans="1:6" ht="30" customHeight="1" x14ac:dyDescent="0.25">
      <c r="A2084" s="1" t="s">
        <v>4270</v>
      </c>
      <c r="B2084" s="1" t="str">
        <f>"9789240682764"</f>
        <v>9789240682764</v>
      </c>
      <c r="C2084" s="1" t="s">
        <v>1981</v>
      </c>
      <c r="D2084" s="2">
        <v>35431</v>
      </c>
      <c r="E2084" s="1" t="s">
        <v>1981</v>
      </c>
      <c r="F2084" s="1" t="s">
        <v>13</v>
      </c>
    </row>
    <row r="2085" spans="1:6" ht="30" customHeight="1" x14ac:dyDescent="0.25">
      <c r="A2085" s="1" t="s">
        <v>4271</v>
      </c>
      <c r="B2085" s="1" t="str">
        <f>"9789240682788"</f>
        <v>9789240682788</v>
      </c>
      <c r="C2085" s="1" t="s">
        <v>1981</v>
      </c>
      <c r="D2085" s="2">
        <v>34335</v>
      </c>
      <c r="E2085" s="1" t="s">
        <v>1981</v>
      </c>
      <c r="F2085" s="1" t="s">
        <v>13</v>
      </c>
    </row>
    <row r="2086" spans="1:6" ht="30" customHeight="1" x14ac:dyDescent="0.25">
      <c r="A2086" s="1" t="s">
        <v>4272</v>
      </c>
      <c r="B2086" s="1" t="str">
        <f>"9789240682801"</f>
        <v>9789240682801</v>
      </c>
      <c r="C2086" s="1" t="s">
        <v>1981</v>
      </c>
      <c r="D2086" s="2">
        <v>28491</v>
      </c>
      <c r="E2086" s="1" t="s">
        <v>1981</v>
      </c>
      <c r="F2086" s="1" t="s">
        <v>13</v>
      </c>
    </row>
    <row r="2087" spans="1:6" ht="30" customHeight="1" x14ac:dyDescent="0.25">
      <c r="A2087" s="1" t="s">
        <v>4272</v>
      </c>
      <c r="B2087" s="1" t="str">
        <f>"9789240682818"</f>
        <v>9789240682818</v>
      </c>
      <c r="C2087" s="1" t="s">
        <v>1981</v>
      </c>
      <c r="D2087" s="2">
        <v>28491</v>
      </c>
      <c r="E2087" s="1" t="s">
        <v>1981</v>
      </c>
      <c r="F2087" s="1" t="s">
        <v>13</v>
      </c>
    </row>
    <row r="2088" spans="1:6" ht="30" customHeight="1" x14ac:dyDescent="0.25">
      <c r="A2088" s="1" t="s">
        <v>4273</v>
      </c>
      <c r="B2088" s="1" t="str">
        <f>"9789240682825"</f>
        <v>9789240682825</v>
      </c>
      <c r="C2088" s="1" t="s">
        <v>1981</v>
      </c>
      <c r="D2088" s="2">
        <v>33970</v>
      </c>
      <c r="E2088" s="1" t="s">
        <v>1981</v>
      </c>
      <c r="F2088" s="1" t="s">
        <v>13</v>
      </c>
    </row>
    <row r="2089" spans="1:6" ht="30" customHeight="1" x14ac:dyDescent="0.25">
      <c r="A2089" s="1" t="s">
        <v>4274</v>
      </c>
      <c r="B2089" s="1" t="str">
        <f>"9789240682832"</f>
        <v>9789240682832</v>
      </c>
      <c r="C2089" s="1" t="s">
        <v>1981</v>
      </c>
      <c r="D2089" s="2">
        <v>33604</v>
      </c>
      <c r="E2089" s="1" t="s">
        <v>1981</v>
      </c>
      <c r="F2089" s="1" t="s">
        <v>13</v>
      </c>
    </row>
    <row r="2090" spans="1:6" ht="30" customHeight="1" x14ac:dyDescent="0.25">
      <c r="A2090" s="1" t="s">
        <v>4275</v>
      </c>
      <c r="B2090" s="1" t="str">
        <f>"9789240683020"</f>
        <v>9789240683020</v>
      </c>
      <c r="C2090" s="1" t="s">
        <v>1981</v>
      </c>
      <c r="D2090" s="2">
        <v>38353</v>
      </c>
      <c r="E2090" s="1" t="s">
        <v>1981</v>
      </c>
      <c r="F2090" s="1" t="s">
        <v>30</v>
      </c>
    </row>
    <row r="2091" spans="1:6" ht="30" customHeight="1" x14ac:dyDescent="0.25">
      <c r="A2091" s="1" t="s">
        <v>4276</v>
      </c>
      <c r="B2091" s="1" t="str">
        <f>"9780080528465"</f>
        <v>9780080528465</v>
      </c>
      <c r="C2091" s="1" t="s">
        <v>900</v>
      </c>
      <c r="D2091" s="2">
        <v>38189</v>
      </c>
      <c r="E2091" s="1" t="s">
        <v>4277</v>
      </c>
      <c r="F2091" s="1" t="s">
        <v>13</v>
      </c>
    </row>
    <row r="2092" spans="1:6" ht="30" customHeight="1" x14ac:dyDescent="0.25">
      <c r="A2092" s="1" t="s">
        <v>4278</v>
      </c>
      <c r="B2092" s="1" t="str">
        <f>"9789240682993"</f>
        <v>9789240682993</v>
      </c>
      <c r="C2092" s="1" t="s">
        <v>1981</v>
      </c>
      <c r="D2092" s="2">
        <v>39448</v>
      </c>
      <c r="E2092" s="1" t="s">
        <v>2065</v>
      </c>
      <c r="F2092" s="1" t="s">
        <v>33</v>
      </c>
    </row>
    <row r="2093" spans="1:6" ht="30" customHeight="1" x14ac:dyDescent="0.25">
      <c r="A2093" s="1" t="s">
        <v>4279</v>
      </c>
      <c r="B2093" s="1" t="str">
        <f>"9780335235506"</f>
        <v>9780335235506</v>
      </c>
      <c r="C2093" s="1" t="s">
        <v>2247</v>
      </c>
      <c r="D2093" s="2">
        <v>39539</v>
      </c>
      <c r="E2093" s="1" t="s">
        <v>4280</v>
      </c>
      <c r="F2093" s="1" t="s">
        <v>268</v>
      </c>
    </row>
    <row r="2094" spans="1:6" ht="30" customHeight="1" x14ac:dyDescent="0.25">
      <c r="A2094" s="1" t="s">
        <v>4281</v>
      </c>
      <c r="B2094" s="1" t="str">
        <f>"9780816664528"</f>
        <v>9780816664528</v>
      </c>
      <c r="C2094" s="1" t="s">
        <v>3458</v>
      </c>
      <c r="D2094" s="2">
        <v>20455</v>
      </c>
      <c r="E2094" s="1" t="s">
        <v>4282</v>
      </c>
      <c r="F2094" s="1" t="s">
        <v>13</v>
      </c>
    </row>
    <row r="2095" spans="1:6" ht="30" customHeight="1" x14ac:dyDescent="0.25">
      <c r="A2095" s="1" t="s">
        <v>4283</v>
      </c>
      <c r="B2095" s="1" t="str">
        <f>"9780816662548"</f>
        <v>9780816662548</v>
      </c>
      <c r="C2095" s="1" t="s">
        <v>3458</v>
      </c>
      <c r="D2095" s="2">
        <v>20821</v>
      </c>
      <c r="E2095" s="1" t="s">
        <v>4284</v>
      </c>
      <c r="F2095" s="1" t="s">
        <v>13</v>
      </c>
    </row>
    <row r="2096" spans="1:6" ht="30" customHeight="1" x14ac:dyDescent="0.25">
      <c r="A2096" s="1" t="s">
        <v>4285</v>
      </c>
      <c r="B2096" s="1" t="str">
        <f>"9780816661176"</f>
        <v>9780816661176</v>
      </c>
      <c r="C2096" s="1" t="s">
        <v>3458</v>
      </c>
      <c r="D2096" s="2">
        <v>21186</v>
      </c>
      <c r="E2096" s="1" t="s">
        <v>4286</v>
      </c>
      <c r="F2096" s="1" t="s">
        <v>13</v>
      </c>
    </row>
    <row r="2097" spans="1:6" ht="30" customHeight="1" x14ac:dyDescent="0.25">
      <c r="A2097" s="1" t="s">
        <v>4287</v>
      </c>
      <c r="B2097" s="1" t="str">
        <f>"9780816662036"</f>
        <v>9780816662036</v>
      </c>
      <c r="C2097" s="1" t="s">
        <v>3458</v>
      </c>
      <c r="D2097" s="2">
        <v>21186</v>
      </c>
      <c r="E2097" s="1" t="s">
        <v>4288</v>
      </c>
      <c r="F2097" s="1" t="s">
        <v>359</v>
      </c>
    </row>
    <row r="2098" spans="1:6" ht="30" customHeight="1" x14ac:dyDescent="0.25">
      <c r="A2098" s="1" t="s">
        <v>4289</v>
      </c>
      <c r="B2098" s="1" t="str">
        <f>"9780816663187"</f>
        <v>9780816663187</v>
      </c>
      <c r="C2098" s="1" t="s">
        <v>3458</v>
      </c>
      <c r="D2098" s="2">
        <v>21551</v>
      </c>
      <c r="E2098" s="1" t="s">
        <v>4290</v>
      </c>
      <c r="F2098" s="1" t="s">
        <v>13</v>
      </c>
    </row>
    <row r="2099" spans="1:6" ht="30" customHeight="1" x14ac:dyDescent="0.25">
      <c r="A2099" s="1" t="s">
        <v>4291</v>
      </c>
      <c r="B2099" s="1" t="str">
        <f>"9780816662777"</f>
        <v>9780816662777</v>
      </c>
      <c r="C2099" s="1" t="s">
        <v>3458</v>
      </c>
      <c r="D2099" s="2">
        <v>21916</v>
      </c>
      <c r="E2099" s="1" t="s">
        <v>4292</v>
      </c>
      <c r="F2099" s="1" t="s">
        <v>30</v>
      </c>
    </row>
    <row r="2100" spans="1:6" ht="30" customHeight="1" x14ac:dyDescent="0.25">
      <c r="A2100" s="1" t="s">
        <v>4293</v>
      </c>
      <c r="B2100" s="1" t="str">
        <f>"9780816662784"</f>
        <v>9780816662784</v>
      </c>
      <c r="C2100" s="1" t="s">
        <v>3458</v>
      </c>
      <c r="D2100" s="2">
        <v>22282</v>
      </c>
      <c r="E2100" s="1" t="s">
        <v>4292</v>
      </c>
      <c r="F2100" s="1" t="s">
        <v>30</v>
      </c>
    </row>
    <row r="2101" spans="1:6" ht="30" customHeight="1" x14ac:dyDescent="0.25">
      <c r="A2101" s="1" t="s">
        <v>4294</v>
      </c>
      <c r="B2101" s="1" t="str">
        <f>"9780816662166"</f>
        <v>9780816662166</v>
      </c>
      <c r="C2101" s="1" t="s">
        <v>3458</v>
      </c>
      <c r="D2101" s="2">
        <v>23743</v>
      </c>
      <c r="E2101" s="1" t="s">
        <v>4295</v>
      </c>
      <c r="F2101" s="1" t="s">
        <v>751</v>
      </c>
    </row>
    <row r="2102" spans="1:6" ht="30" customHeight="1" x14ac:dyDescent="0.25">
      <c r="A2102" s="1" t="s">
        <v>4296</v>
      </c>
      <c r="B2102" s="1" t="str">
        <f>"9780816661619"</f>
        <v>9780816661619</v>
      </c>
      <c r="C2102" s="1" t="s">
        <v>3458</v>
      </c>
      <c r="D2102" s="2">
        <v>25934</v>
      </c>
      <c r="E2102" s="1" t="s">
        <v>4297</v>
      </c>
      <c r="F2102" s="1" t="s">
        <v>304</v>
      </c>
    </row>
    <row r="2103" spans="1:6" ht="30" customHeight="1" x14ac:dyDescent="0.25">
      <c r="A2103" s="1" t="s">
        <v>4298</v>
      </c>
      <c r="B2103" s="1" t="str">
        <f>"9780816661558"</f>
        <v>9780816661558</v>
      </c>
      <c r="C2103" s="1" t="s">
        <v>3458</v>
      </c>
      <c r="D2103" s="2">
        <v>26299</v>
      </c>
      <c r="E2103" s="1" t="s">
        <v>4299</v>
      </c>
      <c r="F2103" s="1" t="s">
        <v>13</v>
      </c>
    </row>
    <row r="2104" spans="1:6" ht="30" customHeight="1" x14ac:dyDescent="0.25">
      <c r="A2104" s="1" t="s">
        <v>4300</v>
      </c>
      <c r="B2104" s="1" t="str">
        <f>"9780816664429"</f>
        <v>9780816664429</v>
      </c>
      <c r="C2104" s="1" t="s">
        <v>3458</v>
      </c>
      <c r="D2104" s="2">
        <v>27030</v>
      </c>
      <c r="E2104" s="1" t="s">
        <v>4301</v>
      </c>
      <c r="F2104" s="1" t="s">
        <v>148</v>
      </c>
    </row>
    <row r="2105" spans="1:6" ht="30" customHeight="1" x14ac:dyDescent="0.25">
      <c r="A2105" s="1" t="s">
        <v>4302</v>
      </c>
      <c r="B2105" s="1" t="str">
        <f>"9780816661114"</f>
        <v>9780816661114</v>
      </c>
      <c r="C2105" s="1" t="s">
        <v>3458</v>
      </c>
      <c r="D2105" s="2">
        <v>28856</v>
      </c>
      <c r="E2105" s="1" t="s">
        <v>4303</v>
      </c>
      <c r="F2105" s="1" t="s">
        <v>13</v>
      </c>
    </row>
    <row r="2106" spans="1:6" ht="30" customHeight="1" x14ac:dyDescent="0.25">
      <c r="A2106" s="1" t="s">
        <v>4304</v>
      </c>
      <c r="B2106" s="1" t="str">
        <f>"9780816664511"</f>
        <v>9780816664511</v>
      </c>
      <c r="C2106" s="1" t="s">
        <v>3458</v>
      </c>
      <c r="D2106" s="2">
        <v>28856</v>
      </c>
      <c r="E2106" s="1" t="s">
        <v>4282</v>
      </c>
      <c r="F2106" s="1" t="s">
        <v>13</v>
      </c>
    </row>
    <row r="2107" spans="1:6" ht="30" customHeight="1" x14ac:dyDescent="0.25">
      <c r="A2107" s="1" t="s">
        <v>4305</v>
      </c>
      <c r="B2107" s="1" t="str">
        <f>"9780816661978"</f>
        <v>9780816661978</v>
      </c>
      <c r="C2107" s="1" t="s">
        <v>3458</v>
      </c>
      <c r="D2107" s="2">
        <v>29952</v>
      </c>
      <c r="E2107" s="1" t="s">
        <v>4306</v>
      </c>
      <c r="F2107" s="1" t="s">
        <v>13</v>
      </c>
    </row>
    <row r="2108" spans="1:6" ht="30" customHeight="1" x14ac:dyDescent="0.25">
      <c r="A2108" s="1" t="s">
        <v>4307</v>
      </c>
      <c r="B2108" s="1" t="str">
        <f>"9780816663361"</f>
        <v>9780816663361</v>
      </c>
      <c r="C2108" s="1" t="s">
        <v>3458</v>
      </c>
      <c r="D2108" s="2">
        <v>30317</v>
      </c>
      <c r="E2108" s="1" t="s">
        <v>4308</v>
      </c>
      <c r="F2108" s="1" t="s">
        <v>4309</v>
      </c>
    </row>
    <row r="2109" spans="1:6" ht="30" customHeight="1" x14ac:dyDescent="0.25">
      <c r="A2109" s="1" t="s">
        <v>4310</v>
      </c>
      <c r="B2109" s="1" t="str">
        <f>"9780520934689"</f>
        <v>9780520934689</v>
      </c>
      <c r="C2109" s="1" t="s">
        <v>818</v>
      </c>
      <c r="D2109" s="2">
        <v>39547</v>
      </c>
      <c r="E2109" s="1" t="s">
        <v>4311</v>
      </c>
      <c r="F2109" s="1" t="s">
        <v>95</v>
      </c>
    </row>
    <row r="2110" spans="1:6" ht="30" customHeight="1" x14ac:dyDescent="0.25">
      <c r="A2110" s="1" t="s">
        <v>4312</v>
      </c>
      <c r="B2110" s="1" t="str">
        <f>"9780520934139"</f>
        <v>9780520934139</v>
      </c>
      <c r="C2110" s="1" t="s">
        <v>818</v>
      </c>
      <c r="D2110" s="2">
        <v>39573</v>
      </c>
      <c r="E2110" s="1" t="s">
        <v>4313</v>
      </c>
      <c r="F2110" s="1" t="s">
        <v>4314</v>
      </c>
    </row>
    <row r="2111" spans="1:6" ht="30" customHeight="1" x14ac:dyDescent="0.25">
      <c r="A2111" s="1" t="s">
        <v>4315</v>
      </c>
      <c r="B2111" s="1" t="str">
        <f>"9780520941182"</f>
        <v>9780520941182</v>
      </c>
      <c r="C2111" s="1" t="s">
        <v>818</v>
      </c>
      <c r="D2111" s="2">
        <v>39525</v>
      </c>
      <c r="E2111" s="1" t="s">
        <v>4316</v>
      </c>
      <c r="F2111" s="1" t="s">
        <v>13</v>
      </c>
    </row>
    <row r="2112" spans="1:6" ht="30" customHeight="1" x14ac:dyDescent="0.25">
      <c r="A2112" s="1" t="s">
        <v>4317</v>
      </c>
      <c r="B2112" s="1" t="str">
        <f>"9780520934818"</f>
        <v>9780520934818</v>
      </c>
      <c r="C2112" s="1" t="s">
        <v>818</v>
      </c>
      <c r="D2112" s="2">
        <v>39873</v>
      </c>
      <c r="E2112" s="1" t="s">
        <v>4318</v>
      </c>
      <c r="F2112" s="1" t="s">
        <v>13</v>
      </c>
    </row>
    <row r="2113" spans="1:6" ht="30" customHeight="1" x14ac:dyDescent="0.25">
      <c r="A2113" s="1" t="s">
        <v>4319</v>
      </c>
      <c r="B2113" s="1" t="str">
        <f>"9780520933934"</f>
        <v>9780520933934</v>
      </c>
      <c r="C2113" s="1" t="s">
        <v>818</v>
      </c>
      <c r="D2113" s="2">
        <v>40179</v>
      </c>
      <c r="E2113" s="1" t="s">
        <v>4320</v>
      </c>
      <c r="F2113" s="1" t="s">
        <v>359</v>
      </c>
    </row>
    <row r="2114" spans="1:6" ht="30" customHeight="1" x14ac:dyDescent="0.25">
      <c r="A2114" s="1" t="s">
        <v>4321</v>
      </c>
      <c r="B2114" s="1" t="str">
        <f>"9780520941014"</f>
        <v>9780520941014</v>
      </c>
      <c r="C2114" s="1" t="s">
        <v>818</v>
      </c>
      <c r="D2114" s="2">
        <v>39511</v>
      </c>
      <c r="E2114" s="1" t="s">
        <v>4322</v>
      </c>
      <c r="F2114" s="1" t="s">
        <v>87</v>
      </c>
    </row>
    <row r="2115" spans="1:6" ht="30" customHeight="1" x14ac:dyDescent="0.25">
      <c r="A2115" s="1" t="s">
        <v>4323</v>
      </c>
      <c r="B2115" s="1" t="str">
        <f>"9788122423082"</f>
        <v>9788122423082</v>
      </c>
      <c r="C2115" s="1" t="s">
        <v>4001</v>
      </c>
      <c r="D2115" s="2">
        <v>38827</v>
      </c>
      <c r="E2115" s="1" t="s">
        <v>4324</v>
      </c>
      <c r="F2115" s="1" t="s">
        <v>4325</v>
      </c>
    </row>
    <row r="2116" spans="1:6" ht="30" customHeight="1" x14ac:dyDescent="0.25">
      <c r="A2116" s="1" t="s">
        <v>4326</v>
      </c>
      <c r="B2116" s="1" t="str">
        <f>"9788122423105"</f>
        <v>9788122423105</v>
      </c>
      <c r="C2116" s="1" t="s">
        <v>4001</v>
      </c>
      <c r="D2116" s="2">
        <v>38467</v>
      </c>
      <c r="E2116" s="1" t="s">
        <v>4327</v>
      </c>
      <c r="F2116" s="1" t="s">
        <v>13</v>
      </c>
    </row>
    <row r="2117" spans="1:6" ht="30" customHeight="1" x14ac:dyDescent="0.25">
      <c r="A2117" s="1" t="s">
        <v>3699</v>
      </c>
      <c r="B2117" s="1" t="str">
        <f>"9788122423006"</f>
        <v>9788122423006</v>
      </c>
      <c r="C2117" s="1" t="s">
        <v>4001</v>
      </c>
      <c r="D2117" s="2">
        <v>38829</v>
      </c>
      <c r="E2117" s="1" t="s">
        <v>4328</v>
      </c>
      <c r="F2117" s="1" t="s">
        <v>4329</v>
      </c>
    </row>
    <row r="2118" spans="1:6" ht="30" customHeight="1" x14ac:dyDescent="0.25">
      <c r="A2118" s="1" t="s">
        <v>4330</v>
      </c>
      <c r="B2118" s="1" t="str">
        <f>"9781607503040"</f>
        <v>9781607503040</v>
      </c>
      <c r="C2118" s="1" t="s">
        <v>1390</v>
      </c>
      <c r="D2118" s="2">
        <v>39513</v>
      </c>
      <c r="E2118" s="1" t="s">
        <v>4331</v>
      </c>
      <c r="F2118" s="1" t="s">
        <v>13</v>
      </c>
    </row>
    <row r="2119" spans="1:6" ht="30" customHeight="1" x14ac:dyDescent="0.25">
      <c r="A2119" s="1" t="s">
        <v>4332</v>
      </c>
      <c r="B2119" s="1" t="str">
        <f>"9781607503101"</f>
        <v>9781607503101</v>
      </c>
      <c r="C2119" s="1" t="s">
        <v>1390</v>
      </c>
      <c r="D2119" s="2">
        <v>39510</v>
      </c>
      <c r="E2119" s="1" t="s">
        <v>4333</v>
      </c>
      <c r="F2119" s="1" t="s">
        <v>13</v>
      </c>
    </row>
    <row r="2120" spans="1:6" ht="30" customHeight="1" x14ac:dyDescent="0.25">
      <c r="A2120" s="1" t="s">
        <v>4334</v>
      </c>
      <c r="B2120" s="1" t="str">
        <f>"9781607503149"</f>
        <v>9781607503149</v>
      </c>
      <c r="C2120" s="1" t="s">
        <v>1390</v>
      </c>
      <c r="D2120" s="2">
        <v>39527</v>
      </c>
      <c r="E2120" s="1" t="s">
        <v>4335</v>
      </c>
      <c r="F2120" s="1" t="s">
        <v>13</v>
      </c>
    </row>
    <row r="2121" spans="1:6" ht="30" customHeight="1" x14ac:dyDescent="0.25">
      <c r="A2121" s="1" t="s">
        <v>4336</v>
      </c>
      <c r="B2121" s="1" t="str">
        <f>"9780511407901"</f>
        <v>9780511407901</v>
      </c>
      <c r="C2121" s="1" t="s">
        <v>25</v>
      </c>
      <c r="D2121" s="2">
        <v>39636</v>
      </c>
      <c r="E2121" s="1" t="s">
        <v>4337</v>
      </c>
      <c r="F2121" s="1" t="s">
        <v>13</v>
      </c>
    </row>
    <row r="2122" spans="1:6" ht="30" customHeight="1" x14ac:dyDescent="0.25">
      <c r="A2122" s="1" t="s">
        <v>4338</v>
      </c>
      <c r="B2122" s="1" t="str">
        <f>"9781934559970"</f>
        <v>9781934559970</v>
      </c>
      <c r="C2122" s="1" t="s">
        <v>2342</v>
      </c>
      <c r="D2122" s="2">
        <v>39522</v>
      </c>
      <c r="E2122" s="1" t="s">
        <v>4339</v>
      </c>
      <c r="F2122" s="1" t="s">
        <v>13</v>
      </c>
    </row>
    <row r="2123" spans="1:6" ht="30" customHeight="1" x14ac:dyDescent="0.25">
      <c r="A2123" s="1" t="s">
        <v>4340</v>
      </c>
      <c r="B2123" s="1" t="str">
        <f>"9781934559765"</f>
        <v>9781934559765</v>
      </c>
      <c r="C2123" s="1" t="s">
        <v>2342</v>
      </c>
      <c r="D2123" s="2">
        <v>39142</v>
      </c>
      <c r="E2123" s="1" t="s">
        <v>4341</v>
      </c>
      <c r="F2123" s="1" t="s">
        <v>13</v>
      </c>
    </row>
    <row r="2124" spans="1:6" ht="30" customHeight="1" x14ac:dyDescent="0.25">
      <c r="A2124" s="1" t="s">
        <v>4342</v>
      </c>
      <c r="B2124" s="1" t="str">
        <f>"9781846637490"</f>
        <v>9781846637490</v>
      </c>
      <c r="C2124" s="1" t="s">
        <v>971</v>
      </c>
      <c r="D2124" s="2">
        <v>39451</v>
      </c>
      <c r="E2124" s="1" t="s">
        <v>4343</v>
      </c>
      <c r="F2124" s="1" t="s">
        <v>4344</v>
      </c>
    </row>
    <row r="2125" spans="1:6" ht="30" customHeight="1" x14ac:dyDescent="0.25">
      <c r="A2125" s="1" t="s">
        <v>4345</v>
      </c>
      <c r="B2125" s="1" t="str">
        <f>"9781846637476"</f>
        <v>9781846637476</v>
      </c>
      <c r="C2125" s="1" t="s">
        <v>971</v>
      </c>
      <c r="D2125" s="2">
        <v>39493</v>
      </c>
      <c r="E2125" s="1" t="s">
        <v>4346</v>
      </c>
      <c r="F2125" s="1" t="s">
        <v>30</v>
      </c>
    </row>
    <row r="2126" spans="1:6" ht="30" customHeight="1" x14ac:dyDescent="0.25">
      <c r="A2126" s="1" t="s">
        <v>4347</v>
      </c>
      <c r="B2126" s="1" t="str">
        <f>"9781846638374"</f>
        <v>9781846638374</v>
      </c>
      <c r="C2126" s="1" t="s">
        <v>971</v>
      </c>
      <c r="D2126" s="2">
        <v>39535</v>
      </c>
      <c r="E2126" s="1" t="s">
        <v>4348</v>
      </c>
      <c r="F2126" s="1" t="s">
        <v>2383</v>
      </c>
    </row>
    <row r="2127" spans="1:6" ht="30" customHeight="1" x14ac:dyDescent="0.25">
      <c r="A2127" s="1" t="s">
        <v>4349</v>
      </c>
      <c r="B2127" s="1" t="str">
        <f>"9781846638114"</f>
        <v>9781846638114</v>
      </c>
      <c r="C2127" s="1" t="s">
        <v>971</v>
      </c>
      <c r="D2127" s="2">
        <v>39514</v>
      </c>
      <c r="E2127" s="1" t="s">
        <v>4350</v>
      </c>
      <c r="F2127" s="1" t="s">
        <v>4351</v>
      </c>
    </row>
    <row r="2128" spans="1:6" ht="30" customHeight="1" x14ac:dyDescent="0.25">
      <c r="A2128" s="1" t="s">
        <v>4352</v>
      </c>
      <c r="B2128" s="1" t="str">
        <f>"9781846637858"</f>
        <v>9781846637858</v>
      </c>
      <c r="C2128" s="1" t="s">
        <v>971</v>
      </c>
      <c r="D2128" s="2">
        <v>39479</v>
      </c>
      <c r="E2128" s="1" t="s">
        <v>4353</v>
      </c>
      <c r="F2128" s="1" t="s">
        <v>95</v>
      </c>
    </row>
    <row r="2129" spans="1:6" ht="30" customHeight="1" x14ac:dyDescent="0.25">
      <c r="A2129" s="1" t="s">
        <v>4354</v>
      </c>
      <c r="B2129" s="1" t="str">
        <f>"9781845933845"</f>
        <v>9781845933845</v>
      </c>
      <c r="C2129" s="1" t="s">
        <v>2321</v>
      </c>
      <c r="D2129" s="2">
        <v>39448</v>
      </c>
      <c r="E2129" s="1" t="s">
        <v>4355</v>
      </c>
      <c r="F2129" s="1" t="s">
        <v>158</v>
      </c>
    </row>
    <row r="2130" spans="1:6" ht="30" customHeight="1" x14ac:dyDescent="0.25">
      <c r="A2130" s="1" t="s">
        <v>4356</v>
      </c>
      <c r="B2130" s="1" t="str">
        <f>"9780813544229"</f>
        <v>9780813544229</v>
      </c>
      <c r="C2130" s="1" t="s">
        <v>3656</v>
      </c>
      <c r="D2130" s="2">
        <v>39489</v>
      </c>
      <c r="E2130" s="1" t="s">
        <v>4357</v>
      </c>
      <c r="F2130" s="1" t="s">
        <v>95</v>
      </c>
    </row>
    <row r="2131" spans="1:6" ht="30" customHeight="1" x14ac:dyDescent="0.25">
      <c r="A2131" s="1" t="s">
        <v>4358</v>
      </c>
      <c r="B2131" s="1" t="str">
        <f>"9781921513084"</f>
        <v>9781921513084</v>
      </c>
      <c r="C2131" s="1" t="s">
        <v>3199</v>
      </c>
      <c r="D2131" s="2">
        <v>39083</v>
      </c>
      <c r="E2131" s="1" t="s">
        <v>4359</v>
      </c>
      <c r="F2131" s="1" t="s">
        <v>158</v>
      </c>
    </row>
    <row r="2132" spans="1:6" ht="30" customHeight="1" x14ac:dyDescent="0.25">
      <c r="A2132" s="1" t="s">
        <v>4360</v>
      </c>
      <c r="B2132" s="1" t="str">
        <f>"9781420047950"</f>
        <v>9781420047950</v>
      </c>
      <c r="C2132" s="1" t="s">
        <v>172</v>
      </c>
      <c r="D2132" s="2">
        <v>39508</v>
      </c>
      <c r="E2132" s="1" t="s">
        <v>4361</v>
      </c>
      <c r="F2132" s="1" t="s">
        <v>13</v>
      </c>
    </row>
    <row r="2133" spans="1:6" ht="30" customHeight="1" x14ac:dyDescent="0.25">
      <c r="A2133" s="1" t="s">
        <v>4362</v>
      </c>
      <c r="B2133" s="1" t="str">
        <f>"9789240682740"</f>
        <v>9789240682740</v>
      </c>
      <c r="C2133" s="1" t="s">
        <v>1981</v>
      </c>
      <c r="D2133" s="2">
        <v>39448</v>
      </c>
      <c r="E2133" s="1" t="s">
        <v>3256</v>
      </c>
      <c r="F2133" s="1" t="s">
        <v>158</v>
      </c>
    </row>
    <row r="2134" spans="1:6" ht="30" customHeight="1" x14ac:dyDescent="0.25">
      <c r="A2134" s="1" t="s">
        <v>4363</v>
      </c>
      <c r="B2134" s="1" t="str">
        <f>"9789240683037"</f>
        <v>9789240683037</v>
      </c>
      <c r="C2134" s="1" t="s">
        <v>1981</v>
      </c>
      <c r="D2134" s="2">
        <v>39448</v>
      </c>
      <c r="E2134" s="1" t="s">
        <v>3256</v>
      </c>
      <c r="F2134" s="1" t="s">
        <v>291</v>
      </c>
    </row>
    <row r="2135" spans="1:6" ht="30" customHeight="1" x14ac:dyDescent="0.25">
      <c r="A2135" s="1" t="s">
        <v>4364</v>
      </c>
      <c r="B2135" s="1" t="str">
        <f>"9789240683044"</f>
        <v>9789240683044</v>
      </c>
      <c r="C2135" s="1" t="s">
        <v>1981</v>
      </c>
      <c r="D2135" s="2">
        <v>39358</v>
      </c>
      <c r="E2135" s="1" t="s">
        <v>3256</v>
      </c>
      <c r="F2135" s="1" t="s">
        <v>356</v>
      </c>
    </row>
    <row r="2136" spans="1:6" ht="30" customHeight="1" x14ac:dyDescent="0.25">
      <c r="A2136" s="1" t="s">
        <v>4365</v>
      </c>
      <c r="B2136" s="1" t="str">
        <f>"9789240687486"</f>
        <v>9789240687486</v>
      </c>
      <c r="C2136" s="1" t="s">
        <v>1981</v>
      </c>
      <c r="D2136" s="2">
        <v>39356</v>
      </c>
      <c r="E2136" s="1" t="s">
        <v>4366</v>
      </c>
      <c r="F2136" s="1" t="s">
        <v>30</v>
      </c>
    </row>
    <row r="2137" spans="1:6" ht="30" customHeight="1" x14ac:dyDescent="0.25">
      <c r="A2137" s="1" t="s">
        <v>4367</v>
      </c>
      <c r="B2137" s="1" t="str">
        <f>"9789240683068"</f>
        <v>9789240683068</v>
      </c>
      <c r="C2137" s="1" t="s">
        <v>1981</v>
      </c>
      <c r="D2137" s="2">
        <v>39427</v>
      </c>
      <c r="E2137" s="1" t="s">
        <v>3256</v>
      </c>
      <c r="F2137" s="1" t="s">
        <v>13</v>
      </c>
    </row>
    <row r="2138" spans="1:6" ht="30" customHeight="1" x14ac:dyDescent="0.25">
      <c r="A2138" s="1" t="s">
        <v>4368</v>
      </c>
      <c r="B2138" s="1" t="str">
        <f>"9789240683082"</f>
        <v>9789240683082</v>
      </c>
      <c r="C2138" s="1" t="s">
        <v>1981</v>
      </c>
      <c r="D2138" s="2">
        <v>39505</v>
      </c>
      <c r="E2138" s="1" t="s">
        <v>3256</v>
      </c>
      <c r="F2138" s="1" t="s">
        <v>87</v>
      </c>
    </row>
    <row r="2139" spans="1:6" ht="30" customHeight="1" x14ac:dyDescent="0.25">
      <c r="A2139" s="1" t="s">
        <v>4369</v>
      </c>
      <c r="B2139" s="1" t="str">
        <f>"9789240684492"</f>
        <v>9789240684492</v>
      </c>
      <c r="C2139" s="1" t="s">
        <v>1981</v>
      </c>
      <c r="D2139" s="2">
        <v>39301</v>
      </c>
      <c r="E2139" s="1" t="s">
        <v>4370</v>
      </c>
      <c r="F2139" s="1" t="s">
        <v>95</v>
      </c>
    </row>
    <row r="2140" spans="1:6" ht="30" customHeight="1" x14ac:dyDescent="0.25">
      <c r="A2140" s="1" t="s">
        <v>4371</v>
      </c>
      <c r="B2140" s="1" t="str">
        <f>"9789240683105"</f>
        <v>9789240683105</v>
      </c>
      <c r="C2140" s="1" t="s">
        <v>1981</v>
      </c>
      <c r="D2140" s="2">
        <v>39497</v>
      </c>
      <c r="E2140" s="1" t="s">
        <v>3256</v>
      </c>
      <c r="F2140" s="1" t="s">
        <v>137</v>
      </c>
    </row>
    <row r="2141" spans="1:6" ht="30" customHeight="1" x14ac:dyDescent="0.25">
      <c r="A2141" s="1" t="s">
        <v>4372</v>
      </c>
      <c r="B2141" s="1" t="str">
        <f>"9789240683112"</f>
        <v>9789240683112</v>
      </c>
      <c r="C2141" s="1" t="s">
        <v>1981</v>
      </c>
      <c r="D2141" s="2">
        <v>39489</v>
      </c>
      <c r="E2141" s="1" t="s">
        <v>3256</v>
      </c>
      <c r="F2141" s="1" t="s">
        <v>95</v>
      </c>
    </row>
    <row r="2142" spans="1:6" ht="30" customHeight="1" x14ac:dyDescent="0.25">
      <c r="A2142" s="1" t="s">
        <v>4373</v>
      </c>
      <c r="B2142" s="1" t="str">
        <f>"9789240684515"</f>
        <v>9789240684515</v>
      </c>
      <c r="C2142" s="1" t="s">
        <v>1981</v>
      </c>
      <c r="D2142" s="2">
        <v>39457</v>
      </c>
      <c r="E2142" s="1" t="s">
        <v>3256</v>
      </c>
      <c r="F2142" s="1" t="s">
        <v>33</v>
      </c>
    </row>
    <row r="2143" spans="1:6" ht="30" customHeight="1" x14ac:dyDescent="0.25">
      <c r="A2143" s="1" t="s">
        <v>4374</v>
      </c>
      <c r="B2143" s="1" t="str">
        <f>"9789240687196"</f>
        <v>9789240687196</v>
      </c>
      <c r="C2143" s="1" t="s">
        <v>1981</v>
      </c>
      <c r="D2143" s="2">
        <v>39252</v>
      </c>
      <c r="E2143" s="1" t="s">
        <v>3256</v>
      </c>
      <c r="F2143" s="1" t="s">
        <v>1568</v>
      </c>
    </row>
    <row r="2144" spans="1:6" ht="30" customHeight="1" x14ac:dyDescent="0.25">
      <c r="A2144" s="1" t="s">
        <v>4375</v>
      </c>
      <c r="B2144" s="1" t="str">
        <f>"9789240683198"</f>
        <v>9789240683198</v>
      </c>
      <c r="C2144" s="1" t="s">
        <v>1981</v>
      </c>
      <c r="D2144" s="2">
        <v>39120</v>
      </c>
      <c r="E2144" s="1" t="s">
        <v>3256</v>
      </c>
      <c r="F2144" s="1" t="s">
        <v>2976</v>
      </c>
    </row>
    <row r="2145" spans="1:6" ht="30" customHeight="1" x14ac:dyDescent="0.25">
      <c r="A2145" s="1" t="s">
        <v>4376</v>
      </c>
      <c r="B2145" s="1" t="str">
        <f>"9789240683204"</f>
        <v>9789240683204</v>
      </c>
      <c r="C2145" s="1" t="s">
        <v>1981</v>
      </c>
      <c r="D2145" s="2">
        <v>39008</v>
      </c>
      <c r="E2145" s="1" t="s">
        <v>3256</v>
      </c>
      <c r="F2145" s="1" t="s">
        <v>13</v>
      </c>
    </row>
    <row r="2146" spans="1:6" ht="30" customHeight="1" x14ac:dyDescent="0.25">
      <c r="A2146" s="1" t="s">
        <v>4377</v>
      </c>
      <c r="B2146" s="1" t="str">
        <f>"9789240683013"</f>
        <v>9789240683013</v>
      </c>
      <c r="C2146" s="1" t="s">
        <v>1981</v>
      </c>
      <c r="D2146" s="2">
        <v>39448</v>
      </c>
      <c r="E2146" s="1" t="s">
        <v>3256</v>
      </c>
      <c r="F2146" s="1" t="s">
        <v>13</v>
      </c>
    </row>
    <row r="2147" spans="1:6" ht="30" customHeight="1" x14ac:dyDescent="0.25">
      <c r="A2147" s="1" t="s">
        <v>4378</v>
      </c>
      <c r="B2147" s="1" t="str">
        <f>"9789240683075"</f>
        <v>9789240683075</v>
      </c>
      <c r="C2147" s="1" t="s">
        <v>1981</v>
      </c>
      <c r="D2147" s="2">
        <v>39448</v>
      </c>
      <c r="E2147" s="1" t="s">
        <v>3256</v>
      </c>
      <c r="F2147" s="1" t="s">
        <v>33</v>
      </c>
    </row>
    <row r="2148" spans="1:6" ht="30" customHeight="1" x14ac:dyDescent="0.25">
      <c r="A2148" s="1" t="s">
        <v>4379</v>
      </c>
      <c r="B2148" s="1" t="str">
        <f>"9781846427954"</f>
        <v>9781846427954</v>
      </c>
      <c r="C2148" s="1" t="s">
        <v>2387</v>
      </c>
      <c r="D2148" s="2">
        <v>39553</v>
      </c>
      <c r="E2148" s="1" t="s">
        <v>4380</v>
      </c>
      <c r="F2148" s="1" t="s">
        <v>13</v>
      </c>
    </row>
    <row r="2149" spans="1:6" ht="30" customHeight="1" x14ac:dyDescent="0.25">
      <c r="A2149" s="1" t="s">
        <v>4381</v>
      </c>
      <c r="B2149" s="1" t="str">
        <f>"9781846427565"</f>
        <v>9781846427565</v>
      </c>
      <c r="C2149" s="1" t="s">
        <v>2387</v>
      </c>
      <c r="D2149" s="2">
        <v>39462</v>
      </c>
      <c r="E2149" s="1" t="s">
        <v>4382</v>
      </c>
      <c r="F2149" s="1" t="s">
        <v>148</v>
      </c>
    </row>
    <row r="2150" spans="1:6" ht="30" customHeight="1" x14ac:dyDescent="0.25">
      <c r="A2150" s="1" t="s">
        <v>4383</v>
      </c>
      <c r="B2150" s="1" t="str">
        <f>"9781846427701"</f>
        <v>9781846427701</v>
      </c>
      <c r="C2150" s="1" t="s">
        <v>2387</v>
      </c>
      <c r="D2150" s="2">
        <v>39522</v>
      </c>
      <c r="E2150" s="1" t="s">
        <v>4384</v>
      </c>
      <c r="F2150" s="1" t="s">
        <v>214</v>
      </c>
    </row>
    <row r="2151" spans="1:6" ht="30" customHeight="1" x14ac:dyDescent="0.25">
      <c r="A2151" s="1" t="s">
        <v>4385</v>
      </c>
      <c r="B2151" s="1" t="str">
        <f>"9781846427770"</f>
        <v>9781846427770</v>
      </c>
      <c r="C2151" s="1" t="s">
        <v>2387</v>
      </c>
      <c r="D2151" s="2">
        <v>39522</v>
      </c>
      <c r="E2151" s="1" t="s">
        <v>4386</v>
      </c>
      <c r="F2151" s="1" t="s">
        <v>176</v>
      </c>
    </row>
    <row r="2152" spans="1:6" ht="30" customHeight="1" x14ac:dyDescent="0.25">
      <c r="A2152" s="1" t="s">
        <v>4387</v>
      </c>
      <c r="B2152" s="1" t="str">
        <f>"9781846427947"</f>
        <v>9781846427947</v>
      </c>
      <c r="C2152" s="1" t="s">
        <v>2387</v>
      </c>
      <c r="D2152" s="2">
        <v>39553</v>
      </c>
      <c r="E2152" s="1" t="s">
        <v>4388</v>
      </c>
      <c r="F2152" s="1" t="s">
        <v>13</v>
      </c>
    </row>
    <row r="2153" spans="1:6" ht="30" customHeight="1" x14ac:dyDescent="0.25">
      <c r="A2153" s="1" t="s">
        <v>4389</v>
      </c>
      <c r="B2153" s="1" t="str">
        <f>"9781846426964"</f>
        <v>9781846426964</v>
      </c>
      <c r="C2153" s="1" t="s">
        <v>2387</v>
      </c>
      <c r="D2153" s="2">
        <v>39401</v>
      </c>
      <c r="E2153" s="1" t="s">
        <v>4390</v>
      </c>
      <c r="F2153" s="1" t="s">
        <v>13</v>
      </c>
    </row>
    <row r="2154" spans="1:6" ht="30" customHeight="1" x14ac:dyDescent="0.25">
      <c r="A2154" s="1" t="s">
        <v>4391</v>
      </c>
      <c r="B2154" s="1" t="str">
        <f>"9781846427633"</f>
        <v>9781846427633</v>
      </c>
      <c r="C2154" s="1" t="s">
        <v>2387</v>
      </c>
      <c r="D2154" s="2">
        <v>39493</v>
      </c>
      <c r="E2154" s="1" t="s">
        <v>4392</v>
      </c>
      <c r="F2154" s="1" t="s">
        <v>176</v>
      </c>
    </row>
    <row r="2155" spans="1:6" ht="30" customHeight="1" x14ac:dyDescent="0.25">
      <c r="A2155" s="1" t="s">
        <v>4393</v>
      </c>
      <c r="B2155" s="1" t="str">
        <f>"9781846427596"</f>
        <v>9781846427596</v>
      </c>
      <c r="C2155" s="1" t="s">
        <v>2387</v>
      </c>
      <c r="D2155" s="2">
        <v>39465</v>
      </c>
      <c r="E2155" s="1" t="s">
        <v>4394</v>
      </c>
      <c r="F2155" s="1" t="s">
        <v>13</v>
      </c>
    </row>
    <row r="2156" spans="1:6" ht="30" customHeight="1" x14ac:dyDescent="0.25">
      <c r="A2156" s="1" t="s">
        <v>4395</v>
      </c>
      <c r="B2156" s="1" t="str">
        <f>"9781846427589"</f>
        <v>9781846427589</v>
      </c>
      <c r="C2156" s="1" t="s">
        <v>2387</v>
      </c>
      <c r="D2156" s="2">
        <v>39462</v>
      </c>
      <c r="E2156" s="1" t="s">
        <v>4396</v>
      </c>
      <c r="F2156" s="1" t="s">
        <v>13</v>
      </c>
    </row>
    <row r="2157" spans="1:6" ht="30" customHeight="1" x14ac:dyDescent="0.25">
      <c r="A2157" s="1" t="s">
        <v>4397</v>
      </c>
      <c r="B2157" s="1" t="str">
        <f>"9781846427404"</f>
        <v>9781846427404</v>
      </c>
      <c r="C2157" s="1" t="s">
        <v>2387</v>
      </c>
      <c r="D2157" s="2">
        <v>39431</v>
      </c>
      <c r="E2157" s="1" t="s">
        <v>4398</v>
      </c>
      <c r="F2157" s="1" t="s">
        <v>13</v>
      </c>
    </row>
    <row r="2158" spans="1:6" ht="30" customHeight="1" x14ac:dyDescent="0.25">
      <c r="A2158" s="1" t="s">
        <v>4399</v>
      </c>
      <c r="B2158" s="1" t="str">
        <f>"9781846427312"</f>
        <v>9781846427312</v>
      </c>
      <c r="C2158" s="1" t="s">
        <v>2387</v>
      </c>
      <c r="D2158" s="2">
        <v>39401</v>
      </c>
      <c r="E2158" s="1" t="s">
        <v>4400</v>
      </c>
      <c r="F2158" s="1" t="s">
        <v>13</v>
      </c>
    </row>
    <row r="2159" spans="1:6" ht="30" customHeight="1" x14ac:dyDescent="0.25">
      <c r="A2159" s="1" t="s">
        <v>4401</v>
      </c>
      <c r="B2159" s="1" t="str">
        <f>"9781846428005"</f>
        <v>9781846428005</v>
      </c>
      <c r="C2159" s="1" t="s">
        <v>2387</v>
      </c>
      <c r="D2159" s="2">
        <v>39583</v>
      </c>
      <c r="E2159" s="1" t="s">
        <v>4402</v>
      </c>
      <c r="F2159" s="1" t="s">
        <v>2966</v>
      </c>
    </row>
    <row r="2160" spans="1:6" ht="30" customHeight="1" x14ac:dyDescent="0.25">
      <c r="A2160" s="1" t="s">
        <v>4403</v>
      </c>
      <c r="B2160" s="1" t="str">
        <f>"9781846428029"</f>
        <v>9781846428029</v>
      </c>
      <c r="C2160" s="1" t="s">
        <v>2387</v>
      </c>
      <c r="D2160" s="2">
        <v>39583</v>
      </c>
      <c r="E2160" s="1" t="s">
        <v>4404</v>
      </c>
      <c r="F2160" s="1" t="s">
        <v>13</v>
      </c>
    </row>
    <row r="2161" spans="1:6" ht="30" customHeight="1" x14ac:dyDescent="0.25">
      <c r="A2161" s="1" t="s">
        <v>4405</v>
      </c>
      <c r="B2161" s="1" t="str">
        <f>"9781846427534"</f>
        <v>9781846427534</v>
      </c>
      <c r="C2161" s="1" t="s">
        <v>2387</v>
      </c>
      <c r="D2161" s="2">
        <v>39462</v>
      </c>
      <c r="E2161" s="1" t="s">
        <v>4406</v>
      </c>
      <c r="F2161" s="1" t="s">
        <v>87</v>
      </c>
    </row>
    <row r="2162" spans="1:6" ht="30" customHeight="1" x14ac:dyDescent="0.25">
      <c r="A2162" s="1" t="s">
        <v>4407</v>
      </c>
      <c r="B2162" s="1" t="str">
        <f>"9781846427329"</f>
        <v>9781846427329</v>
      </c>
      <c r="C2162" s="1" t="s">
        <v>2387</v>
      </c>
      <c r="D2162" s="2">
        <v>39401</v>
      </c>
      <c r="E2162" s="1" t="s">
        <v>4408</v>
      </c>
      <c r="F2162" s="1" t="s">
        <v>13</v>
      </c>
    </row>
    <row r="2163" spans="1:6" ht="30" customHeight="1" x14ac:dyDescent="0.25">
      <c r="A2163" s="1" t="s">
        <v>4409</v>
      </c>
      <c r="B2163" s="1" t="str">
        <f>"9781846427374"</f>
        <v>9781846427374</v>
      </c>
      <c r="C2163" s="1" t="s">
        <v>2387</v>
      </c>
      <c r="D2163" s="2">
        <v>39401</v>
      </c>
      <c r="E2163" s="1" t="s">
        <v>4410</v>
      </c>
      <c r="F2163" s="1" t="s">
        <v>13</v>
      </c>
    </row>
    <row r="2164" spans="1:6" ht="30" customHeight="1" x14ac:dyDescent="0.25">
      <c r="A2164" s="1" t="s">
        <v>4411</v>
      </c>
      <c r="B2164" s="1" t="str">
        <f>"9781846427725"</f>
        <v>9781846427725</v>
      </c>
      <c r="C2164" s="1" t="s">
        <v>2387</v>
      </c>
      <c r="D2164" s="2">
        <v>39522</v>
      </c>
      <c r="E2164" s="1" t="s">
        <v>4412</v>
      </c>
      <c r="F2164" s="1" t="s">
        <v>13</v>
      </c>
    </row>
    <row r="2165" spans="1:6" ht="30" customHeight="1" x14ac:dyDescent="0.25">
      <c r="A2165" s="1" t="s">
        <v>4413</v>
      </c>
      <c r="B2165" s="1" t="str">
        <f>"9781846427664"</f>
        <v>9781846427664</v>
      </c>
      <c r="C2165" s="1" t="s">
        <v>2387</v>
      </c>
      <c r="D2165" s="2">
        <v>39493</v>
      </c>
      <c r="E2165" s="1" t="s">
        <v>4414</v>
      </c>
      <c r="F2165" s="1" t="s">
        <v>13</v>
      </c>
    </row>
    <row r="2166" spans="1:6" ht="30" customHeight="1" x14ac:dyDescent="0.25">
      <c r="A2166" s="1" t="s">
        <v>4415</v>
      </c>
      <c r="B2166" s="1" t="str">
        <f>"9781846427435"</f>
        <v>9781846427435</v>
      </c>
      <c r="C2166" s="1" t="s">
        <v>2387</v>
      </c>
      <c r="D2166" s="2">
        <v>39431</v>
      </c>
      <c r="E2166" s="1" t="s">
        <v>4416</v>
      </c>
      <c r="F2166" s="1" t="s">
        <v>13</v>
      </c>
    </row>
    <row r="2167" spans="1:6" ht="30" customHeight="1" x14ac:dyDescent="0.25">
      <c r="A2167" s="1" t="s">
        <v>4417</v>
      </c>
      <c r="B2167" s="1" t="str">
        <f>"9781846427640"</f>
        <v>9781846427640</v>
      </c>
      <c r="C2167" s="1" t="s">
        <v>2387</v>
      </c>
      <c r="D2167" s="2">
        <v>39493</v>
      </c>
      <c r="E2167" s="1" t="s">
        <v>4418</v>
      </c>
      <c r="F2167" s="1" t="s">
        <v>13</v>
      </c>
    </row>
    <row r="2168" spans="1:6" ht="30" customHeight="1" x14ac:dyDescent="0.25">
      <c r="A2168" s="1" t="s">
        <v>4419</v>
      </c>
      <c r="B2168" s="1" t="str">
        <f>"9781846427220"</f>
        <v>9781846427220</v>
      </c>
      <c r="C2168" s="1" t="s">
        <v>2387</v>
      </c>
      <c r="D2168" s="2">
        <v>39401</v>
      </c>
      <c r="E2168" s="1" t="s">
        <v>4420</v>
      </c>
      <c r="F2168" s="1" t="s">
        <v>13</v>
      </c>
    </row>
    <row r="2169" spans="1:6" ht="30" customHeight="1" x14ac:dyDescent="0.25">
      <c r="A2169" s="1" t="s">
        <v>4421</v>
      </c>
      <c r="B2169" s="1" t="str">
        <f>"9781846428050"</f>
        <v>9781846428050</v>
      </c>
      <c r="C2169" s="1" t="s">
        <v>2387</v>
      </c>
      <c r="D2169" s="2">
        <v>39583</v>
      </c>
      <c r="E2169" s="1" t="s">
        <v>4422</v>
      </c>
      <c r="F2169" s="1" t="s">
        <v>13</v>
      </c>
    </row>
    <row r="2170" spans="1:6" ht="30" customHeight="1" x14ac:dyDescent="0.25">
      <c r="A2170" s="1" t="s">
        <v>4423</v>
      </c>
      <c r="B2170" s="1" t="str">
        <f>"9781846427787"</f>
        <v>9781846427787</v>
      </c>
      <c r="C2170" s="1" t="s">
        <v>2387</v>
      </c>
      <c r="D2170" s="2">
        <v>39522</v>
      </c>
      <c r="E2170" s="1" t="s">
        <v>4424</v>
      </c>
      <c r="F2170" s="1" t="s">
        <v>13</v>
      </c>
    </row>
    <row r="2171" spans="1:6" ht="30" customHeight="1" x14ac:dyDescent="0.25">
      <c r="A2171" s="1" t="s">
        <v>4425</v>
      </c>
      <c r="B2171" s="1" t="str">
        <f>"9781846427343"</f>
        <v>9781846427343</v>
      </c>
      <c r="C2171" s="1" t="s">
        <v>2387</v>
      </c>
      <c r="D2171" s="2">
        <v>39401</v>
      </c>
      <c r="E2171" s="1" t="s">
        <v>4426</v>
      </c>
      <c r="F2171" s="1" t="s">
        <v>13</v>
      </c>
    </row>
    <row r="2172" spans="1:6" ht="30" customHeight="1" x14ac:dyDescent="0.25">
      <c r="A2172" s="1" t="s">
        <v>4427</v>
      </c>
      <c r="B2172" s="1" t="str">
        <f>"9781846427824"</f>
        <v>9781846427824</v>
      </c>
      <c r="C2172" s="1" t="s">
        <v>2387</v>
      </c>
      <c r="D2172" s="2">
        <v>39522</v>
      </c>
      <c r="E2172" s="1" t="s">
        <v>533</v>
      </c>
      <c r="F2172" s="1" t="s">
        <v>13</v>
      </c>
    </row>
    <row r="2173" spans="1:6" ht="30" customHeight="1" x14ac:dyDescent="0.25">
      <c r="A2173" s="1" t="s">
        <v>4428</v>
      </c>
      <c r="B2173" s="1" t="str">
        <f>"9781846427763"</f>
        <v>9781846427763</v>
      </c>
      <c r="C2173" s="1" t="s">
        <v>2387</v>
      </c>
      <c r="D2173" s="2">
        <v>39522</v>
      </c>
      <c r="E2173" s="1" t="s">
        <v>4429</v>
      </c>
      <c r="F2173" s="1" t="s">
        <v>13</v>
      </c>
    </row>
    <row r="2174" spans="1:6" ht="30" customHeight="1" x14ac:dyDescent="0.25">
      <c r="A2174" s="1" t="s">
        <v>4430</v>
      </c>
      <c r="B2174" s="1" t="str">
        <f>"9781846427510"</f>
        <v>9781846427510</v>
      </c>
      <c r="C2174" s="1" t="s">
        <v>2387</v>
      </c>
      <c r="D2174" s="2">
        <v>39431</v>
      </c>
      <c r="E2174" s="1" t="s">
        <v>4431</v>
      </c>
      <c r="F2174" s="1" t="s">
        <v>13</v>
      </c>
    </row>
    <row r="2175" spans="1:6" ht="30" customHeight="1" x14ac:dyDescent="0.25">
      <c r="A2175" s="1" t="s">
        <v>4432</v>
      </c>
      <c r="B2175" s="1" t="str">
        <f>"9781846427572"</f>
        <v>9781846427572</v>
      </c>
      <c r="C2175" s="1" t="s">
        <v>2387</v>
      </c>
      <c r="D2175" s="2">
        <v>39462</v>
      </c>
      <c r="E2175" s="1" t="s">
        <v>4433</v>
      </c>
      <c r="F2175" s="1" t="s">
        <v>4434</v>
      </c>
    </row>
    <row r="2176" spans="1:6" ht="30" customHeight="1" x14ac:dyDescent="0.25">
      <c r="A2176" s="1" t="s">
        <v>4435</v>
      </c>
      <c r="B2176" s="1" t="str">
        <f>"9781846427879"</f>
        <v>9781846427879</v>
      </c>
      <c r="C2176" s="1" t="s">
        <v>2387</v>
      </c>
      <c r="D2176" s="2">
        <v>39553</v>
      </c>
      <c r="E2176" s="1" t="s">
        <v>4436</v>
      </c>
      <c r="F2176" s="1" t="s">
        <v>158</v>
      </c>
    </row>
    <row r="2177" spans="1:6" ht="30" customHeight="1" x14ac:dyDescent="0.25">
      <c r="A2177" s="1" t="s">
        <v>4437</v>
      </c>
      <c r="B2177" s="1" t="str">
        <f>"9781846427923"</f>
        <v>9781846427923</v>
      </c>
      <c r="C2177" s="1" t="s">
        <v>2387</v>
      </c>
      <c r="D2177" s="2">
        <v>39553</v>
      </c>
      <c r="E2177" s="1" t="s">
        <v>4438</v>
      </c>
      <c r="F2177" s="1" t="s">
        <v>2443</v>
      </c>
    </row>
    <row r="2178" spans="1:6" ht="30" customHeight="1" x14ac:dyDescent="0.25">
      <c r="A2178" s="1" t="s">
        <v>4439</v>
      </c>
      <c r="B2178" s="1" t="str">
        <f>"9781846428043"</f>
        <v>9781846428043</v>
      </c>
      <c r="C2178" s="1" t="s">
        <v>2387</v>
      </c>
      <c r="D2178" s="2">
        <v>39583</v>
      </c>
      <c r="E2178" s="1" t="s">
        <v>4440</v>
      </c>
      <c r="F2178" s="1" t="s">
        <v>13</v>
      </c>
    </row>
    <row r="2179" spans="1:6" ht="30" customHeight="1" x14ac:dyDescent="0.25">
      <c r="A2179" s="1" t="s">
        <v>4441</v>
      </c>
      <c r="B2179" s="1" t="str">
        <f>"9781846427855"</f>
        <v>9781846427855</v>
      </c>
      <c r="C2179" s="1" t="s">
        <v>2387</v>
      </c>
      <c r="D2179" s="2">
        <v>39553</v>
      </c>
      <c r="E2179" s="1" t="s">
        <v>4442</v>
      </c>
      <c r="F2179" s="1" t="s">
        <v>158</v>
      </c>
    </row>
    <row r="2180" spans="1:6" ht="30" customHeight="1" x14ac:dyDescent="0.25">
      <c r="A2180" s="1" t="s">
        <v>4443</v>
      </c>
      <c r="B2180" s="1" t="str">
        <f>"9781846427961"</f>
        <v>9781846427961</v>
      </c>
      <c r="C2180" s="1" t="s">
        <v>2387</v>
      </c>
      <c r="D2180" s="2">
        <v>39578</v>
      </c>
      <c r="E2180" s="1" t="s">
        <v>4444</v>
      </c>
      <c r="F2180" s="1" t="s">
        <v>13</v>
      </c>
    </row>
    <row r="2181" spans="1:6" ht="30" customHeight="1" x14ac:dyDescent="0.25">
      <c r="A2181" s="1" t="s">
        <v>4445</v>
      </c>
      <c r="B2181" s="1" t="str">
        <f>"9781846427299"</f>
        <v>9781846427299</v>
      </c>
      <c r="C2181" s="1" t="s">
        <v>2387</v>
      </c>
      <c r="D2181" s="2">
        <v>39401</v>
      </c>
      <c r="E2181" s="1" t="s">
        <v>4446</v>
      </c>
      <c r="F2181" s="1" t="s">
        <v>95</v>
      </c>
    </row>
    <row r="2182" spans="1:6" ht="30" customHeight="1" x14ac:dyDescent="0.25">
      <c r="A2182" s="1" t="s">
        <v>4447</v>
      </c>
      <c r="B2182" s="1" t="str">
        <f>"9781846427619"</f>
        <v>9781846427619</v>
      </c>
      <c r="C2182" s="1" t="s">
        <v>2387</v>
      </c>
      <c r="D2182" s="2">
        <v>39493</v>
      </c>
      <c r="E2182" s="1" t="s">
        <v>2672</v>
      </c>
      <c r="F2182" s="1" t="s">
        <v>13</v>
      </c>
    </row>
    <row r="2183" spans="1:6" ht="30" customHeight="1" x14ac:dyDescent="0.25">
      <c r="A2183" s="1" t="s">
        <v>4448</v>
      </c>
      <c r="B2183" s="1" t="str">
        <f>"9781846428074"</f>
        <v>9781846428074</v>
      </c>
      <c r="C2183" s="1" t="s">
        <v>2387</v>
      </c>
      <c r="D2183" s="2">
        <v>39614</v>
      </c>
      <c r="E2183" s="1" t="s">
        <v>4449</v>
      </c>
      <c r="F2183" s="1" t="s">
        <v>13</v>
      </c>
    </row>
    <row r="2184" spans="1:6" ht="30" customHeight="1" x14ac:dyDescent="0.25">
      <c r="A2184" s="1" t="s">
        <v>4450</v>
      </c>
      <c r="B2184" s="1" t="str">
        <f>"9780977655205"</f>
        <v>9780977655205</v>
      </c>
      <c r="C2184" s="1" t="s">
        <v>4451</v>
      </c>
      <c r="D2184" s="2">
        <v>39692</v>
      </c>
      <c r="E2184" s="1" t="s">
        <v>4452</v>
      </c>
      <c r="F2184" s="1" t="s">
        <v>13</v>
      </c>
    </row>
    <row r="2185" spans="1:6" ht="30" customHeight="1" x14ac:dyDescent="0.25">
      <c r="A2185" s="1" t="s">
        <v>4453</v>
      </c>
      <c r="B2185" s="1" t="str">
        <f>"9781420019230"</f>
        <v>9781420019230</v>
      </c>
      <c r="C2185" s="1" t="s">
        <v>172</v>
      </c>
      <c r="D2185" s="2">
        <v>39479</v>
      </c>
      <c r="E2185" s="1" t="s">
        <v>4454</v>
      </c>
      <c r="F2185" s="1" t="s">
        <v>13</v>
      </c>
    </row>
    <row r="2186" spans="1:6" ht="30" customHeight="1" x14ac:dyDescent="0.25">
      <c r="A2186" s="1" t="s">
        <v>4455</v>
      </c>
      <c r="B2186" s="1" t="str">
        <f>"9780470693179"</f>
        <v>9780470693179</v>
      </c>
      <c r="C2186" s="1" t="s">
        <v>65</v>
      </c>
      <c r="D2186" s="2">
        <v>39553</v>
      </c>
      <c r="E2186" s="1" t="s">
        <v>4456</v>
      </c>
      <c r="F2186" s="1" t="s">
        <v>13</v>
      </c>
    </row>
    <row r="2187" spans="1:6" ht="30" customHeight="1" x14ac:dyDescent="0.25">
      <c r="A2187" s="1" t="s">
        <v>4457</v>
      </c>
      <c r="B2187" s="1" t="str">
        <f>"9780470994573"</f>
        <v>9780470994573</v>
      </c>
      <c r="C2187" s="1" t="s">
        <v>65</v>
      </c>
      <c r="D2187" s="2">
        <v>39506</v>
      </c>
      <c r="E2187" s="1" t="s">
        <v>4458</v>
      </c>
      <c r="F2187" s="1" t="s">
        <v>30</v>
      </c>
    </row>
    <row r="2188" spans="1:6" ht="30" customHeight="1" x14ac:dyDescent="0.25">
      <c r="A2188" s="1" t="s">
        <v>4459</v>
      </c>
      <c r="B2188" s="1" t="str">
        <f>"9780470777473"</f>
        <v>9780470777473</v>
      </c>
      <c r="C2188" s="1" t="s">
        <v>65</v>
      </c>
      <c r="D2188" s="2">
        <v>39553</v>
      </c>
      <c r="E2188" s="1" t="s">
        <v>4460</v>
      </c>
      <c r="F2188" s="1" t="s">
        <v>126</v>
      </c>
    </row>
    <row r="2189" spans="1:6" ht="30" customHeight="1" x14ac:dyDescent="0.25">
      <c r="A2189" s="1" t="s">
        <v>4461</v>
      </c>
      <c r="B2189" s="1" t="str">
        <f>"9780470691205"</f>
        <v>9780470691205</v>
      </c>
      <c r="C2189" s="1" t="s">
        <v>65</v>
      </c>
      <c r="D2189" s="2">
        <v>39553</v>
      </c>
      <c r="E2189" s="1" t="s">
        <v>4462</v>
      </c>
      <c r="F2189" s="1" t="s">
        <v>13</v>
      </c>
    </row>
    <row r="2190" spans="1:6" ht="30" customHeight="1" x14ac:dyDescent="0.25">
      <c r="A2190" s="1" t="s">
        <v>4463</v>
      </c>
      <c r="B2190" s="1" t="str">
        <f>"9780470994337"</f>
        <v>9780470994337</v>
      </c>
      <c r="C2190" s="1" t="s">
        <v>65</v>
      </c>
      <c r="D2190" s="2">
        <v>39553</v>
      </c>
      <c r="E2190" s="1" t="s">
        <v>4464</v>
      </c>
      <c r="F2190" s="1" t="s">
        <v>13</v>
      </c>
    </row>
    <row r="2191" spans="1:6" ht="30" customHeight="1" x14ac:dyDescent="0.25">
      <c r="A2191" s="1" t="s">
        <v>4465</v>
      </c>
      <c r="B2191" s="1" t="str">
        <f>"9780470693209"</f>
        <v>9780470693209</v>
      </c>
      <c r="C2191" s="1" t="s">
        <v>65</v>
      </c>
      <c r="D2191" s="2">
        <v>39553</v>
      </c>
      <c r="E2191" s="1" t="s">
        <v>4466</v>
      </c>
      <c r="F2191" s="1" t="s">
        <v>13</v>
      </c>
    </row>
    <row r="2192" spans="1:6" ht="30" customHeight="1" x14ac:dyDescent="0.25">
      <c r="A2192" s="1" t="s">
        <v>4467</v>
      </c>
      <c r="B2192" s="1" t="str">
        <f>"9780470757314"</f>
        <v>9780470757314</v>
      </c>
      <c r="C2192" s="1" t="s">
        <v>65</v>
      </c>
      <c r="D2192" s="2">
        <v>39195</v>
      </c>
      <c r="E2192" s="1" t="s">
        <v>4468</v>
      </c>
      <c r="F2192" s="1" t="s">
        <v>13</v>
      </c>
    </row>
    <row r="2193" spans="1:6" ht="30" customHeight="1" x14ac:dyDescent="0.25">
      <c r="A2193" s="1" t="s">
        <v>4469</v>
      </c>
      <c r="B2193" s="1" t="str">
        <f>"9780470986646"</f>
        <v>9780470986646</v>
      </c>
      <c r="C2193" s="1" t="s">
        <v>65</v>
      </c>
      <c r="D2193" s="2">
        <v>39553</v>
      </c>
      <c r="E2193" s="1" t="s">
        <v>4470</v>
      </c>
      <c r="F2193" s="1" t="s">
        <v>13</v>
      </c>
    </row>
    <row r="2194" spans="1:6" ht="30" customHeight="1" x14ac:dyDescent="0.25">
      <c r="A2194" s="1" t="s">
        <v>4471</v>
      </c>
      <c r="B2194" s="1" t="str">
        <f>"9780470691243"</f>
        <v>9780470691243</v>
      </c>
      <c r="C2194" s="1" t="s">
        <v>65</v>
      </c>
      <c r="D2194" s="2">
        <v>39553</v>
      </c>
      <c r="E2194" s="1" t="s">
        <v>4472</v>
      </c>
      <c r="F2194" s="1" t="s">
        <v>13</v>
      </c>
    </row>
    <row r="2195" spans="1:6" ht="30" customHeight="1" x14ac:dyDescent="0.25">
      <c r="A2195" s="1" t="s">
        <v>4473</v>
      </c>
      <c r="B2195" s="1" t="str">
        <f>"9780470757307"</f>
        <v>9780470757307</v>
      </c>
      <c r="C2195" s="1" t="s">
        <v>65</v>
      </c>
      <c r="D2195" s="2">
        <v>39553</v>
      </c>
      <c r="E2195" s="1" t="s">
        <v>4474</v>
      </c>
      <c r="F2195" s="1" t="s">
        <v>4475</v>
      </c>
    </row>
    <row r="2196" spans="1:6" ht="30" customHeight="1" x14ac:dyDescent="0.25">
      <c r="A2196" s="1" t="s">
        <v>4476</v>
      </c>
      <c r="B2196" s="1" t="str">
        <f>"9780470693100"</f>
        <v>9780470693100</v>
      </c>
      <c r="C2196" s="1" t="s">
        <v>65</v>
      </c>
      <c r="D2196" s="2">
        <v>39553</v>
      </c>
      <c r="E2196" s="1" t="s">
        <v>4477</v>
      </c>
      <c r="F2196" s="1" t="s">
        <v>13</v>
      </c>
    </row>
    <row r="2197" spans="1:6" ht="30" customHeight="1" x14ac:dyDescent="0.25">
      <c r="A2197" s="1" t="s">
        <v>4478</v>
      </c>
      <c r="B2197" s="1" t="str">
        <f>"9780470691731"</f>
        <v>9780470691731</v>
      </c>
      <c r="C2197" s="1" t="s">
        <v>65</v>
      </c>
      <c r="D2197" s="2">
        <v>39553</v>
      </c>
      <c r="E2197" s="1" t="s">
        <v>4479</v>
      </c>
      <c r="F2197" s="1" t="s">
        <v>13</v>
      </c>
    </row>
    <row r="2198" spans="1:6" ht="30" customHeight="1" x14ac:dyDescent="0.25">
      <c r="A2198" s="1" t="s">
        <v>4480</v>
      </c>
      <c r="B2198" s="1" t="str">
        <f>"9780470691717"</f>
        <v>9780470691717</v>
      </c>
      <c r="C2198" s="1" t="s">
        <v>65</v>
      </c>
      <c r="D2198" s="2">
        <v>39223</v>
      </c>
      <c r="E2198" s="1" t="s">
        <v>4481</v>
      </c>
      <c r="F2198" s="1" t="s">
        <v>13</v>
      </c>
    </row>
    <row r="2199" spans="1:6" ht="30" customHeight="1" x14ac:dyDescent="0.25">
      <c r="A2199" s="1" t="s">
        <v>4482</v>
      </c>
      <c r="B2199" s="1" t="str">
        <f>"9780470693049"</f>
        <v>9780470693049</v>
      </c>
      <c r="C2199" s="1" t="s">
        <v>65</v>
      </c>
      <c r="D2199" s="2">
        <v>39553</v>
      </c>
      <c r="E2199" s="1" t="s">
        <v>4483</v>
      </c>
      <c r="F2199" s="1" t="s">
        <v>13</v>
      </c>
    </row>
    <row r="2200" spans="1:6" ht="30" customHeight="1" x14ac:dyDescent="0.25">
      <c r="A2200" s="1" t="s">
        <v>4484</v>
      </c>
      <c r="B2200" s="1" t="str">
        <f>"9780470756898"</f>
        <v>9780470756898</v>
      </c>
      <c r="C2200" s="1" t="s">
        <v>65</v>
      </c>
      <c r="D2200" s="2">
        <v>37722</v>
      </c>
      <c r="E2200" s="1" t="s">
        <v>4485</v>
      </c>
      <c r="F2200" s="1" t="s">
        <v>13</v>
      </c>
    </row>
    <row r="2201" spans="1:6" ht="30" customHeight="1" x14ac:dyDescent="0.25">
      <c r="A2201" s="1" t="s">
        <v>4486</v>
      </c>
      <c r="B2201" s="1" t="str">
        <f>"9780470691137"</f>
        <v>9780470691137</v>
      </c>
      <c r="C2201" s="1" t="s">
        <v>65</v>
      </c>
      <c r="D2201" s="2">
        <v>39553</v>
      </c>
      <c r="E2201" s="1" t="s">
        <v>4487</v>
      </c>
      <c r="F2201" s="1" t="s">
        <v>95</v>
      </c>
    </row>
    <row r="2202" spans="1:6" ht="30" customHeight="1" x14ac:dyDescent="0.25">
      <c r="A2202" s="1" t="s">
        <v>4488</v>
      </c>
      <c r="B2202" s="1" t="str">
        <f>"9780470994726"</f>
        <v>9780470994726</v>
      </c>
      <c r="C2202" s="1" t="s">
        <v>65</v>
      </c>
      <c r="D2202" s="2">
        <v>39553</v>
      </c>
      <c r="E2202" s="1" t="s">
        <v>4489</v>
      </c>
      <c r="F2202" s="1" t="s">
        <v>13</v>
      </c>
    </row>
    <row r="2203" spans="1:6" ht="30" customHeight="1" x14ac:dyDescent="0.25">
      <c r="A2203" s="1" t="s">
        <v>4490</v>
      </c>
      <c r="B2203" s="1" t="str">
        <f>"9780470519141"</f>
        <v>9780470519141</v>
      </c>
      <c r="C2203" s="1" t="s">
        <v>65</v>
      </c>
      <c r="D2203" s="2">
        <v>39553</v>
      </c>
      <c r="E2203" s="1" t="s">
        <v>4491</v>
      </c>
      <c r="F2203" s="1" t="s">
        <v>13</v>
      </c>
    </row>
    <row r="2204" spans="1:6" ht="30" customHeight="1" x14ac:dyDescent="0.25">
      <c r="A2204" s="1" t="s">
        <v>4492</v>
      </c>
      <c r="B2204" s="1" t="str">
        <f>"9780470777442"</f>
        <v>9780470777442</v>
      </c>
      <c r="C2204" s="1" t="s">
        <v>65</v>
      </c>
      <c r="D2204" s="2">
        <v>39553</v>
      </c>
      <c r="E2204" s="1" t="s">
        <v>4493</v>
      </c>
      <c r="F2204" s="1" t="s">
        <v>13</v>
      </c>
    </row>
    <row r="2205" spans="1:6" ht="30" customHeight="1" x14ac:dyDescent="0.25">
      <c r="A2205" s="1" t="s">
        <v>4494</v>
      </c>
      <c r="B2205" s="1" t="str">
        <f>"9780470691700"</f>
        <v>9780470691700</v>
      </c>
      <c r="C2205" s="1" t="s">
        <v>65</v>
      </c>
      <c r="D2205" s="2">
        <v>39553</v>
      </c>
      <c r="E2205" s="1" t="s">
        <v>4495</v>
      </c>
      <c r="F2205" s="1" t="s">
        <v>359</v>
      </c>
    </row>
    <row r="2206" spans="1:6" ht="30" customHeight="1" x14ac:dyDescent="0.25">
      <c r="A2206" s="1" t="s">
        <v>4496</v>
      </c>
      <c r="B2206" s="1" t="str">
        <f>"9780470994306"</f>
        <v>9780470994306</v>
      </c>
      <c r="C2206" s="1" t="s">
        <v>65</v>
      </c>
      <c r="D2206" s="2">
        <v>39553</v>
      </c>
      <c r="E2206" s="1" t="s">
        <v>4497</v>
      </c>
      <c r="F2206" s="1" t="s">
        <v>13</v>
      </c>
    </row>
    <row r="2207" spans="1:6" ht="30" customHeight="1" x14ac:dyDescent="0.25">
      <c r="A2207" s="1" t="s">
        <v>4498</v>
      </c>
      <c r="B2207" s="1" t="str">
        <f>"9780470753224"</f>
        <v>9780470753224</v>
      </c>
      <c r="C2207" s="1" t="s">
        <v>65</v>
      </c>
      <c r="D2207" s="2">
        <v>39553</v>
      </c>
      <c r="E2207" s="1" t="s">
        <v>4499</v>
      </c>
      <c r="F2207" s="1" t="s">
        <v>13</v>
      </c>
    </row>
    <row r="2208" spans="1:6" ht="30" customHeight="1" x14ac:dyDescent="0.25">
      <c r="A2208" s="1" t="s">
        <v>4500</v>
      </c>
      <c r="B2208" s="1" t="str">
        <f>"9780470777619"</f>
        <v>9780470777619</v>
      </c>
      <c r="C2208" s="1" t="s">
        <v>65</v>
      </c>
      <c r="D2208" s="2">
        <v>39553</v>
      </c>
      <c r="E2208" s="1" t="s">
        <v>4501</v>
      </c>
      <c r="F2208" s="1" t="s">
        <v>13</v>
      </c>
    </row>
    <row r="2209" spans="1:6" ht="30" customHeight="1" x14ac:dyDescent="0.25">
      <c r="A2209" s="1" t="s">
        <v>4502</v>
      </c>
      <c r="B2209" s="1" t="str">
        <f>"9780470750285"</f>
        <v>9780470750285</v>
      </c>
      <c r="C2209" s="1" t="s">
        <v>65</v>
      </c>
      <c r="D2209" s="2">
        <v>39553</v>
      </c>
      <c r="E2209" s="1" t="s">
        <v>4503</v>
      </c>
      <c r="F2209" s="1" t="s">
        <v>13</v>
      </c>
    </row>
    <row r="2210" spans="1:6" ht="30" customHeight="1" x14ac:dyDescent="0.25">
      <c r="A2210" s="1" t="s">
        <v>4504</v>
      </c>
      <c r="B2210" s="1" t="str">
        <f>"9780470987308"</f>
        <v>9780470987308</v>
      </c>
      <c r="C2210" s="1" t="s">
        <v>65</v>
      </c>
      <c r="D2210" s="2">
        <v>39553</v>
      </c>
      <c r="E2210" s="1" t="s">
        <v>4505</v>
      </c>
      <c r="F2210" s="1" t="s">
        <v>13</v>
      </c>
    </row>
    <row r="2211" spans="1:6" ht="30" customHeight="1" x14ac:dyDescent="0.25">
      <c r="A2211" s="1" t="s">
        <v>4506</v>
      </c>
      <c r="B2211" s="1" t="str">
        <f>"9780470750223"</f>
        <v>9780470750223</v>
      </c>
      <c r="C2211" s="1" t="s">
        <v>65</v>
      </c>
      <c r="D2211" s="2">
        <v>39258</v>
      </c>
      <c r="E2211" s="1" t="s">
        <v>4507</v>
      </c>
      <c r="F2211" s="1" t="s">
        <v>13</v>
      </c>
    </row>
    <row r="2212" spans="1:6" ht="30" customHeight="1" x14ac:dyDescent="0.25">
      <c r="A2212" s="1" t="s">
        <v>4508</v>
      </c>
      <c r="B2212" s="1" t="str">
        <f>"9780470723845"</f>
        <v>9780470723845</v>
      </c>
      <c r="C2212" s="1" t="s">
        <v>65</v>
      </c>
      <c r="D2212" s="2">
        <v>39553</v>
      </c>
      <c r="E2212" s="1" t="s">
        <v>4509</v>
      </c>
      <c r="F2212" s="1" t="s">
        <v>13</v>
      </c>
    </row>
    <row r="2213" spans="1:6" ht="30" customHeight="1" x14ac:dyDescent="0.25">
      <c r="A2213" s="1" t="s">
        <v>4510</v>
      </c>
      <c r="B2213" s="1" t="str">
        <f>"9780470691618"</f>
        <v>9780470691618</v>
      </c>
      <c r="C2213" s="1" t="s">
        <v>65</v>
      </c>
      <c r="D2213" s="2">
        <v>39553</v>
      </c>
      <c r="E2213" s="1" t="s">
        <v>4511</v>
      </c>
      <c r="F2213" s="1" t="s">
        <v>13</v>
      </c>
    </row>
    <row r="2214" spans="1:6" ht="30" customHeight="1" x14ac:dyDescent="0.25">
      <c r="A2214" s="1" t="s">
        <v>4512</v>
      </c>
      <c r="B2214" s="1" t="str">
        <f>"9780470691595"</f>
        <v>9780470691595</v>
      </c>
      <c r="C2214" s="1" t="s">
        <v>65</v>
      </c>
      <c r="D2214" s="2">
        <v>39553</v>
      </c>
      <c r="E2214" s="1" t="s">
        <v>4513</v>
      </c>
      <c r="F2214" s="1" t="s">
        <v>13</v>
      </c>
    </row>
    <row r="2215" spans="1:6" ht="30" customHeight="1" x14ac:dyDescent="0.25">
      <c r="A2215" s="1" t="s">
        <v>4514</v>
      </c>
      <c r="B2215" s="1" t="str">
        <f>"9780470693063"</f>
        <v>9780470693063</v>
      </c>
      <c r="C2215" s="1" t="s">
        <v>65</v>
      </c>
      <c r="D2215" s="2">
        <v>39553</v>
      </c>
      <c r="E2215" s="1" t="s">
        <v>4515</v>
      </c>
      <c r="F2215" s="1" t="s">
        <v>13</v>
      </c>
    </row>
    <row r="2216" spans="1:6" ht="30" customHeight="1" x14ac:dyDescent="0.25">
      <c r="A2216" s="1" t="s">
        <v>4516</v>
      </c>
      <c r="B2216" s="1" t="str">
        <f>"9780470753132"</f>
        <v>9780470753132</v>
      </c>
      <c r="C2216" s="1" t="s">
        <v>65</v>
      </c>
      <c r="D2216" s="2">
        <v>39553</v>
      </c>
      <c r="E2216" s="1" t="s">
        <v>4517</v>
      </c>
      <c r="F2216" s="1" t="s">
        <v>13</v>
      </c>
    </row>
    <row r="2217" spans="1:6" ht="30" customHeight="1" x14ac:dyDescent="0.25">
      <c r="A2217" s="1" t="s">
        <v>4518</v>
      </c>
      <c r="B2217" s="1" t="str">
        <f>"9780470777596"</f>
        <v>9780470777596</v>
      </c>
      <c r="C2217" s="1" t="s">
        <v>65</v>
      </c>
      <c r="D2217" s="2">
        <v>39553</v>
      </c>
      <c r="E2217" s="1" t="s">
        <v>4519</v>
      </c>
      <c r="F2217" s="1" t="s">
        <v>13</v>
      </c>
    </row>
    <row r="2218" spans="1:6" ht="30" customHeight="1" x14ac:dyDescent="0.25">
      <c r="A2218" s="1" t="s">
        <v>4520</v>
      </c>
      <c r="B2218" s="1" t="str">
        <f>"9780470753330"</f>
        <v>9780470753330</v>
      </c>
      <c r="C2218" s="1" t="s">
        <v>65</v>
      </c>
      <c r="D2218" s="2">
        <v>39553</v>
      </c>
      <c r="E2218" s="1" t="s">
        <v>4521</v>
      </c>
      <c r="F2218" s="1" t="s">
        <v>13</v>
      </c>
    </row>
    <row r="2219" spans="1:6" ht="30" customHeight="1" x14ac:dyDescent="0.25">
      <c r="A2219" s="1" t="s">
        <v>4522</v>
      </c>
      <c r="B2219" s="1" t="str">
        <f>"9780470760000"</f>
        <v>9780470760000</v>
      </c>
      <c r="C2219" s="1" t="s">
        <v>65</v>
      </c>
      <c r="D2219" s="2">
        <v>39553</v>
      </c>
      <c r="E2219" s="1" t="s">
        <v>4523</v>
      </c>
      <c r="F2219" s="1" t="s">
        <v>13</v>
      </c>
    </row>
    <row r="2220" spans="1:6" ht="30" customHeight="1" x14ac:dyDescent="0.25">
      <c r="A2220" s="1" t="s">
        <v>4524</v>
      </c>
      <c r="B2220" s="1" t="str">
        <f>"9780470862056"</f>
        <v>9780470862056</v>
      </c>
      <c r="C2220" s="1" t="s">
        <v>65</v>
      </c>
      <c r="D2220" s="2">
        <v>39506</v>
      </c>
      <c r="E2220" s="1" t="s">
        <v>4525</v>
      </c>
      <c r="F2220" s="1" t="s">
        <v>13</v>
      </c>
    </row>
    <row r="2221" spans="1:6" ht="30" customHeight="1" x14ac:dyDescent="0.25">
      <c r="A2221" s="1" t="s">
        <v>4526</v>
      </c>
      <c r="B2221" s="1" t="str">
        <f>"9780470756867"</f>
        <v>9780470756867</v>
      </c>
      <c r="C2221" s="1" t="s">
        <v>65</v>
      </c>
      <c r="D2221" s="2">
        <v>39553</v>
      </c>
      <c r="E2221" s="1" t="s">
        <v>4527</v>
      </c>
      <c r="F2221" s="1" t="s">
        <v>13</v>
      </c>
    </row>
    <row r="2222" spans="1:6" ht="30" customHeight="1" x14ac:dyDescent="0.25">
      <c r="A2222" s="1" t="s">
        <v>4528</v>
      </c>
      <c r="B2222" s="1" t="str">
        <f>"9780470987278"</f>
        <v>9780470987278</v>
      </c>
      <c r="C2222" s="1" t="s">
        <v>65</v>
      </c>
      <c r="D2222" s="2">
        <v>39553</v>
      </c>
      <c r="E2222" s="1" t="s">
        <v>4529</v>
      </c>
      <c r="F2222" s="1" t="s">
        <v>30</v>
      </c>
    </row>
    <row r="2223" spans="1:6" ht="30" customHeight="1" x14ac:dyDescent="0.25">
      <c r="A2223" s="1" t="s">
        <v>4530</v>
      </c>
      <c r="B2223" s="1" t="str">
        <f>"9780470986813"</f>
        <v>9780470986813</v>
      </c>
      <c r="C2223" s="1" t="s">
        <v>65</v>
      </c>
      <c r="D2223" s="2">
        <v>39553</v>
      </c>
      <c r="E2223" s="1" t="s">
        <v>4531</v>
      </c>
      <c r="F2223" s="1" t="s">
        <v>13</v>
      </c>
    </row>
    <row r="2224" spans="1:6" ht="30" customHeight="1" x14ac:dyDescent="0.25">
      <c r="A2224" s="1" t="s">
        <v>4532</v>
      </c>
      <c r="B2224" s="1" t="str">
        <f>"9781405137553"</f>
        <v>9781405137553</v>
      </c>
      <c r="C2224" s="1" t="s">
        <v>65</v>
      </c>
      <c r="D2224" s="2">
        <v>38687</v>
      </c>
      <c r="E2224" s="1" t="s">
        <v>4533</v>
      </c>
      <c r="F2224" s="1" t="s">
        <v>13</v>
      </c>
    </row>
    <row r="2225" spans="1:6" ht="30" customHeight="1" x14ac:dyDescent="0.25">
      <c r="A2225" s="1" t="s">
        <v>4534</v>
      </c>
      <c r="B2225" s="1" t="str">
        <f>"9780470777541"</f>
        <v>9780470777541</v>
      </c>
      <c r="C2225" s="1" t="s">
        <v>65</v>
      </c>
      <c r="D2225" s="2">
        <v>39553</v>
      </c>
      <c r="E2225" s="1" t="s">
        <v>4535</v>
      </c>
      <c r="F2225" s="1" t="s">
        <v>13</v>
      </c>
    </row>
    <row r="2226" spans="1:6" ht="30" customHeight="1" x14ac:dyDescent="0.25">
      <c r="A2226" s="1" t="s">
        <v>4536</v>
      </c>
      <c r="B2226" s="1" t="str">
        <f>"9780470724040"</f>
        <v>9780470724040</v>
      </c>
      <c r="C2226" s="1" t="s">
        <v>65</v>
      </c>
      <c r="D2226" s="2">
        <v>39506</v>
      </c>
      <c r="E2226" s="1" t="s">
        <v>4537</v>
      </c>
      <c r="F2226" s="1" t="s">
        <v>13</v>
      </c>
    </row>
    <row r="2227" spans="1:6" ht="30" customHeight="1" x14ac:dyDescent="0.25">
      <c r="A2227" s="1" t="s">
        <v>4538</v>
      </c>
      <c r="B2227" s="1" t="str">
        <f>"9780470777565"</f>
        <v>9780470777565</v>
      </c>
      <c r="C2227" s="1" t="s">
        <v>65</v>
      </c>
      <c r="D2227" s="2">
        <v>42410</v>
      </c>
      <c r="E2227" s="1" t="s">
        <v>4539</v>
      </c>
      <c r="F2227" s="1" t="s">
        <v>95</v>
      </c>
    </row>
    <row r="2228" spans="1:6" ht="30" customHeight="1" x14ac:dyDescent="0.25">
      <c r="A2228" s="1" t="s">
        <v>4540</v>
      </c>
      <c r="B2228" s="1" t="str">
        <f>"9780470750247"</f>
        <v>9780470750247</v>
      </c>
      <c r="C2228" s="1" t="s">
        <v>65</v>
      </c>
      <c r="D2228" s="2">
        <v>39553</v>
      </c>
      <c r="E2228" s="1" t="s">
        <v>4541</v>
      </c>
      <c r="F2228" s="1" t="s">
        <v>13</v>
      </c>
    </row>
    <row r="2229" spans="1:6" ht="30" customHeight="1" x14ac:dyDescent="0.25">
      <c r="A2229" s="1" t="s">
        <v>4542</v>
      </c>
      <c r="B2229" s="1" t="str">
        <f>"9780470691113"</f>
        <v>9780470691113</v>
      </c>
      <c r="C2229" s="1" t="s">
        <v>65</v>
      </c>
      <c r="D2229" s="2">
        <v>39553</v>
      </c>
      <c r="E2229" s="1" t="s">
        <v>4543</v>
      </c>
      <c r="F2229" s="1" t="s">
        <v>13</v>
      </c>
    </row>
    <row r="2230" spans="1:6" ht="30" customHeight="1" x14ac:dyDescent="0.25">
      <c r="A2230" s="1" t="s">
        <v>4544</v>
      </c>
      <c r="B2230" s="1" t="str">
        <f>"9780470755174"</f>
        <v>9780470755174</v>
      </c>
      <c r="C2230" s="1" t="s">
        <v>65</v>
      </c>
      <c r="D2230" s="2">
        <v>39553</v>
      </c>
      <c r="E2230" s="1" t="s">
        <v>4545</v>
      </c>
      <c r="F2230" s="1" t="s">
        <v>13</v>
      </c>
    </row>
    <row r="2231" spans="1:6" ht="30" customHeight="1" x14ac:dyDescent="0.25">
      <c r="A2231" s="1" t="s">
        <v>4546</v>
      </c>
      <c r="B2231" s="1" t="str">
        <f>"9780470757284"</f>
        <v>9780470757284</v>
      </c>
      <c r="C2231" s="1" t="s">
        <v>65</v>
      </c>
      <c r="D2231" s="2">
        <v>39553</v>
      </c>
      <c r="E2231" s="1" t="s">
        <v>4547</v>
      </c>
      <c r="F2231" s="1" t="s">
        <v>158</v>
      </c>
    </row>
    <row r="2232" spans="1:6" ht="30" customHeight="1" x14ac:dyDescent="0.25">
      <c r="A2232" s="1" t="s">
        <v>4548</v>
      </c>
      <c r="B2232" s="1" t="str">
        <f>"9780470994092"</f>
        <v>9780470994092</v>
      </c>
      <c r="C2232" s="1" t="s">
        <v>65</v>
      </c>
      <c r="D2232" s="2">
        <v>39553</v>
      </c>
      <c r="E2232" s="1" t="s">
        <v>4549</v>
      </c>
      <c r="F2232" s="1" t="s">
        <v>13</v>
      </c>
    </row>
    <row r="2233" spans="1:6" ht="30" customHeight="1" x14ac:dyDescent="0.25">
      <c r="A2233" s="1" t="s">
        <v>4550</v>
      </c>
      <c r="B2233" s="1" t="str">
        <f>"9780470757918"</f>
        <v>9780470757918</v>
      </c>
      <c r="C2233" s="1" t="s">
        <v>65</v>
      </c>
      <c r="D2233" s="2">
        <v>39553</v>
      </c>
      <c r="E2233" s="1" t="s">
        <v>4551</v>
      </c>
      <c r="F2233" s="1" t="s">
        <v>148</v>
      </c>
    </row>
    <row r="2234" spans="1:6" ht="30" customHeight="1" x14ac:dyDescent="0.25">
      <c r="A2234" s="1" t="s">
        <v>4552</v>
      </c>
      <c r="B2234" s="1" t="str">
        <f>"9780470752869"</f>
        <v>9780470752869</v>
      </c>
      <c r="C2234" s="1" t="s">
        <v>65</v>
      </c>
      <c r="D2234" s="2">
        <v>39553</v>
      </c>
      <c r="E2234" s="1" t="s">
        <v>4553</v>
      </c>
      <c r="F2234" s="1" t="s">
        <v>13</v>
      </c>
    </row>
    <row r="2235" spans="1:6" ht="30" customHeight="1" x14ac:dyDescent="0.25">
      <c r="A2235" s="1" t="s">
        <v>4554</v>
      </c>
      <c r="B2235" s="1" t="str">
        <f>"9780470987285"</f>
        <v>9780470987285</v>
      </c>
      <c r="C2235" s="1" t="s">
        <v>65</v>
      </c>
      <c r="D2235" s="2">
        <v>38685</v>
      </c>
      <c r="E2235" s="1" t="s">
        <v>4555</v>
      </c>
      <c r="F2235" s="1" t="s">
        <v>13</v>
      </c>
    </row>
    <row r="2236" spans="1:6" ht="30" customHeight="1" x14ac:dyDescent="0.25">
      <c r="A2236" s="1" t="s">
        <v>4556</v>
      </c>
      <c r="B2236" s="1" t="str">
        <f>"9780470750315"</f>
        <v>9780470750315</v>
      </c>
      <c r="C2236" s="1" t="s">
        <v>65</v>
      </c>
      <c r="D2236" s="2">
        <v>39553</v>
      </c>
      <c r="E2236" s="1" t="s">
        <v>4557</v>
      </c>
      <c r="F2236" s="1" t="s">
        <v>13</v>
      </c>
    </row>
    <row r="2237" spans="1:6" ht="30" customHeight="1" x14ac:dyDescent="0.25">
      <c r="A2237" s="1" t="s">
        <v>4558</v>
      </c>
      <c r="B2237" s="1" t="str">
        <f>"9780470994047"</f>
        <v>9780470994047</v>
      </c>
      <c r="C2237" s="1" t="s">
        <v>65</v>
      </c>
      <c r="D2237" s="2">
        <v>37848</v>
      </c>
      <c r="E2237" s="1" t="s">
        <v>4559</v>
      </c>
      <c r="F2237" s="1" t="s">
        <v>13</v>
      </c>
    </row>
    <row r="2238" spans="1:6" ht="30" customHeight="1" x14ac:dyDescent="0.25">
      <c r="A2238" s="1" t="s">
        <v>4560</v>
      </c>
      <c r="B2238" s="1" t="str">
        <f>"9780470691526"</f>
        <v>9780470691526</v>
      </c>
      <c r="C2238" s="1" t="s">
        <v>65</v>
      </c>
      <c r="D2238" s="2">
        <v>39553</v>
      </c>
      <c r="E2238" s="1" t="s">
        <v>4561</v>
      </c>
      <c r="F2238" s="1" t="s">
        <v>13</v>
      </c>
    </row>
    <row r="2239" spans="1:6" ht="30" customHeight="1" x14ac:dyDescent="0.25">
      <c r="A2239" s="1" t="s">
        <v>4562</v>
      </c>
      <c r="B2239" s="1" t="str">
        <f>"9780470680322"</f>
        <v>9780470680322</v>
      </c>
      <c r="C2239" s="1" t="s">
        <v>65</v>
      </c>
      <c r="D2239" s="2">
        <v>39553</v>
      </c>
      <c r="E2239" s="1" t="s">
        <v>4563</v>
      </c>
      <c r="F2239" s="1" t="s">
        <v>158</v>
      </c>
    </row>
    <row r="2240" spans="1:6" ht="30" customHeight="1" x14ac:dyDescent="0.25">
      <c r="A2240" s="1" t="s">
        <v>4564</v>
      </c>
      <c r="B2240" s="1" t="str">
        <f>"9780470994214"</f>
        <v>9780470994214</v>
      </c>
      <c r="C2240" s="1" t="s">
        <v>65</v>
      </c>
      <c r="D2240" s="2">
        <v>39553</v>
      </c>
      <c r="E2240" s="1" t="s">
        <v>4565</v>
      </c>
      <c r="F2240" s="1" t="s">
        <v>13</v>
      </c>
    </row>
    <row r="2241" spans="1:6" ht="30" customHeight="1" x14ac:dyDescent="0.25">
      <c r="A2241" s="1" t="s">
        <v>4566</v>
      </c>
      <c r="B2241" s="1" t="str">
        <f>"9780470994696"</f>
        <v>9780470994696</v>
      </c>
      <c r="C2241" s="1" t="s">
        <v>65</v>
      </c>
      <c r="D2241" s="2">
        <v>39553</v>
      </c>
      <c r="E2241" s="1" t="s">
        <v>4567</v>
      </c>
      <c r="F2241" s="1" t="s">
        <v>13</v>
      </c>
    </row>
    <row r="2242" spans="1:6" ht="30" customHeight="1" x14ac:dyDescent="0.25">
      <c r="A2242" s="1" t="s">
        <v>4568</v>
      </c>
      <c r="B2242" s="1" t="str">
        <f>"9780470691458"</f>
        <v>9780470691458</v>
      </c>
      <c r="C2242" s="1" t="s">
        <v>65</v>
      </c>
      <c r="D2242" s="2">
        <v>39553</v>
      </c>
      <c r="E2242" s="1" t="s">
        <v>4569</v>
      </c>
      <c r="F2242" s="1" t="s">
        <v>176</v>
      </c>
    </row>
    <row r="2243" spans="1:6" ht="30" customHeight="1" x14ac:dyDescent="0.25">
      <c r="A2243" s="1" t="s">
        <v>4570</v>
      </c>
      <c r="B2243" s="1" t="str">
        <f>"9780470999561"</f>
        <v>9780470999561</v>
      </c>
      <c r="C2243" s="1" t="s">
        <v>65</v>
      </c>
      <c r="D2243" s="2">
        <v>36770</v>
      </c>
      <c r="E2243" s="1" t="s">
        <v>4571</v>
      </c>
      <c r="F2243" s="1" t="s">
        <v>30</v>
      </c>
    </row>
    <row r="2244" spans="1:6" ht="30" customHeight="1" x14ac:dyDescent="0.25">
      <c r="A2244" s="1" t="s">
        <v>4572</v>
      </c>
      <c r="B2244" s="1" t="str">
        <f>"9780470994238"</f>
        <v>9780470994238</v>
      </c>
      <c r="C2244" s="1" t="s">
        <v>65</v>
      </c>
      <c r="D2244" s="2">
        <v>39553</v>
      </c>
      <c r="E2244" s="1" t="s">
        <v>995</v>
      </c>
      <c r="F2244" s="1" t="s">
        <v>13</v>
      </c>
    </row>
    <row r="2245" spans="1:6" ht="30" customHeight="1" x14ac:dyDescent="0.25">
      <c r="A2245" s="1" t="s">
        <v>4573</v>
      </c>
      <c r="B2245" s="1" t="str">
        <f>"9780470994948"</f>
        <v>9780470994948</v>
      </c>
      <c r="C2245" s="1" t="s">
        <v>65</v>
      </c>
      <c r="D2245" s="2">
        <v>39553</v>
      </c>
      <c r="E2245" s="1" t="s">
        <v>4574</v>
      </c>
      <c r="F2245" s="1" t="s">
        <v>13</v>
      </c>
    </row>
    <row r="2246" spans="1:6" ht="30" customHeight="1" x14ac:dyDescent="0.25">
      <c r="A2246" s="1" t="s">
        <v>4575</v>
      </c>
      <c r="B2246" s="1" t="str">
        <f>"9781405141031"</f>
        <v>9781405141031</v>
      </c>
      <c r="C2246" s="1" t="s">
        <v>65</v>
      </c>
      <c r="D2246" s="2">
        <v>39553</v>
      </c>
      <c r="E2246" s="1" t="s">
        <v>4576</v>
      </c>
      <c r="F2246" s="1" t="s">
        <v>4577</v>
      </c>
    </row>
    <row r="2247" spans="1:6" ht="30" customHeight="1" x14ac:dyDescent="0.25">
      <c r="A2247" s="1" t="s">
        <v>4578</v>
      </c>
      <c r="B2247" s="1" t="str">
        <f>"9780470757239"</f>
        <v>9780470757239</v>
      </c>
      <c r="C2247" s="1" t="s">
        <v>65</v>
      </c>
      <c r="D2247" s="2">
        <v>39553</v>
      </c>
      <c r="E2247" s="1" t="s">
        <v>4579</v>
      </c>
      <c r="F2247" s="1" t="s">
        <v>13</v>
      </c>
    </row>
    <row r="2248" spans="1:6" ht="30" customHeight="1" x14ac:dyDescent="0.25">
      <c r="A2248" s="1" t="s">
        <v>4580</v>
      </c>
      <c r="B2248" s="1" t="str">
        <f>"9780470757246"</f>
        <v>9780470757246</v>
      </c>
      <c r="C2248" s="1" t="s">
        <v>65</v>
      </c>
      <c r="D2248" s="2">
        <v>39553</v>
      </c>
      <c r="E2248" s="1" t="s">
        <v>4581</v>
      </c>
      <c r="F2248" s="1" t="s">
        <v>13</v>
      </c>
    </row>
    <row r="2249" spans="1:6" ht="30" customHeight="1" x14ac:dyDescent="0.25">
      <c r="A2249" s="1" t="s">
        <v>4582</v>
      </c>
      <c r="B2249" s="1" t="str">
        <f>"9780470778005"</f>
        <v>9780470778005</v>
      </c>
      <c r="C2249" s="1" t="s">
        <v>65</v>
      </c>
      <c r="D2249" s="2">
        <v>39553</v>
      </c>
      <c r="E2249" s="1" t="s">
        <v>4583</v>
      </c>
      <c r="F2249" s="1" t="s">
        <v>13</v>
      </c>
    </row>
    <row r="2250" spans="1:6" ht="30" customHeight="1" x14ac:dyDescent="0.25">
      <c r="A2250" s="1" t="s">
        <v>4584</v>
      </c>
      <c r="B2250" s="1" t="str">
        <f>"9780470777558"</f>
        <v>9780470777558</v>
      </c>
      <c r="C2250" s="1" t="s">
        <v>65</v>
      </c>
      <c r="D2250" s="2">
        <v>39553</v>
      </c>
      <c r="E2250" s="1" t="s">
        <v>4585</v>
      </c>
      <c r="F2250" s="1" t="s">
        <v>95</v>
      </c>
    </row>
    <row r="2251" spans="1:6" ht="30" customHeight="1" x14ac:dyDescent="0.25">
      <c r="A2251" s="1" t="s">
        <v>4586</v>
      </c>
      <c r="B2251" s="1" t="str">
        <f>"9780470777152"</f>
        <v>9780470777152</v>
      </c>
      <c r="C2251" s="1" t="s">
        <v>65</v>
      </c>
      <c r="D2251" s="2">
        <v>39553</v>
      </c>
      <c r="E2251" s="1" t="s">
        <v>4587</v>
      </c>
      <c r="F2251" s="1" t="s">
        <v>13</v>
      </c>
    </row>
    <row r="2252" spans="1:6" ht="30" customHeight="1" x14ac:dyDescent="0.25">
      <c r="A2252" s="1" t="s">
        <v>4588</v>
      </c>
      <c r="B2252" s="1" t="str">
        <f>"9780470777695"</f>
        <v>9780470777695</v>
      </c>
      <c r="C2252" s="1" t="s">
        <v>65</v>
      </c>
      <c r="D2252" s="2">
        <v>39553</v>
      </c>
      <c r="E2252" s="1" t="s">
        <v>4589</v>
      </c>
      <c r="F2252" s="1" t="s">
        <v>176</v>
      </c>
    </row>
    <row r="2253" spans="1:6" ht="30" customHeight="1" x14ac:dyDescent="0.25">
      <c r="A2253" s="1" t="s">
        <v>4590</v>
      </c>
      <c r="B2253" s="1" t="str">
        <f>"9780470680186"</f>
        <v>9780470680186</v>
      </c>
      <c r="C2253" s="1" t="s">
        <v>65</v>
      </c>
      <c r="D2253" s="2">
        <v>39553</v>
      </c>
      <c r="E2253" s="1" t="s">
        <v>4591</v>
      </c>
      <c r="F2253" s="1" t="s">
        <v>2229</v>
      </c>
    </row>
    <row r="2254" spans="1:6" ht="30" customHeight="1" x14ac:dyDescent="0.25">
      <c r="A2254" s="1" t="s">
        <v>4592</v>
      </c>
      <c r="B2254" s="1" t="str">
        <f>"9780470691434"</f>
        <v>9780470691434</v>
      </c>
      <c r="C2254" s="1" t="s">
        <v>65</v>
      </c>
      <c r="D2254" s="2">
        <v>39553</v>
      </c>
      <c r="E2254" s="1" t="s">
        <v>4593</v>
      </c>
      <c r="F2254" s="1" t="s">
        <v>13</v>
      </c>
    </row>
    <row r="2255" spans="1:6" ht="30" customHeight="1" x14ac:dyDescent="0.25">
      <c r="A2255" s="1" t="s">
        <v>4594</v>
      </c>
      <c r="B2255" s="1" t="str">
        <f>"9780470757390"</f>
        <v>9780470757390</v>
      </c>
      <c r="C2255" s="1" t="s">
        <v>11</v>
      </c>
      <c r="D2255" s="2">
        <v>39553</v>
      </c>
      <c r="E2255" s="1" t="s">
        <v>4595</v>
      </c>
      <c r="F2255" s="1" t="s">
        <v>30</v>
      </c>
    </row>
    <row r="2256" spans="1:6" ht="30" customHeight="1" x14ac:dyDescent="0.25">
      <c r="A2256" s="1" t="s">
        <v>4596</v>
      </c>
      <c r="B2256" s="1" t="str">
        <f>"9780470518168"</f>
        <v>9780470518168</v>
      </c>
      <c r="C2256" s="1" t="s">
        <v>65</v>
      </c>
      <c r="D2256" s="2">
        <v>39553</v>
      </c>
      <c r="E2256" s="1" t="s">
        <v>4597</v>
      </c>
      <c r="F2256" s="1" t="s">
        <v>13</v>
      </c>
    </row>
    <row r="2257" spans="1:6" ht="30" customHeight="1" x14ac:dyDescent="0.25">
      <c r="A2257" s="1" t="s">
        <v>4598</v>
      </c>
      <c r="B2257" s="1" t="str">
        <f>"9780470750308"</f>
        <v>9780470750308</v>
      </c>
      <c r="C2257" s="1" t="s">
        <v>65</v>
      </c>
      <c r="D2257" s="2">
        <v>39553</v>
      </c>
      <c r="E2257" s="1" t="s">
        <v>4599</v>
      </c>
      <c r="F2257" s="1" t="s">
        <v>13</v>
      </c>
    </row>
    <row r="2258" spans="1:6" ht="30" customHeight="1" x14ac:dyDescent="0.25">
      <c r="A2258" s="1" t="s">
        <v>4600</v>
      </c>
      <c r="B2258" s="1" t="str">
        <f>"9780470757413"</f>
        <v>9780470757413</v>
      </c>
      <c r="C2258" s="1" t="s">
        <v>65</v>
      </c>
      <c r="D2258" s="2">
        <v>37610</v>
      </c>
      <c r="E2258" s="1" t="s">
        <v>4601</v>
      </c>
      <c r="F2258" s="1" t="s">
        <v>13</v>
      </c>
    </row>
    <row r="2259" spans="1:6" ht="30" customHeight="1" x14ac:dyDescent="0.25">
      <c r="A2259" s="1" t="s">
        <v>4602</v>
      </c>
      <c r="B2259" s="1" t="str">
        <f>"9780470751534"</f>
        <v>9780470751534</v>
      </c>
      <c r="C2259" s="1" t="s">
        <v>65</v>
      </c>
      <c r="D2259" s="2">
        <v>39553</v>
      </c>
      <c r="E2259" s="1" t="s">
        <v>4603</v>
      </c>
      <c r="F2259" s="1" t="s">
        <v>13</v>
      </c>
    </row>
    <row r="2260" spans="1:6" ht="30" customHeight="1" x14ac:dyDescent="0.25">
      <c r="A2260" s="1" t="s">
        <v>4604</v>
      </c>
      <c r="B2260" s="1" t="str">
        <f>"9780470755204"</f>
        <v>9780470755204</v>
      </c>
      <c r="C2260" s="1" t="s">
        <v>65</v>
      </c>
      <c r="D2260" s="2">
        <v>39553</v>
      </c>
      <c r="E2260" s="1" t="s">
        <v>4605</v>
      </c>
      <c r="F2260" s="1" t="s">
        <v>13</v>
      </c>
    </row>
    <row r="2261" spans="1:6" ht="30" customHeight="1" x14ac:dyDescent="0.25">
      <c r="A2261" s="1" t="s">
        <v>4606</v>
      </c>
      <c r="B2261" s="1" t="str">
        <f>"9780470724446"</f>
        <v>9780470724446</v>
      </c>
      <c r="C2261" s="1" t="s">
        <v>65</v>
      </c>
      <c r="D2261" s="2">
        <v>39553</v>
      </c>
      <c r="E2261" s="1" t="s">
        <v>4607</v>
      </c>
      <c r="F2261" s="1" t="s">
        <v>33</v>
      </c>
    </row>
    <row r="2262" spans="1:6" ht="30" customHeight="1" x14ac:dyDescent="0.25">
      <c r="A2262" s="1" t="s">
        <v>4608</v>
      </c>
      <c r="B2262" s="1" t="str">
        <f>"9780470691519"</f>
        <v>9780470691519</v>
      </c>
      <c r="C2262" s="1" t="s">
        <v>65</v>
      </c>
      <c r="D2262" s="2">
        <v>39553</v>
      </c>
      <c r="E2262" s="1" t="s">
        <v>4609</v>
      </c>
      <c r="F2262" s="1" t="s">
        <v>13</v>
      </c>
    </row>
    <row r="2263" spans="1:6" ht="30" customHeight="1" x14ac:dyDescent="0.25">
      <c r="A2263" s="1" t="s">
        <v>4610</v>
      </c>
      <c r="B2263" s="1" t="str">
        <f>"9780470680261"</f>
        <v>9780470680261</v>
      </c>
      <c r="C2263" s="1" t="s">
        <v>65</v>
      </c>
      <c r="D2263" s="2">
        <v>39553</v>
      </c>
      <c r="E2263" s="1" t="s">
        <v>4611</v>
      </c>
      <c r="F2263" s="1" t="s">
        <v>126</v>
      </c>
    </row>
    <row r="2264" spans="1:6" ht="30" customHeight="1" x14ac:dyDescent="0.25">
      <c r="A2264" s="1" t="s">
        <v>4612</v>
      </c>
      <c r="B2264" s="1" t="str">
        <f>"9780470777978"</f>
        <v>9780470777978</v>
      </c>
      <c r="C2264" s="1" t="s">
        <v>65</v>
      </c>
      <c r="D2264" s="2">
        <v>39553</v>
      </c>
      <c r="E2264" s="1" t="s">
        <v>4613</v>
      </c>
      <c r="F2264" s="1" t="s">
        <v>13</v>
      </c>
    </row>
    <row r="2265" spans="1:6" ht="30" customHeight="1" x14ac:dyDescent="0.25">
      <c r="A2265" s="1" t="s">
        <v>4614</v>
      </c>
      <c r="B2265" s="1" t="str">
        <f>"9780470986851"</f>
        <v>9780470986851</v>
      </c>
      <c r="C2265" s="1" t="s">
        <v>65</v>
      </c>
      <c r="D2265" s="2">
        <v>39553</v>
      </c>
      <c r="E2265" s="1" t="s">
        <v>4615</v>
      </c>
      <c r="F2265" s="1" t="s">
        <v>137</v>
      </c>
    </row>
    <row r="2266" spans="1:6" ht="30" customHeight="1" x14ac:dyDescent="0.25">
      <c r="A2266" s="1" t="s">
        <v>4616</v>
      </c>
      <c r="B2266" s="1" t="str">
        <f>"9780470752739"</f>
        <v>9780470752739</v>
      </c>
      <c r="C2266" s="1" t="s">
        <v>65</v>
      </c>
      <c r="D2266" s="2">
        <v>38611</v>
      </c>
      <c r="E2266" s="1" t="s">
        <v>4617</v>
      </c>
      <c r="F2266" s="1" t="s">
        <v>13</v>
      </c>
    </row>
    <row r="2267" spans="1:6" ht="30" customHeight="1" x14ac:dyDescent="0.25">
      <c r="A2267" s="1" t="s">
        <v>4618</v>
      </c>
      <c r="B2267" s="1" t="str">
        <f>"9780470693094"</f>
        <v>9780470693094</v>
      </c>
      <c r="C2267" s="1" t="s">
        <v>65</v>
      </c>
      <c r="D2267" s="2">
        <v>39553</v>
      </c>
      <c r="E2267" s="1" t="s">
        <v>4619</v>
      </c>
      <c r="F2267" s="1" t="s">
        <v>13</v>
      </c>
    </row>
    <row r="2268" spans="1:6" ht="30" customHeight="1" x14ac:dyDescent="0.25">
      <c r="A2268" s="1" t="s">
        <v>4620</v>
      </c>
      <c r="B2268" s="1" t="str">
        <f>"9780470750353"</f>
        <v>9780470750353</v>
      </c>
      <c r="C2268" s="1" t="s">
        <v>65</v>
      </c>
      <c r="D2268" s="2">
        <v>39553</v>
      </c>
      <c r="E2268" s="1" t="s">
        <v>4621</v>
      </c>
      <c r="F2268" s="1" t="s">
        <v>137</v>
      </c>
    </row>
    <row r="2269" spans="1:6" ht="30" customHeight="1" x14ac:dyDescent="0.25">
      <c r="A2269" s="1" t="s">
        <v>4622</v>
      </c>
      <c r="B2269" s="1" t="str">
        <f>"9780470994207"</f>
        <v>9780470994207</v>
      </c>
      <c r="C2269" s="1" t="s">
        <v>65</v>
      </c>
      <c r="D2269" s="2">
        <v>39553</v>
      </c>
      <c r="E2269" s="1" t="s">
        <v>4623</v>
      </c>
      <c r="F2269" s="1" t="s">
        <v>13</v>
      </c>
    </row>
    <row r="2270" spans="1:6" ht="30" customHeight="1" x14ac:dyDescent="0.25">
      <c r="A2270" s="1" t="s">
        <v>4624</v>
      </c>
      <c r="B2270" s="1" t="str">
        <f>"9780470691397"</f>
        <v>9780470691397</v>
      </c>
      <c r="C2270" s="1" t="s">
        <v>65</v>
      </c>
      <c r="D2270" s="2">
        <v>39553</v>
      </c>
      <c r="E2270" s="1" t="s">
        <v>4625</v>
      </c>
      <c r="F2270" s="1" t="s">
        <v>13</v>
      </c>
    </row>
    <row r="2271" spans="1:6" ht="30" customHeight="1" x14ac:dyDescent="0.25">
      <c r="A2271" s="1" t="s">
        <v>4626</v>
      </c>
      <c r="B2271" s="1" t="str">
        <f>"9780470680346"</f>
        <v>9780470680346</v>
      </c>
      <c r="C2271" s="1" t="s">
        <v>65</v>
      </c>
      <c r="D2271" s="2">
        <v>39553</v>
      </c>
      <c r="E2271" s="1" t="s">
        <v>4627</v>
      </c>
      <c r="F2271" s="1" t="s">
        <v>4628</v>
      </c>
    </row>
    <row r="2272" spans="1:6" ht="30" customHeight="1" x14ac:dyDescent="0.25">
      <c r="A2272" s="1" t="s">
        <v>4629</v>
      </c>
      <c r="B2272" s="1" t="str">
        <f>"9780470693018"</f>
        <v>9780470693018</v>
      </c>
      <c r="C2272" s="1" t="s">
        <v>65</v>
      </c>
      <c r="D2272" s="2">
        <v>39553</v>
      </c>
      <c r="E2272" s="1" t="s">
        <v>4630</v>
      </c>
      <c r="F2272" s="1" t="s">
        <v>349</v>
      </c>
    </row>
    <row r="2273" spans="1:6" ht="30" customHeight="1" x14ac:dyDescent="0.25">
      <c r="A2273" s="1" t="s">
        <v>4631</v>
      </c>
      <c r="B2273" s="1" t="str">
        <f>"9780470759912"</f>
        <v>9780470759912</v>
      </c>
      <c r="C2273" s="1" t="s">
        <v>65</v>
      </c>
      <c r="D2273" s="2">
        <v>39553</v>
      </c>
      <c r="E2273" s="1" t="s">
        <v>4632</v>
      </c>
      <c r="F2273" s="1" t="s">
        <v>13</v>
      </c>
    </row>
    <row r="2274" spans="1:6" ht="30" customHeight="1" x14ac:dyDescent="0.25">
      <c r="A2274" s="1" t="s">
        <v>4633</v>
      </c>
      <c r="B2274" s="1" t="str">
        <f>"9780470691496"</f>
        <v>9780470691496</v>
      </c>
      <c r="C2274" s="1" t="s">
        <v>65</v>
      </c>
      <c r="D2274" s="2">
        <v>39553</v>
      </c>
      <c r="E2274" s="1" t="s">
        <v>4634</v>
      </c>
      <c r="F2274" s="1" t="s">
        <v>13</v>
      </c>
    </row>
    <row r="2275" spans="1:6" ht="30" customHeight="1" x14ac:dyDescent="0.25">
      <c r="A2275" s="1" t="s">
        <v>4635</v>
      </c>
      <c r="B2275" s="1" t="str">
        <f>"9780470777749"</f>
        <v>9780470777749</v>
      </c>
      <c r="C2275" s="1" t="s">
        <v>65</v>
      </c>
      <c r="D2275" s="2">
        <v>39553</v>
      </c>
      <c r="E2275" s="1" t="s">
        <v>4636</v>
      </c>
      <c r="F2275" s="1" t="s">
        <v>13</v>
      </c>
    </row>
    <row r="2276" spans="1:6" ht="30" customHeight="1" x14ac:dyDescent="0.25">
      <c r="A2276" s="1" t="s">
        <v>4637</v>
      </c>
      <c r="B2276" s="1" t="str">
        <f>"9780470750346"</f>
        <v>9780470750346</v>
      </c>
      <c r="C2276" s="1" t="s">
        <v>65</v>
      </c>
      <c r="D2276" s="2">
        <v>39553</v>
      </c>
      <c r="E2276" s="1" t="s">
        <v>4638</v>
      </c>
      <c r="F2276" s="1" t="s">
        <v>13</v>
      </c>
    </row>
    <row r="2277" spans="1:6" ht="30" customHeight="1" x14ac:dyDescent="0.25">
      <c r="A2277" s="1" t="s">
        <v>4639</v>
      </c>
      <c r="B2277" s="1" t="str">
        <f>"9780470985830"</f>
        <v>9780470985830</v>
      </c>
      <c r="C2277" s="1" t="s">
        <v>65</v>
      </c>
      <c r="D2277" s="2">
        <v>39553</v>
      </c>
      <c r="E2277" s="1" t="s">
        <v>4640</v>
      </c>
      <c r="F2277" s="1" t="s">
        <v>362</v>
      </c>
    </row>
    <row r="2278" spans="1:6" ht="30" customHeight="1" x14ac:dyDescent="0.25">
      <c r="A2278" s="1" t="s">
        <v>4641</v>
      </c>
      <c r="B2278" s="1" t="str">
        <f>"9780470760031"</f>
        <v>9780470760031</v>
      </c>
      <c r="C2278" s="1" t="s">
        <v>65</v>
      </c>
      <c r="D2278" s="2">
        <v>39553</v>
      </c>
      <c r="E2278" s="1" t="s">
        <v>4642</v>
      </c>
      <c r="F2278" s="1" t="s">
        <v>13</v>
      </c>
    </row>
    <row r="2279" spans="1:6" ht="30" customHeight="1" x14ac:dyDescent="0.25">
      <c r="A2279" s="1" t="s">
        <v>4643</v>
      </c>
      <c r="B2279" s="1" t="str">
        <f>"9780470680377"</f>
        <v>9780470680377</v>
      </c>
      <c r="C2279" s="1" t="s">
        <v>65</v>
      </c>
      <c r="D2279" s="2">
        <v>39553</v>
      </c>
      <c r="E2279" s="1" t="s">
        <v>4644</v>
      </c>
      <c r="F2279" s="1" t="s">
        <v>3261</v>
      </c>
    </row>
    <row r="2280" spans="1:6" ht="30" customHeight="1" x14ac:dyDescent="0.25">
      <c r="A2280" s="1" t="s">
        <v>4645</v>
      </c>
      <c r="B2280" s="1" t="str">
        <f>"9780470756911"</f>
        <v>9780470756911</v>
      </c>
      <c r="C2280" s="1" t="s">
        <v>65</v>
      </c>
      <c r="D2280" s="2">
        <v>39553</v>
      </c>
      <c r="E2280" s="1" t="s">
        <v>4646</v>
      </c>
      <c r="F2280" s="1" t="s">
        <v>13</v>
      </c>
    </row>
    <row r="2281" spans="1:6" ht="30" customHeight="1" x14ac:dyDescent="0.25">
      <c r="A2281" s="1" t="s">
        <v>4647</v>
      </c>
      <c r="B2281" s="1" t="str">
        <f>"9780470994139"</f>
        <v>9780470994139</v>
      </c>
      <c r="C2281" s="1" t="s">
        <v>65</v>
      </c>
      <c r="D2281" s="2">
        <v>36900</v>
      </c>
      <c r="E2281" s="1" t="s">
        <v>4648</v>
      </c>
      <c r="F2281" s="1" t="s">
        <v>475</v>
      </c>
    </row>
    <row r="2282" spans="1:6" ht="30" customHeight="1" x14ac:dyDescent="0.25">
      <c r="A2282" s="1" t="s">
        <v>4649</v>
      </c>
      <c r="B2282" s="1" t="str">
        <f>"9780470759851"</f>
        <v>9780470759851</v>
      </c>
      <c r="C2282" s="1" t="s">
        <v>65</v>
      </c>
      <c r="D2282" s="2">
        <v>39553</v>
      </c>
      <c r="E2282" s="1" t="s">
        <v>4650</v>
      </c>
      <c r="F2282" s="1" t="s">
        <v>13</v>
      </c>
    </row>
    <row r="2283" spans="1:6" ht="30" customHeight="1" x14ac:dyDescent="0.25">
      <c r="A2283" s="1" t="s">
        <v>4651</v>
      </c>
      <c r="B2283" s="1" t="str">
        <f>"9780470759882"</f>
        <v>9780470759882</v>
      </c>
      <c r="C2283" s="1" t="s">
        <v>65</v>
      </c>
      <c r="D2283" s="2">
        <v>39553</v>
      </c>
      <c r="E2283" s="1" t="s">
        <v>4652</v>
      </c>
      <c r="F2283" s="1" t="s">
        <v>13</v>
      </c>
    </row>
    <row r="2284" spans="1:6" ht="30" customHeight="1" x14ac:dyDescent="0.25">
      <c r="A2284" s="1" t="s">
        <v>4653</v>
      </c>
      <c r="B2284" s="1" t="str">
        <f>"9780470757482"</f>
        <v>9780470757482</v>
      </c>
      <c r="C2284" s="1" t="s">
        <v>65</v>
      </c>
      <c r="D2284" s="2">
        <v>39055</v>
      </c>
      <c r="E2284" s="1" t="s">
        <v>4654</v>
      </c>
      <c r="F2284" s="1" t="s">
        <v>4655</v>
      </c>
    </row>
    <row r="2285" spans="1:6" ht="30" customHeight="1" x14ac:dyDescent="0.25">
      <c r="A2285" s="1" t="s">
        <v>4656</v>
      </c>
      <c r="B2285" s="1" t="str">
        <f>"9780470994962"</f>
        <v>9780470994962</v>
      </c>
      <c r="C2285" s="1" t="s">
        <v>65</v>
      </c>
      <c r="D2285" s="2">
        <v>39553</v>
      </c>
      <c r="E2285" s="1" t="s">
        <v>4657</v>
      </c>
      <c r="F2285" s="1" t="s">
        <v>13</v>
      </c>
    </row>
    <row r="2286" spans="1:6" ht="30" customHeight="1" x14ac:dyDescent="0.25">
      <c r="A2286" s="1" t="s">
        <v>4658</v>
      </c>
      <c r="B2286" s="1" t="str">
        <f>"9780470987315"</f>
        <v>9780470987315</v>
      </c>
      <c r="C2286" s="1" t="s">
        <v>65</v>
      </c>
      <c r="D2286" s="2">
        <v>39553</v>
      </c>
      <c r="E2286" s="1" t="s">
        <v>4659</v>
      </c>
      <c r="F2286" s="1" t="s">
        <v>13</v>
      </c>
    </row>
    <row r="2287" spans="1:6" ht="30" customHeight="1" x14ac:dyDescent="0.25">
      <c r="A2287" s="1" t="s">
        <v>4660</v>
      </c>
      <c r="B2287" s="1" t="str">
        <f>"9780470777602"</f>
        <v>9780470777602</v>
      </c>
      <c r="C2287" s="1" t="s">
        <v>65</v>
      </c>
      <c r="D2287" s="2">
        <v>39553</v>
      </c>
      <c r="E2287" s="1" t="s">
        <v>4661</v>
      </c>
      <c r="F2287" s="1" t="s">
        <v>126</v>
      </c>
    </row>
    <row r="2288" spans="1:6" ht="30" customHeight="1" x14ac:dyDescent="0.25">
      <c r="A2288" s="1" t="s">
        <v>4662</v>
      </c>
      <c r="B2288" s="1" t="str">
        <f>"9781405144544"</f>
        <v>9781405144544</v>
      </c>
      <c r="C2288" s="1" t="s">
        <v>65</v>
      </c>
      <c r="D2288" s="2">
        <v>39553</v>
      </c>
      <c r="E2288" s="1" t="s">
        <v>4663</v>
      </c>
      <c r="F2288" s="1" t="s">
        <v>13</v>
      </c>
    </row>
    <row r="2289" spans="1:6" ht="30" customHeight="1" x14ac:dyDescent="0.25">
      <c r="A2289" s="1" t="s">
        <v>4664</v>
      </c>
      <c r="B2289" s="1" t="str">
        <f>"9780470691106"</f>
        <v>9780470691106</v>
      </c>
      <c r="C2289" s="1" t="s">
        <v>65</v>
      </c>
      <c r="D2289" s="2">
        <v>39553</v>
      </c>
      <c r="E2289" s="1" t="s">
        <v>4665</v>
      </c>
      <c r="F2289" s="1" t="s">
        <v>30</v>
      </c>
    </row>
    <row r="2290" spans="1:6" ht="30" customHeight="1" x14ac:dyDescent="0.25">
      <c r="A2290" s="1" t="s">
        <v>4666</v>
      </c>
      <c r="B2290" s="1" t="str">
        <f>"9780470777428"</f>
        <v>9780470777428</v>
      </c>
      <c r="C2290" s="1" t="s">
        <v>65</v>
      </c>
      <c r="D2290" s="2">
        <v>39553</v>
      </c>
      <c r="E2290" s="1" t="s">
        <v>4667</v>
      </c>
      <c r="F2290" s="1" t="s">
        <v>3145</v>
      </c>
    </row>
    <row r="2291" spans="1:6" ht="30" customHeight="1" x14ac:dyDescent="0.25">
      <c r="A2291" s="1" t="s">
        <v>4668</v>
      </c>
      <c r="B2291" s="1" t="str">
        <f>"9780470753774"</f>
        <v>9780470753774</v>
      </c>
      <c r="C2291" s="1" t="s">
        <v>65</v>
      </c>
      <c r="D2291" s="2">
        <v>39553</v>
      </c>
      <c r="E2291" s="1" t="s">
        <v>4669</v>
      </c>
      <c r="F2291" s="1" t="s">
        <v>13</v>
      </c>
    </row>
    <row r="2292" spans="1:6" ht="30" customHeight="1" x14ac:dyDescent="0.25">
      <c r="A2292" s="1" t="s">
        <v>4670</v>
      </c>
      <c r="B2292" s="1" t="str">
        <f>"9780470777435"</f>
        <v>9780470777435</v>
      </c>
      <c r="C2292" s="1" t="s">
        <v>65</v>
      </c>
      <c r="D2292" s="2">
        <v>39553</v>
      </c>
      <c r="E2292" s="1" t="s">
        <v>4671</v>
      </c>
      <c r="F2292" s="1" t="s">
        <v>13</v>
      </c>
    </row>
    <row r="2293" spans="1:6" ht="30" customHeight="1" x14ac:dyDescent="0.25">
      <c r="A2293" s="1" t="s">
        <v>4672</v>
      </c>
      <c r="B2293" s="1" t="str">
        <f>"9780470691328"</f>
        <v>9780470691328</v>
      </c>
      <c r="C2293" s="1" t="s">
        <v>65</v>
      </c>
      <c r="D2293" s="2">
        <v>39553</v>
      </c>
      <c r="E2293" s="1" t="s">
        <v>4673</v>
      </c>
      <c r="F2293" s="1" t="s">
        <v>13</v>
      </c>
    </row>
    <row r="2294" spans="1:6" ht="30" customHeight="1" x14ac:dyDescent="0.25">
      <c r="A2294" s="1" t="s">
        <v>4674</v>
      </c>
      <c r="B2294" s="1" t="str">
        <f>"9780470778029"</f>
        <v>9780470778029</v>
      </c>
      <c r="C2294" s="1" t="s">
        <v>65</v>
      </c>
      <c r="D2294" s="2">
        <v>39553</v>
      </c>
      <c r="E2294" s="1" t="s">
        <v>4675</v>
      </c>
      <c r="F2294" s="1" t="s">
        <v>126</v>
      </c>
    </row>
    <row r="2295" spans="1:6" ht="30" customHeight="1" x14ac:dyDescent="0.25">
      <c r="A2295" s="1" t="s">
        <v>4676</v>
      </c>
      <c r="B2295" s="1" t="str">
        <f>"9781405140560"</f>
        <v>9781405140560</v>
      </c>
      <c r="C2295" s="1" t="s">
        <v>65</v>
      </c>
      <c r="D2295" s="2">
        <v>39553</v>
      </c>
      <c r="E2295" s="1" t="s">
        <v>4677</v>
      </c>
      <c r="F2295" s="1" t="s">
        <v>13</v>
      </c>
    </row>
    <row r="2296" spans="1:6" ht="30" customHeight="1" x14ac:dyDescent="0.25">
      <c r="A2296" s="1" t="s">
        <v>4678</v>
      </c>
      <c r="B2296" s="1" t="str">
        <f>"9780470757710"</f>
        <v>9780470757710</v>
      </c>
      <c r="C2296" s="1" t="s">
        <v>65</v>
      </c>
      <c r="D2296" s="2">
        <v>39553</v>
      </c>
      <c r="E2296" s="1" t="s">
        <v>4679</v>
      </c>
      <c r="F2296" s="1" t="s">
        <v>13</v>
      </c>
    </row>
    <row r="2297" spans="1:6" ht="30" customHeight="1" x14ac:dyDescent="0.25">
      <c r="A2297" s="1" t="s">
        <v>4680</v>
      </c>
      <c r="B2297" s="1" t="str">
        <f>"9780470691410"</f>
        <v>9780470691410</v>
      </c>
      <c r="C2297" s="1" t="s">
        <v>65</v>
      </c>
      <c r="D2297" s="2">
        <v>37666</v>
      </c>
      <c r="E2297" s="1" t="s">
        <v>4681</v>
      </c>
      <c r="F2297" s="1" t="s">
        <v>126</v>
      </c>
    </row>
    <row r="2298" spans="1:6" ht="30" customHeight="1" x14ac:dyDescent="0.25">
      <c r="A2298" s="1" t="s">
        <v>4682</v>
      </c>
      <c r="B2298" s="1" t="str">
        <f>"9780470756874"</f>
        <v>9780470756874</v>
      </c>
      <c r="C2298" s="1" t="s">
        <v>65</v>
      </c>
      <c r="D2298" s="2">
        <v>39553</v>
      </c>
      <c r="E2298" s="1" t="s">
        <v>4683</v>
      </c>
      <c r="F2298" s="1" t="s">
        <v>362</v>
      </c>
    </row>
    <row r="2299" spans="1:6" ht="30" customHeight="1" x14ac:dyDescent="0.25">
      <c r="A2299" s="1" t="s">
        <v>4684</v>
      </c>
      <c r="B2299" s="1" t="str">
        <f>"9780470755211"</f>
        <v>9780470755211</v>
      </c>
      <c r="C2299" s="1" t="s">
        <v>65</v>
      </c>
      <c r="D2299" s="2">
        <v>39553</v>
      </c>
      <c r="E2299" s="1" t="s">
        <v>4685</v>
      </c>
      <c r="F2299" s="1" t="s">
        <v>13</v>
      </c>
    </row>
    <row r="2300" spans="1:6" ht="30" customHeight="1" x14ac:dyDescent="0.25">
      <c r="A2300" s="1" t="s">
        <v>4686</v>
      </c>
      <c r="B2300" s="1" t="str">
        <f>"9781405140553"</f>
        <v>9781405140553</v>
      </c>
      <c r="C2300" s="1" t="s">
        <v>65</v>
      </c>
      <c r="D2300" s="2">
        <v>37591</v>
      </c>
      <c r="E2300" s="1" t="s">
        <v>4687</v>
      </c>
      <c r="F2300" s="1" t="s">
        <v>200</v>
      </c>
    </row>
    <row r="2301" spans="1:6" ht="30" customHeight="1" x14ac:dyDescent="0.25">
      <c r="A2301" s="1" t="s">
        <v>4688</v>
      </c>
      <c r="B2301" s="1" t="str">
        <f>"9780470723579"</f>
        <v>9780470723579</v>
      </c>
      <c r="C2301" s="1" t="s">
        <v>65</v>
      </c>
      <c r="D2301" s="2">
        <v>39506</v>
      </c>
      <c r="E2301" s="1" t="s">
        <v>4689</v>
      </c>
      <c r="F2301" s="1" t="s">
        <v>137</v>
      </c>
    </row>
    <row r="2302" spans="1:6" ht="30" customHeight="1" x14ac:dyDescent="0.25">
      <c r="A2302" s="1" t="s">
        <v>4690</v>
      </c>
      <c r="B2302" s="1" t="str">
        <f>"9780470775349"</f>
        <v>9780470775349</v>
      </c>
      <c r="C2302" s="1" t="s">
        <v>65</v>
      </c>
      <c r="D2302" s="2">
        <v>39553</v>
      </c>
      <c r="E2302" s="1" t="s">
        <v>4691</v>
      </c>
      <c r="F2302" s="1" t="s">
        <v>70</v>
      </c>
    </row>
    <row r="2303" spans="1:6" ht="30" customHeight="1" x14ac:dyDescent="0.25">
      <c r="A2303" s="1" t="s">
        <v>4692</v>
      </c>
      <c r="B2303" s="1" t="str">
        <f>"9780470755020"</f>
        <v>9780470755020</v>
      </c>
      <c r="C2303" s="1" t="s">
        <v>65</v>
      </c>
      <c r="D2303" s="2">
        <v>39553</v>
      </c>
      <c r="E2303" s="1" t="s">
        <v>4693</v>
      </c>
      <c r="F2303" s="1" t="s">
        <v>158</v>
      </c>
    </row>
    <row r="2304" spans="1:6" ht="30" customHeight="1" x14ac:dyDescent="0.25">
      <c r="A2304" s="1" t="s">
        <v>4694</v>
      </c>
      <c r="B2304" s="1" t="str">
        <f>"9781405140591"</f>
        <v>9781405140591</v>
      </c>
      <c r="C2304" s="1" t="s">
        <v>65</v>
      </c>
      <c r="D2304" s="2">
        <v>39553</v>
      </c>
      <c r="E2304" s="1" t="s">
        <v>4695</v>
      </c>
      <c r="F2304" s="1" t="s">
        <v>4696</v>
      </c>
    </row>
    <row r="2305" spans="1:6" ht="30" customHeight="1" x14ac:dyDescent="0.25">
      <c r="A2305" s="1" t="s">
        <v>4697</v>
      </c>
      <c r="B2305" s="1" t="str">
        <f>"9780470759943"</f>
        <v>9780470759943</v>
      </c>
      <c r="C2305" s="1" t="s">
        <v>65</v>
      </c>
      <c r="D2305" s="2">
        <v>39553</v>
      </c>
      <c r="E2305" s="1" t="s">
        <v>4698</v>
      </c>
      <c r="F2305" s="1" t="s">
        <v>13</v>
      </c>
    </row>
    <row r="2306" spans="1:6" ht="30" customHeight="1" x14ac:dyDescent="0.25">
      <c r="A2306" s="1" t="s">
        <v>4699</v>
      </c>
      <c r="B2306" s="1" t="str">
        <f>"9780470680162"</f>
        <v>9780470680162</v>
      </c>
      <c r="C2306" s="1" t="s">
        <v>65</v>
      </c>
      <c r="D2306" s="2">
        <v>39553</v>
      </c>
      <c r="E2306" s="1" t="s">
        <v>4700</v>
      </c>
      <c r="F2306" s="1" t="s">
        <v>13</v>
      </c>
    </row>
    <row r="2307" spans="1:6" ht="30" customHeight="1" x14ac:dyDescent="0.25">
      <c r="A2307" s="1" t="s">
        <v>4701</v>
      </c>
      <c r="B2307" s="1" t="str">
        <f>"9780470753149"</f>
        <v>9780470753149</v>
      </c>
      <c r="C2307" s="1" t="s">
        <v>65</v>
      </c>
      <c r="D2307" s="2">
        <v>39553</v>
      </c>
      <c r="E2307" s="1" t="s">
        <v>4702</v>
      </c>
      <c r="F2307" s="1" t="s">
        <v>13</v>
      </c>
    </row>
    <row r="2308" spans="1:6" ht="30" customHeight="1" x14ac:dyDescent="0.25">
      <c r="A2308" s="1" t="s">
        <v>4703</v>
      </c>
      <c r="B2308" s="1" t="str">
        <f>"9780470995990"</f>
        <v>9780470995990</v>
      </c>
      <c r="C2308" s="1" t="s">
        <v>65</v>
      </c>
      <c r="D2308" s="2">
        <v>39553</v>
      </c>
      <c r="E2308" s="1" t="s">
        <v>4704</v>
      </c>
      <c r="F2308" s="1" t="s">
        <v>4193</v>
      </c>
    </row>
    <row r="2309" spans="1:6" ht="30" customHeight="1" x14ac:dyDescent="0.25">
      <c r="A2309" s="1" t="s">
        <v>4705</v>
      </c>
      <c r="B2309" s="1" t="str">
        <f>"9780470691724"</f>
        <v>9780470691724</v>
      </c>
      <c r="C2309" s="1" t="s">
        <v>65</v>
      </c>
      <c r="D2309" s="2">
        <v>39553</v>
      </c>
      <c r="E2309" s="1" t="s">
        <v>4706</v>
      </c>
      <c r="F2309" s="1" t="s">
        <v>291</v>
      </c>
    </row>
    <row r="2310" spans="1:6" ht="30" customHeight="1" x14ac:dyDescent="0.25">
      <c r="A2310" s="1" t="s">
        <v>4707</v>
      </c>
      <c r="B2310" s="1" t="str">
        <f>"9780470995006"</f>
        <v>9780470995006</v>
      </c>
      <c r="C2310" s="1" t="s">
        <v>65</v>
      </c>
      <c r="D2310" s="2">
        <v>39553</v>
      </c>
      <c r="E2310" s="1" t="s">
        <v>4708</v>
      </c>
      <c r="F2310" s="1" t="s">
        <v>13</v>
      </c>
    </row>
    <row r="2311" spans="1:6" ht="30" customHeight="1" x14ac:dyDescent="0.25">
      <c r="A2311" s="1" t="s">
        <v>4709</v>
      </c>
      <c r="B2311" s="1" t="str">
        <f>"9780470757970"</f>
        <v>9780470757970</v>
      </c>
      <c r="C2311" s="1" t="s">
        <v>65</v>
      </c>
      <c r="D2311" s="2">
        <v>39553</v>
      </c>
      <c r="E2311" s="1" t="s">
        <v>4710</v>
      </c>
      <c r="F2311" s="1" t="s">
        <v>13</v>
      </c>
    </row>
    <row r="2312" spans="1:6" ht="30" customHeight="1" x14ac:dyDescent="0.25">
      <c r="A2312" s="1" t="s">
        <v>4711</v>
      </c>
      <c r="B2312" s="1" t="str">
        <f>"9781405140577"</f>
        <v>9781405140577</v>
      </c>
      <c r="C2312" s="1" t="s">
        <v>65</v>
      </c>
      <c r="D2312" s="2">
        <v>39553</v>
      </c>
      <c r="E2312" s="1" t="s">
        <v>4712</v>
      </c>
      <c r="F2312" s="1" t="s">
        <v>13</v>
      </c>
    </row>
    <row r="2313" spans="1:6" ht="30" customHeight="1" x14ac:dyDescent="0.25">
      <c r="A2313" s="1" t="s">
        <v>4713</v>
      </c>
      <c r="B2313" s="1" t="str">
        <f>"9780470777534"</f>
        <v>9780470777534</v>
      </c>
      <c r="C2313" s="1" t="s">
        <v>65</v>
      </c>
      <c r="D2313" s="2">
        <v>39553</v>
      </c>
      <c r="E2313" s="1" t="s">
        <v>4714</v>
      </c>
      <c r="F2313" s="1" t="s">
        <v>13</v>
      </c>
    </row>
    <row r="2314" spans="1:6" ht="30" customHeight="1" x14ac:dyDescent="0.25">
      <c r="A2314" s="1" t="s">
        <v>4715</v>
      </c>
      <c r="B2314" s="1" t="str">
        <f>"9780470777404"</f>
        <v>9780470777404</v>
      </c>
      <c r="C2314" s="1" t="s">
        <v>65</v>
      </c>
      <c r="D2314" s="2">
        <v>39553</v>
      </c>
      <c r="E2314" s="1" t="s">
        <v>4716</v>
      </c>
      <c r="F2314" s="1" t="s">
        <v>132</v>
      </c>
    </row>
    <row r="2315" spans="1:6" ht="30" customHeight="1" x14ac:dyDescent="0.25">
      <c r="A2315" s="1" t="s">
        <v>4717</v>
      </c>
      <c r="B2315" s="1" t="str">
        <f>"9780470691120"</f>
        <v>9780470691120</v>
      </c>
      <c r="C2315" s="1" t="s">
        <v>65</v>
      </c>
      <c r="D2315" s="2">
        <v>39553</v>
      </c>
      <c r="E2315" s="1" t="s">
        <v>4718</v>
      </c>
      <c r="F2315" s="1" t="s">
        <v>13</v>
      </c>
    </row>
    <row r="2316" spans="1:6" ht="30" customHeight="1" x14ac:dyDescent="0.25">
      <c r="A2316" s="1" t="s">
        <v>4719</v>
      </c>
      <c r="B2316" s="1" t="str">
        <f>"9780470757802"</f>
        <v>9780470757802</v>
      </c>
      <c r="C2316" s="1" t="s">
        <v>65</v>
      </c>
      <c r="D2316" s="2">
        <v>39553</v>
      </c>
      <c r="E2316" s="1" t="s">
        <v>4720</v>
      </c>
      <c r="F2316" s="1" t="s">
        <v>117</v>
      </c>
    </row>
    <row r="2317" spans="1:6" ht="30" customHeight="1" x14ac:dyDescent="0.25">
      <c r="A2317" s="1" t="s">
        <v>4721</v>
      </c>
      <c r="B2317" s="1" t="str">
        <f>"9780470750254"</f>
        <v>9780470750254</v>
      </c>
      <c r="C2317" s="1" t="s">
        <v>65</v>
      </c>
      <c r="D2317" s="2">
        <v>39553</v>
      </c>
      <c r="E2317" s="1" t="s">
        <v>4722</v>
      </c>
      <c r="F2317" s="1" t="s">
        <v>137</v>
      </c>
    </row>
    <row r="2318" spans="1:6" ht="30" customHeight="1" x14ac:dyDescent="0.25">
      <c r="A2318" s="1" t="s">
        <v>4723</v>
      </c>
      <c r="B2318" s="1" t="str">
        <f>"9781405140676"</f>
        <v>9781405140676</v>
      </c>
      <c r="C2318" s="1" t="s">
        <v>65</v>
      </c>
      <c r="D2318" s="2">
        <v>37620</v>
      </c>
      <c r="E2318" s="1" t="s">
        <v>4724</v>
      </c>
      <c r="F2318" s="1" t="s">
        <v>268</v>
      </c>
    </row>
    <row r="2319" spans="1:6" ht="30" customHeight="1" x14ac:dyDescent="0.25">
      <c r="A2319" s="1" t="s">
        <v>4725</v>
      </c>
      <c r="B2319" s="1" t="str">
        <f>"9780470727164"</f>
        <v>9780470727164</v>
      </c>
      <c r="C2319" s="1" t="s">
        <v>65</v>
      </c>
      <c r="D2319" s="2">
        <v>39553</v>
      </c>
      <c r="E2319" s="1" t="s">
        <v>4726</v>
      </c>
      <c r="F2319" s="1" t="s">
        <v>126</v>
      </c>
    </row>
    <row r="2320" spans="1:6" ht="30" customHeight="1" x14ac:dyDescent="0.25">
      <c r="A2320" s="1" t="s">
        <v>4727</v>
      </c>
      <c r="B2320" s="1" t="str">
        <f>"9780470750278"</f>
        <v>9780470750278</v>
      </c>
      <c r="C2320" s="1" t="s">
        <v>65</v>
      </c>
      <c r="D2320" s="2">
        <v>39118</v>
      </c>
      <c r="E2320" s="1" t="s">
        <v>4728</v>
      </c>
      <c r="F2320" s="1" t="s">
        <v>13</v>
      </c>
    </row>
    <row r="2321" spans="1:6" ht="30" customHeight="1" x14ac:dyDescent="0.25">
      <c r="A2321" s="1" t="s">
        <v>4729</v>
      </c>
      <c r="B2321" s="1" t="str">
        <f>"9780470751596"</f>
        <v>9780470751596</v>
      </c>
      <c r="C2321" s="1" t="s">
        <v>65</v>
      </c>
      <c r="D2321" s="2">
        <v>38012</v>
      </c>
      <c r="E2321" s="1" t="s">
        <v>4728</v>
      </c>
      <c r="F2321" s="1" t="s">
        <v>13</v>
      </c>
    </row>
    <row r="2322" spans="1:6" ht="30" customHeight="1" x14ac:dyDescent="0.25">
      <c r="A2322" s="1" t="s">
        <v>4730</v>
      </c>
      <c r="B2322" s="1" t="str">
        <f>"9780470725542"</f>
        <v>9780470725542</v>
      </c>
      <c r="C2322" s="1" t="s">
        <v>65</v>
      </c>
      <c r="D2322" s="2">
        <v>39553</v>
      </c>
      <c r="E2322" s="1" t="s">
        <v>4731</v>
      </c>
      <c r="F2322" s="1" t="s">
        <v>13</v>
      </c>
    </row>
    <row r="2323" spans="1:6" ht="30" customHeight="1" x14ac:dyDescent="0.25">
      <c r="A2323" s="1" t="s">
        <v>4732</v>
      </c>
      <c r="B2323" s="1" t="str">
        <f>"9780470751404"</f>
        <v>9780470751404</v>
      </c>
      <c r="C2323" s="1" t="s">
        <v>65</v>
      </c>
      <c r="D2323" s="2">
        <v>39553</v>
      </c>
      <c r="E2323" s="1" t="s">
        <v>4733</v>
      </c>
      <c r="F2323" s="1" t="s">
        <v>13</v>
      </c>
    </row>
    <row r="2324" spans="1:6" ht="30" customHeight="1" x14ac:dyDescent="0.25">
      <c r="A2324" s="1" t="s">
        <v>4734</v>
      </c>
      <c r="B2324" s="1" t="str">
        <f>"9780470987261"</f>
        <v>9780470987261</v>
      </c>
      <c r="C2324" s="1" t="s">
        <v>65</v>
      </c>
      <c r="D2324" s="2">
        <v>38985</v>
      </c>
      <c r="E2324" s="1" t="s">
        <v>4735</v>
      </c>
      <c r="F2324" s="1" t="s">
        <v>137</v>
      </c>
    </row>
    <row r="2325" spans="1:6" ht="30" customHeight="1" x14ac:dyDescent="0.25">
      <c r="A2325" s="1" t="s">
        <v>4736</v>
      </c>
      <c r="B2325" s="1" t="str">
        <f>"9780470987339"</f>
        <v>9780470987339</v>
      </c>
      <c r="C2325" s="1" t="s">
        <v>65</v>
      </c>
      <c r="D2325" s="2">
        <v>38544</v>
      </c>
      <c r="E2325" s="1" t="s">
        <v>4737</v>
      </c>
      <c r="F2325" s="1" t="s">
        <v>13</v>
      </c>
    </row>
    <row r="2326" spans="1:6" ht="30" customHeight="1" x14ac:dyDescent="0.25">
      <c r="A2326" s="1" t="s">
        <v>4738</v>
      </c>
      <c r="B2326" s="1" t="str">
        <f>"9780470755273"</f>
        <v>9780470755273</v>
      </c>
      <c r="C2326" s="1" t="s">
        <v>65</v>
      </c>
      <c r="D2326" s="2">
        <v>39553</v>
      </c>
      <c r="E2326" s="1" t="s">
        <v>4739</v>
      </c>
      <c r="F2326" s="1" t="s">
        <v>13</v>
      </c>
    </row>
    <row r="2327" spans="1:6" ht="30" customHeight="1" x14ac:dyDescent="0.25">
      <c r="A2327" s="1" t="s">
        <v>4740</v>
      </c>
      <c r="B2327" s="1" t="str">
        <f>"9780470751435"</f>
        <v>9780470751435</v>
      </c>
      <c r="C2327" s="1" t="s">
        <v>65</v>
      </c>
      <c r="D2327" s="2">
        <v>39553</v>
      </c>
      <c r="E2327" s="1" t="s">
        <v>4741</v>
      </c>
      <c r="F2327" s="1" t="s">
        <v>13</v>
      </c>
    </row>
    <row r="2328" spans="1:6" ht="30" customHeight="1" x14ac:dyDescent="0.25">
      <c r="A2328" s="1" t="s">
        <v>4742</v>
      </c>
      <c r="B2328" s="1" t="str">
        <f>"9780470759967"</f>
        <v>9780470759967</v>
      </c>
      <c r="C2328" s="1" t="s">
        <v>65</v>
      </c>
      <c r="D2328" s="2">
        <v>39553</v>
      </c>
      <c r="E2328" s="1" t="s">
        <v>4743</v>
      </c>
      <c r="F2328" s="1" t="s">
        <v>13</v>
      </c>
    </row>
    <row r="2329" spans="1:6" ht="30" customHeight="1" x14ac:dyDescent="0.25">
      <c r="A2329" s="1" t="s">
        <v>4744</v>
      </c>
      <c r="B2329" s="1" t="str">
        <f>"9780470757291"</f>
        <v>9780470757291</v>
      </c>
      <c r="C2329" s="1" t="s">
        <v>65</v>
      </c>
      <c r="D2329" s="2">
        <v>39553</v>
      </c>
      <c r="E2329" s="1" t="s">
        <v>4745</v>
      </c>
      <c r="F2329" s="1" t="s">
        <v>13</v>
      </c>
    </row>
    <row r="2330" spans="1:6" ht="30" customHeight="1" x14ac:dyDescent="0.25">
      <c r="A2330" s="1" t="s">
        <v>4746</v>
      </c>
      <c r="B2330" s="1" t="str">
        <f>"9780470756904"</f>
        <v>9780470756904</v>
      </c>
      <c r="C2330" s="1" t="s">
        <v>65</v>
      </c>
      <c r="D2330" s="2">
        <v>39553</v>
      </c>
      <c r="E2330" s="1" t="s">
        <v>4747</v>
      </c>
      <c r="F2330" s="1" t="s">
        <v>13</v>
      </c>
    </row>
    <row r="2331" spans="1:6" ht="30" customHeight="1" x14ac:dyDescent="0.25">
      <c r="A2331" s="1" t="s">
        <v>4748</v>
      </c>
      <c r="B2331" s="1" t="str">
        <f>"9780470755013"</f>
        <v>9780470755013</v>
      </c>
      <c r="C2331" s="1" t="s">
        <v>65</v>
      </c>
      <c r="D2331" s="2">
        <v>39553</v>
      </c>
      <c r="E2331" s="1" t="s">
        <v>4749</v>
      </c>
      <c r="F2331" s="1" t="s">
        <v>13</v>
      </c>
    </row>
    <row r="2332" spans="1:6" ht="30" customHeight="1" x14ac:dyDescent="0.25">
      <c r="A2332" s="1" t="s">
        <v>4750</v>
      </c>
      <c r="B2332" s="1" t="str">
        <f>"9780470988060"</f>
        <v>9780470988060</v>
      </c>
      <c r="C2332" s="1" t="s">
        <v>65</v>
      </c>
      <c r="D2332" s="2">
        <v>39553</v>
      </c>
      <c r="E2332" s="1" t="s">
        <v>4751</v>
      </c>
      <c r="F2332" s="1" t="s">
        <v>13</v>
      </c>
    </row>
    <row r="2333" spans="1:6" ht="30" customHeight="1" x14ac:dyDescent="0.25">
      <c r="A2333" s="1" t="s">
        <v>4752</v>
      </c>
      <c r="B2333" s="1" t="str">
        <f>"9780470994986"</f>
        <v>9780470994986</v>
      </c>
      <c r="C2333" s="1" t="s">
        <v>65</v>
      </c>
      <c r="D2333" s="2">
        <v>39553</v>
      </c>
      <c r="E2333" s="1" t="s">
        <v>4753</v>
      </c>
      <c r="F2333" s="1" t="s">
        <v>13</v>
      </c>
    </row>
    <row r="2334" spans="1:6" ht="30" customHeight="1" x14ac:dyDescent="0.25">
      <c r="A2334" s="1" t="s">
        <v>4754</v>
      </c>
      <c r="B2334" s="1" t="str">
        <f>"9780470751497"</f>
        <v>9780470751497</v>
      </c>
      <c r="C2334" s="1" t="s">
        <v>65</v>
      </c>
      <c r="D2334" s="2">
        <v>39553</v>
      </c>
      <c r="E2334" s="1" t="s">
        <v>4755</v>
      </c>
      <c r="F2334" s="1" t="s">
        <v>13</v>
      </c>
    </row>
    <row r="2335" spans="1:6" ht="30" customHeight="1" x14ac:dyDescent="0.25">
      <c r="A2335" s="1" t="s">
        <v>4756</v>
      </c>
      <c r="B2335" s="1" t="str">
        <f>"9780470691571"</f>
        <v>9780470691571</v>
      </c>
      <c r="C2335" s="1" t="s">
        <v>65</v>
      </c>
      <c r="D2335" s="2">
        <v>39553</v>
      </c>
      <c r="E2335" s="1" t="s">
        <v>4757</v>
      </c>
      <c r="F2335" s="1" t="s">
        <v>13</v>
      </c>
    </row>
    <row r="2336" spans="1:6" ht="30" customHeight="1" x14ac:dyDescent="0.25">
      <c r="A2336" s="1" t="s">
        <v>4758</v>
      </c>
      <c r="B2336" s="1" t="str">
        <f>"9780470755143"</f>
        <v>9780470755143</v>
      </c>
      <c r="C2336" s="1" t="s">
        <v>11</v>
      </c>
      <c r="D2336" s="2">
        <v>39553</v>
      </c>
      <c r="E2336" s="1" t="s">
        <v>4759</v>
      </c>
      <c r="F2336" s="1" t="s">
        <v>95</v>
      </c>
    </row>
    <row r="2337" spans="1:6" ht="30" customHeight="1" x14ac:dyDescent="0.25">
      <c r="A2337" s="1" t="s">
        <v>4760</v>
      </c>
      <c r="B2337" s="1" t="str">
        <f>"9780470759844"</f>
        <v>9780470759844</v>
      </c>
      <c r="C2337" s="1" t="s">
        <v>65</v>
      </c>
      <c r="D2337" s="2">
        <v>39553</v>
      </c>
      <c r="E2337" s="1" t="s">
        <v>4761</v>
      </c>
      <c r="F2337" s="1" t="s">
        <v>13</v>
      </c>
    </row>
    <row r="2338" spans="1:6" ht="30" customHeight="1" x14ac:dyDescent="0.25">
      <c r="A2338" s="1" t="s">
        <v>4762</v>
      </c>
      <c r="B2338" s="1" t="str">
        <f>"9780470693124"</f>
        <v>9780470693124</v>
      </c>
      <c r="C2338" s="1" t="s">
        <v>65</v>
      </c>
      <c r="D2338" s="2">
        <v>39553</v>
      </c>
      <c r="E2338" s="1" t="s">
        <v>4763</v>
      </c>
      <c r="F2338" s="1" t="s">
        <v>13</v>
      </c>
    </row>
    <row r="2339" spans="1:6" ht="30" customHeight="1" x14ac:dyDescent="0.25">
      <c r="A2339" s="1" t="s">
        <v>4764</v>
      </c>
      <c r="B2339" s="1" t="str">
        <f>"9780470756850"</f>
        <v>9780470756850</v>
      </c>
      <c r="C2339" s="1" t="s">
        <v>65</v>
      </c>
      <c r="D2339" s="2">
        <v>39553</v>
      </c>
      <c r="E2339" s="1" t="s">
        <v>4765</v>
      </c>
      <c r="F2339" s="1" t="s">
        <v>13</v>
      </c>
    </row>
    <row r="2340" spans="1:6" ht="30" customHeight="1" x14ac:dyDescent="0.25">
      <c r="A2340" s="1" t="s">
        <v>4766</v>
      </c>
      <c r="B2340" s="1" t="str">
        <f>"9788122424805"</f>
        <v>9788122424805</v>
      </c>
      <c r="C2340" s="1" t="s">
        <v>4001</v>
      </c>
      <c r="D2340" s="2">
        <v>39278</v>
      </c>
      <c r="E2340" s="1" t="s">
        <v>4767</v>
      </c>
      <c r="F2340" s="1" t="s">
        <v>13</v>
      </c>
    </row>
    <row r="2341" spans="1:6" ht="30" customHeight="1" x14ac:dyDescent="0.25">
      <c r="A2341" s="1" t="s">
        <v>4768</v>
      </c>
      <c r="B2341" s="1" t="str">
        <f>"9780511413148"</f>
        <v>9780511413148</v>
      </c>
      <c r="C2341" s="1" t="s">
        <v>25</v>
      </c>
      <c r="D2341" s="2">
        <v>39630</v>
      </c>
      <c r="E2341" s="1" t="s">
        <v>4769</v>
      </c>
      <c r="F2341" s="1" t="s">
        <v>13</v>
      </c>
    </row>
    <row r="2342" spans="1:6" ht="30" customHeight="1" x14ac:dyDescent="0.25">
      <c r="A2342" s="1" t="s">
        <v>4770</v>
      </c>
      <c r="B2342" s="1" t="str">
        <f>"9780511413162"</f>
        <v>9780511413162</v>
      </c>
      <c r="C2342" s="1" t="s">
        <v>25</v>
      </c>
      <c r="D2342" s="2">
        <v>39629</v>
      </c>
      <c r="E2342" s="1" t="s">
        <v>4771</v>
      </c>
      <c r="F2342" s="1" t="s">
        <v>13</v>
      </c>
    </row>
    <row r="2343" spans="1:6" ht="30" customHeight="1" x14ac:dyDescent="0.25">
      <c r="A2343" s="1" t="s">
        <v>1339</v>
      </c>
      <c r="B2343" s="1" t="str">
        <f>"9781552504116"</f>
        <v>9781552504116</v>
      </c>
      <c r="C2343" s="1" t="s">
        <v>1340</v>
      </c>
      <c r="D2343" s="2">
        <v>39448</v>
      </c>
      <c r="E2343" s="1" t="s">
        <v>1346</v>
      </c>
      <c r="F2343" s="1" t="s">
        <v>30</v>
      </c>
    </row>
    <row r="2344" spans="1:6" ht="30" customHeight="1" x14ac:dyDescent="0.25">
      <c r="A2344" s="1" t="s">
        <v>4772</v>
      </c>
      <c r="B2344" s="1" t="str">
        <f>"9780470187876"</f>
        <v>9780470187876</v>
      </c>
      <c r="C2344" s="1" t="s">
        <v>65</v>
      </c>
      <c r="D2344" s="2">
        <v>39601</v>
      </c>
      <c r="E2344" s="1" t="s">
        <v>4773</v>
      </c>
      <c r="F2344" s="1" t="s">
        <v>13</v>
      </c>
    </row>
    <row r="2345" spans="1:6" ht="30" customHeight="1" x14ac:dyDescent="0.25">
      <c r="A2345" s="1" t="s">
        <v>4774</v>
      </c>
      <c r="B2345" s="1" t="str">
        <f>"9780470334416"</f>
        <v>9780470334416</v>
      </c>
      <c r="C2345" s="1" t="s">
        <v>11</v>
      </c>
      <c r="D2345" s="2">
        <v>39654</v>
      </c>
      <c r="E2345" s="1" t="s">
        <v>4775</v>
      </c>
      <c r="F2345" s="1" t="s">
        <v>2383</v>
      </c>
    </row>
    <row r="2346" spans="1:6" ht="30" customHeight="1" x14ac:dyDescent="0.25">
      <c r="A2346" s="1" t="s">
        <v>4776</v>
      </c>
      <c r="B2346" s="1" t="str">
        <f>"9780470371190"</f>
        <v>9780470371190</v>
      </c>
      <c r="C2346" s="1" t="s">
        <v>65</v>
      </c>
      <c r="D2346" s="2">
        <v>39608</v>
      </c>
      <c r="E2346" s="1" t="s">
        <v>4777</v>
      </c>
      <c r="F2346" s="1" t="s">
        <v>95</v>
      </c>
    </row>
    <row r="2347" spans="1:6" ht="30" customHeight="1" x14ac:dyDescent="0.25">
      <c r="A2347" s="1" t="s">
        <v>4778</v>
      </c>
      <c r="B2347" s="1" t="str">
        <f>"9780470376751"</f>
        <v>9780470376751</v>
      </c>
      <c r="C2347" s="1" t="s">
        <v>65</v>
      </c>
      <c r="D2347" s="2">
        <v>37494</v>
      </c>
      <c r="E2347" s="1" t="s">
        <v>4779</v>
      </c>
      <c r="F2347" s="1" t="s">
        <v>2330</v>
      </c>
    </row>
    <row r="2348" spans="1:6" ht="30" customHeight="1" x14ac:dyDescent="0.25">
      <c r="A2348" s="1" t="s">
        <v>4780</v>
      </c>
      <c r="B2348" s="1" t="str">
        <f>"9780470384718"</f>
        <v>9780470384718</v>
      </c>
      <c r="C2348" s="1" t="s">
        <v>65</v>
      </c>
      <c r="D2348" s="2">
        <v>39506</v>
      </c>
      <c r="E2348" s="1" t="s">
        <v>4781</v>
      </c>
      <c r="F2348" s="1" t="s">
        <v>95</v>
      </c>
    </row>
    <row r="2349" spans="1:6" ht="30" customHeight="1" x14ac:dyDescent="0.25">
      <c r="A2349" s="1" t="s">
        <v>4782</v>
      </c>
      <c r="B2349" s="1" t="str">
        <f>"9780470384824"</f>
        <v>9780470384824</v>
      </c>
      <c r="C2349" s="1" t="s">
        <v>65</v>
      </c>
      <c r="D2349" s="2">
        <v>39601</v>
      </c>
      <c r="E2349" s="1" t="s">
        <v>4783</v>
      </c>
      <c r="F2349" s="1" t="s">
        <v>70</v>
      </c>
    </row>
    <row r="2350" spans="1:6" ht="30" customHeight="1" x14ac:dyDescent="0.25">
      <c r="A2350" s="1" t="s">
        <v>4784</v>
      </c>
      <c r="B2350" s="1" t="str">
        <f>"9780470388273"</f>
        <v>9780470388273</v>
      </c>
      <c r="C2350" s="1" t="s">
        <v>65</v>
      </c>
      <c r="D2350" s="2">
        <v>38348</v>
      </c>
      <c r="E2350" s="1" t="s">
        <v>4785</v>
      </c>
      <c r="F2350" s="1" t="s">
        <v>13</v>
      </c>
    </row>
    <row r="2351" spans="1:6" ht="30" customHeight="1" x14ac:dyDescent="0.25">
      <c r="A2351" s="1" t="s">
        <v>4786</v>
      </c>
      <c r="B2351" s="1" t="str">
        <f>"9780470390351"</f>
        <v>9780470390351</v>
      </c>
      <c r="C2351" s="1" t="s">
        <v>65</v>
      </c>
      <c r="D2351" s="2">
        <v>39350</v>
      </c>
      <c r="E2351" s="1" t="s">
        <v>4787</v>
      </c>
      <c r="F2351" s="1" t="s">
        <v>681</v>
      </c>
    </row>
    <row r="2352" spans="1:6" ht="30" customHeight="1" x14ac:dyDescent="0.25">
      <c r="A2352" s="1" t="s">
        <v>4788</v>
      </c>
      <c r="B2352" s="1" t="str">
        <f>"9780470369975"</f>
        <v>9780470369975</v>
      </c>
      <c r="C2352" s="1" t="s">
        <v>11</v>
      </c>
      <c r="D2352" s="2">
        <v>39675</v>
      </c>
      <c r="E2352" s="1" t="s">
        <v>4789</v>
      </c>
      <c r="F2352" s="1" t="s">
        <v>268</v>
      </c>
    </row>
    <row r="2353" spans="1:6" ht="30" customHeight="1" x14ac:dyDescent="0.25">
      <c r="A2353" s="1" t="s">
        <v>4790</v>
      </c>
      <c r="B2353" s="1" t="str">
        <f>"9780470399460"</f>
        <v>9780470399460</v>
      </c>
      <c r="C2353" s="1" t="s">
        <v>65</v>
      </c>
      <c r="D2353" s="2">
        <v>39797</v>
      </c>
      <c r="E2353" s="1" t="s">
        <v>3755</v>
      </c>
      <c r="F2353" s="1" t="s">
        <v>2130</v>
      </c>
    </row>
    <row r="2354" spans="1:6" ht="30" customHeight="1" x14ac:dyDescent="0.25">
      <c r="A2354" s="1" t="s">
        <v>4791</v>
      </c>
      <c r="B2354" s="1" t="str">
        <f>"9781848604773"</f>
        <v>9781848604773</v>
      </c>
      <c r="C2354" s="1" t="s">
        <v>1228</v>
      </c>
      <c r="D2354" s="2">
        <v>39113</v>
      </c>
      <c r="E2354" s="1" t="s">
        <v>4792</v>
      </c>
      <c r="F2354" s="1" t="s">
        <v>2443</v>
      </c>
    </row>
    <row r="2355" spans="1:6" ht="30" customHeight="1" x14ac:dyDescent="0.25">
      <c r="A2355" s="1" t="s">
        <v>4793</v>
      </c>
      <c r="B2355" s="1" t="str">
        <f>"9781848604841"</f>
        <v>9781848604841</v>
      </c>
      <c r="C2355" s="1" t="s">
        <v>1228</v>
      </c>
      <c r="D2355" s="2">
        <v>39664</v>
      </c>
      <c r="E2355" s="1" t="s">
        <v>4794</v>
      </c>
      <c r="F2355" s="1" t="s">
        <v>13</v>
      </c>
    </row>
    <row r="2356" spans="1:6" ht="30" customHeight="1" x14ac:dyDescent="0.25">
      <c r="A2356" s="1" t="s">
        <v>4795</v>
      </c>
      <c r="B2356" s="1" t="str">
        <f>"9781848605107"</f>
        <v>9781848605107</v>
      </c>
      <c r="C2356" s="1" t="s">
        <v>1228</v>
      </c>
      <c r="D2356" s="2">
        <v>39113</v>
      </c>
      <c r="E2356" s="1" t="s">
        <v>4792</v>
      </c>
      <c r="F2356" s="1" t="s">
        <v>2443</v>
      </c>
    </row>
    <row r="2357" spans="1:6" ht="30" customHeight="1" x14ac:dyDescent="0.25">
      <c r="A2357" s="1" t="s">
        <v>4796</v>
      </c>
      <c r="B2357" s="1" t="str">
        <f>"9781848605312"</f>
        <v>9781848605312</v>
      </c>
      <c r="C2357" s="1" t="s">
        <v>1228</v>
      </c>
      <c r="D2357" s="2">
        <v>39252</v>
      </c>
      <c r="E2357" s="1" t="s">
        <v>4797</v>
      </c>
      <c r="F2357" s="1" t="s">
        <v>13</v>
      </c>
    </row>
    <row r="2358" spans="1:6" ht="30" customHeight="1" x14ac:dyDescent="0.25">
      <c r="A2358" s="1" t="s">
        <v>4798</v>
      </c>
      <c r="B2358" s="1" t="str">
        <f>"9781848605428"</f>
        <v>9781848605428</v>
      </c>
      <c r="C2358" s="1" t="s">
        <v>1228</v>
      </c>
      <c r="D2358" s="2">
        <v>38595</v>
      </c>
      <c r="E2358" s="1" t="s">
        <v>4799</v>
      </c>
      <c r="F2358" s="1" t="s">
        <v>95</v>
      </c>
    </row>
    <row r="2359" spans="1:6" ht="30" customHeight="1" x14ac:dyDescent="0.25">
      <c r="A2359" s="1" t="s">
        <v>4800</v>
      </c>
      <c r="B2359" s="1" t="str">
        <f>"9781848605459"</f>
        <v>9781848605459</v>
      </c>
      <c r="C2359" s="1" t="s">
        <v>1228</v>
      </c>
      <c r="D2359" s="2">
        <v>39664</v>
      </c>
      <c r="E2359" s="1" t="s">
        <v>4801</v>
      </c>
      <c r="F2359" s="1" t="s">
        <v>30</v>
      </c>
    </row>
    <row r="2360" spans="1:6" ht="30" customHeight="1" x14ac:dyDescent="0.25">
      <c r="A2360" s="1" t="s">
        <v>4802</v>
      </c>
      <c r="B2360" s="1" t="str">
        <f>"9781848606043"</f>
        <v>9781848606043</v>
      </c>
      <c r="C2360" s="1" t="s">
        <v>1228</v>
      </c>
      <c r="D2360" s="2">
        <v>38077</v>
      </c>
      <c r="E2360" s="1" t="s">
        <v>4803</v>
      </c>
      <c r="F2360" s="1" t="s">
        <v>13</v>
      </c>
    </row>
    <row r="2361" spans="1:6" ht="30" customHeight="1" x14ac:dyDescent="0.25">
      <c r="A2361" s="1" t="s">
        <v>4804</v>
      </c>
      <c r="B2361" s="1" t="str">
        <f>"9781933531564"</f>
        <v>9781933531564</v>
      </c>
      <c r="C2361" s="1" t="s">
        <v>3583</v>
      </c>
      <c r="D2361" s="2">
        <v>36892</v>
      </c>
      <c r="E2361" s="1" t="s">
        <v>4805</v>
      </c>
      <c r="F2361" s="1" t="s">
        <v>4806</v>
      </c>
    </row>
    <row r="2362" spans="1:6" ht="30" customHeight="1" x14ac:dyDescent="0.25">
      <c r="A2362" s="1" t="s">
        <v>4807</v>
      </c>
      <c r="B2362" s="1" t="str">
        <f>"9781933531557"</f>
        <v>9781933531557</v>
      </c>
      <c r="C2362" s="1" t="s">
        <v>3583</v>
      </c>
      <c r="D2362" s="2">
        <v>36892</v>
      </c>
      <c r="E2362" s="1" t="s">
        <v>4805</v>
      </c>
      <c r="F2362" s="1" t="s">
        <v>1992</v>
      </c>
    </row>
    <row r="2363" spans="1:6" ht="30" customHeight="1" x14ac:dyDescent="0.25">
      <c r="A2363" s="1" t="s">
        <v>4808</v>
      </c>
      <c r="B2363" s="1" t="str">
        <f>"9781846427381"</f>
        <v>9781846427381</v>
      </c>
      <c r="C2363" s="1" t="s">
        <v>2387</v>
      </c>
      <c r="D2363" s="2">
        <v>39401</v>
      </c>
      <c r="E2363" s="1" t="s">
        <v>4809</v>
      </c>
      <c r="F2363" s="1" t="s">
        <v>13</v>
      </c>
    </row>
    <row r="2364" spans="1:6" ht="30" customHeight="1" x14ac:dyDescent="0.25">
      <c r="A2364" s="1" t="s">
        <v>4810</v>
      </c>
      <c r="B2364" s="1" t="str">
        <f>"9781846427398"</f>
        <v>9781846427398</v>
      </c>
      <c r="C2364" s="1" t="s">
        <v>2387</v>
      </c>
      <c r="D2364" s="2">
        <v>39431</v>
      </c>
      <c r="E2364" s="1" t="s">
        <v>4811</v>
      </c>
      <c r="F2364" s="1" t="s">
        <v>148</v>
      </c>
    </row>
    <row r="2365" spans="1:6" ht="30" customHeight="1" x14ac:dyDescent="0.25">
      <c r="A2365" s="1" t="s">
        <v>4812</v>
      </c>
      <c r="B2365" s="1" t="str">
        <f>"9781846428104"</f>
        <v>9781846428104</v>
      </c>
      <c r="C2365" s="1" t="s">
        <v>2387</v>
      </c>
      <c r="D2365" s="2">
        <v>39614</v>
      </c>
      <c r="E2365" s="1" t="s">
        <v>4813</v>
      </c>
      <c r="F2365" s="1" t="s">
        <v>13</v>
      </c>
    </row>
    <row r="2366" spans="1:6" ht="30" customHeight="1" x14ac:dyDescent="0.25">
      <c r="A2366" s="1" t="s">
        <v>4814</v>
      </c>
      <c r="B2366" s="1" t="str">
        <f>"9781846428142"</f>
        <v>9781846428142</v>
      </c>
      <c r="C2366" s="1" t="s">
        <v>2387</v>
      </c>
      <c r="D2366" s="2">
        <v>39614</v>
      </c>
      <c r="E2366" s="1" t="s">
        <v>4815</v>
      </c>
      <c r="F2366" s="1" t="s">
        <v>158</v>
      </c>
    </row>
    <row r="2367" spans="1:6" ht="30" customHeight="1" x14ac:dyDescent="0.25">
      <c r="A2367" s="1" t="s">
        <v>4816</v>
      </c>
      <c r="B2367" s="1" t="str">
        <f>"9781846428111"</f>
        <v>9781846428111</v>
      </c>
      <c r="C2367" s="1" t="s">
        <v>2387</v>
      </c>
      <c r="D2367" s="2">
        <v>39614</v>
      </c>
      <c r="E2367" s="1" t="s">
        <v>2792</v>
      </c>
      <c r="F2367" s="1" t="s">
        <v>4817</v>
      </c>
    </row>
    <row r="2368" spans="1:6" ht="30" customHeight="1" x14ac:dyDescent="0.25">
      <c r="A2368" s="1" t="s">
        <v>4818</v>
      </c>
      <c r="B2368" s="1" t="str">
        <f>"9781846428166"</f>
        <v>9781846428166</v>
      </c>
      <c r="C2368" s="1" t="s">
        <v>2387</v>
      </c>
      <c r="D2368" s="2">
        <v>39614</v>
      </c>
      <c r="E2368" s="1" t="s">
        <v>4819</v>
      </c>
      <c r="F2368" s="1" t="s">
        <v>13</v>
      </c>
    </row>
    <row r="2369" spans="1:6" ht="30" customHeight="1" x14ac:dyDescent="0.25">
      <c r="A2369" s="1" t="s">
        <v>4820</v>
      </c>
      <c r="B2369" s="1" t="str">
        <f>"9781846428067"</f>
        <v>9781846428067</v>
      </c>
      <c r="C2369" s="1" t="s">
        <v>2387</v>
      </c>
      <c r="D2369" s="2">
        <v>39614</v>
      </c>
      <c r="E2369" s="1" t="s">
        <v>4821</v>
      </c>
      <c r="F2369" s="1" t="s">
        <v>4822</v>
      </c>
    </row>
    <row r="2370" spans="1:6" ht="30" customHeight="1" x14ac:dyDescent="0.25">
      <c r="A2370" s="1" t="s">
        <v>4823</v>
      </c>
      <c r="B2370" s="1" t="str">
        <f>"9780511422379"</f>
        <v>9780511422379</v>
      </c>
      <c r="C2370" s="1" t="s">
        <v>25</v>
      </c>
      <c r="D2370" s="2">
        <v>39630</v>
      </c>
      <c r="E2370" s="1" t="s">
        <v>4824</v>
      </c>
      <c r="F2370" s="1" t="s">
        <v>214</v>
      </c>
    </row>
    <row r="2371" spans="1:6" ht="30" customHeight="1" x14ac:dyDescent="0.25">
      <c r="A2371" s="1" t="s">
        <v>4825</v>
      </c>
      <c r="B2371" s="1" t="str">
        <f>"9780833045980"</f>
        <v>9780833045980</v>
      </c>
      <c r="C2371" s="1" t="s">
        <v>516</v>
      </c>
      <c r="D2371" s="2">
        <v>39520</v>
      </c>
      <c r="E2371" s="1" t="s">
        <v>4826</v>
      </c>
      <c r="F2371" s="1" t="s">
        <v>13</v>
      </c>
    </row>
    <row r="2372" spans="1:6" ht="30" customHeight="1" x14ac:dyDescent="0.25">
      <c r="A2372" s="1" t="s">
        <v>4827</v>
      </c>
      <c r="B2372" s="1" t="str">
        <f>"9780833046024"</f>
        <v>9780833046024</v>
      </c>
      <c r="C2372" s="1" t="s">
        <v>516</v>
      </c>
      <c r="D2372" s="2">
        <v>39503</v>
      </c>
      <c r="E2372" s="1" t="s">
        <v>4828</v>
      </c>
      <c r="F2372" s="1" t="s">
        <v>214</v>
      </c>
    </row>
    <row r="2373" spans="1:6" ht="30" customHeight="1" x14ac:dyDescent="0.25">
      <c r="A2373" s="1" t="s">
        <v>4829</v>
      </c>
      <c r="B2373" s="1" t="str">
        <f>"9781410607089"</f>
        <v>9781410607089</v>
      </c>
      <c r="C2373" s="1" t="s">
        <v>93</v>
      </c>
      <c r="D2373" s="2">
        <v>37651</v>
      </c>
      <c r="E2373" s="1" t="s">
        <v>4830</v>
      </c>
      <c r="F2373" s="1" t="s">
        <v>13</v>
      </c>
    </row>
    <row r="2374" spans="1:6" ht="30" customHeight="1" x14ac:dyDescent="0.25">
      <c r="A2374" s="1" t="s">
        <v>4831</v>
      </c>
      <c r="B2374" s="1" t="str">
        <f>"9780833045294"</f>
        <v>9780833045294</v>
      </c>
      <c r="C2374" s="1" t="s">
        <v>516</v>
      </c>
      <c r="D2374" s="2">
        <v>39553</v>
      </c>
      <c r="E2374" s="1" t="s">
        <v>4832</v>
      </c>
      <c r="F2374" s="1" t="s">
        <v>158</v>
      </c>
    </row>
    <row r="2375" spans="1:6" ht="30" customHeight="1" x14ac:dyDescent="0.25">
      <c r="A2375" s="1" t="s">
        <v>4833</v>
      </c>
      <c r="B2375" s="1" t="str">
        <f>"9788122424850"</f>
        <v>9788122424850</v>
      </c>
      <c r="C2375" s="1" t="s">
        <v>4001</v>
      </c>
      <c r="D2375" s="2">
        <v>38463</v>
      </c>
      <c r="E2375" s="1" t="s">
        <v>4834</v>
      </c>
      <c r="F2375" s="1" t="s">
        <v>137</v>
      </c>
    </row>
    <row r="2376" spans="1:6" ht="30" customHeight="1" x14ac:dyDescent="0.25">
      <c r="A2376" s="1" t="s">
        <v>4835</v>
      </c>
      <c r="B2376" s="1" t="str">
        <f>"9789062998449"</f>
        <v>9789062998449</v>
      </c>
      <c r="C2376" s="1" t="s">
        <v>3412</v>
      </c>
      <c r="D2376" s="2">
        <v>39608</v>
      </c>
      <c r="E2376" s="1" t="s">
        <v>3426</v>
      </c>
      <c r="F2376" s="1" t="s">
        <v>13</v>
      </c>
    </row>
    <row r="2377" spans="1:6" ht="30" customHeight="1" x14ac:dyDescent="0.25">
      <c r="A2377" s="1" t="s">
        <v>4836</v>
      </c>
      <c r="B2377" s="1" t="str">
        <f>"9781845934453"</f>
        <v>9781845934453</v>
      </c>
      <c r="C2377" s="1" t="s">
        <v>2321</v>
      </c>
      <c r="D2377" s="2">
        <v>39661</v>
      </c>
      <c r="E2377" s="1" t="s">
        <v>4837</v>
      </c>
      <c r="F2377" s="1" t="s">
        <v>268</v>
      </c>
    </row>
    <row r="2378" spans="1:6" ht="30" customHeight="1" x14ac:dyDescent="0.25">
      <c r="A2378" s="1" t="s">
        <v>4838</v>
      </c>
      <c r="B2378" s="1" t="str">
        <f>"9788122423037"</f>
        <v>9788122423037</v>
      </c>
      <c r="C2378" s="1" t="s">
        <v>4001</v>
      </c>
      <c r="D2378" s="2">
        <v>39192</v>
      </c>
      <c r="E2378" s="1" t="s">
        <v>4839</v>
      </c>
      <c r="F2378" s="1" t="s">
        <v>137</v>
      </c>
    </row>
    <row r="2379" spans="1:6" ht="30" customHeight="1" x14ac:dyDescent="0.25">
      <c r="A2379" s="1" t="s">
        <v>4840</v>
      </c>
      <c r="B2379" s="1" t="str">
        <f>"9781845934606"</f>
        <v>9781845934606</v>
      </c>
      <c r="C2379" s="1" t="s">
        <v>2321</v>
      </c>
      <c r="D2379" s="2">
        <v>39722</v>
      </c>
      <c r="E2379" s="1" t="s">
        <v>4841</v>
      </c>
      <c r="F2379" s="1" t="s">
        <v>1338</v>
      </c>
    </row>
    <row r="2380" spans="1:6" ht="30" customHeight="1" x14ac:dyDescent="0.25">
      <c r="A2380" s="1" t="s">
        <v>4842</v>
      </c>
      <c r="B2380" s="1" t="str">
        <f>"9780807886182"</f>
        <v>9780807886182</v>
      </c>
      <c r="C2380" s="1" t="s">
        <v>4843</v>
      </c>
      <c r="D2380" s="2">
        <v>39783</v>
      </c>
      <c r="E2380" s="1" t="s">
        <v>4844</v>
      </c>
      <c r="F2380" s="1" t="s">
        <v>95</v>
      </c>
    </row>
    <row r="2381" spans="1:6" ht="30" customHeight="1" x14ac:dyDescent="0.25">
      <c r="A2381" s="1" t="s">
        <v>4845</v>
      </c>
      <c r="B2381" s="1" t="str">
        <f>"9780335236282"</f>
        <v>9780335236282</v>
      </c>
      <c r="C2381" s="1" t="s">
        <v>2247</v>
      </c>
      <c r="D2381" s="2">
        <v>39605</v>
      </c>
      <c r="E2381" s="1" t="s">
        <v>4846</v>
      </c>
      <c r="F2381" s="1" t="s">
        <v>176</v>
      </c>
    </row>
    <row r="2382" spans="1:6" ht="30" customHeight="1" x14ac:dyDescent="0.25">
      <c r="A2382" s="1" t="s">
        <v>4847</v>
      </c>
      <c r="B2382" s="1" t="str">
        <f>"9780335236299"</f>
        <v>9780335236299</v>
      </c>
      <c r="C2382" s="1" t="s">
        <v>2247</v>
      </c>
      <c r="D2382" s="2">
        <v>39580</v>
      </c>
      <c r="E2382" s="1" t="s">
        <v>3623</v>
      </c>
      <c r="F2382" s="1" t="s">
        <v>3294</v>
      </c>
    </row>
    <row r="2383" spans="1:6" ht="30" customHeight="1" x14ac:dyDescent="0.25">
      <c r="A2383" s="1" t="s">
        <v>4848</v>
      </c>
      <c r="B2383" s="1" t="str">
        <f>"9780335236329"</f>
        <v>9780335236329</v>
      </c>
      <c r="C2383" s="1" t="s">
        <v>2247</v>
      </c>
      <c r="D2383" s="2">
        <v>39600</v>
      </c>
      <c r="E2383" s="1" t="s">
        <v>4849</v>
      </c>
      <c r="F2383" s="1" t="s">
        <v>95</v>
      </c>
    </row>
    <row r="2384" spans="1:6" ht="30" customHeight="1" x14ac:dyDescent="0.25">
      <c r="A2384" s="1" t="s">
        <v>4850</v>
      </c>
      <c r="B2384" s="1" t="str">
        <f>"9780335236336"</f>
        <v>9780335236336</v>
      </c>
      <c r="C2384" s="1" t="s">
        <v>2247</v>
      </c>
      <c r="D2384" s="2">
        <v>39569</v>
      </c>
      <c r="E2384" s="1" t="s">
        <v>4851</v>
      </c>
      <c r="F2384" s="1" t="s">
        <v>126</v>
      </c>
    </row>
    <row r="2385" spans="1:6" ht="30" customHeight="1" x14ac:dyDescent="0.25">
      <c r="A2385" s="1" t="s">
        <v>4852</v>
      </c>
      <c r="B2385" s="1" t="str">
        <f>"9780230605657"</f>
        <v>9780230605657</v>
      </c>
      <c r="C2385" s="1" t="s">
        <v>3388</v>
      </c>
      <c r="D2385" s="2">
        <v>39300</v>
      </c>
      <c r="E2385" s="1" t="s">
        <v>4853</v>
      </c>
      <c r="F2385" s="1" t="s">
        <v>4854</v>
      </c>
    </row>
    <row r="2386" spans="1:6" ht="30" customHeight="1" x14ac:dyDescent="0.25">
      <c r="A2386" s="1" t="s">
        <v>4855</v>
      </c>
      <c r="B2386" s="1" t="str">
        <f>"9780813545080"</f>
        <v>9780813545080</v>
      </c>
      <c r="C2386" s="1" t="s">
        <v>3656</v>
      </c>
      <c r="D2386" s="2">
        <v>39647</v>
      </c>
      <c r="E2386" s="1" t="s">
        <v>4856</v>
      </c>
      <c r="F2386" s="1" t="s">
        <v>158</v>
      </c>
    </row>
    <row r="2387" spans="1:6" ht="30" customHeight="1" x14ac:dyDescent="0.25">
      <c r="A2387" s="1" t="s">
        <v>4857</v>
      </c>
      <c r="B2387" s="1" t="str">
        <f>"9780813545097"</f>
        <v>9780813545097</v>
      </c>
      <c r="C2387" s="1" t="s">
        <v>3656</v>
      </c>
      <c r="D2387" s="2">
        <v>39675</v>
      </c>
      <c r="E2387" s="1" t="s">
        <v>4858</v>
      </c>
      <c r="F2387" s="1" t="s">
        <v>30</v>
      </c>
    </row>
    <row r="2388" spans="1:6" ht="30" customHeight="1" x14ac:dyDescent="0.25">
      <c r="A2388" s="1" t="s">
        <v>4859</v>
      </c>
      <c r="B2388" s="1" t="str">
        <f>"9780813545653"</f>
        <v>9780813545653</v>
      </c>
      <c r="C2388" s="1" t="s">
        <v>3656</v>
      </c>
      <c r="D2388" s="2">
        <v>39694</v>
      </c>
      <c r="E2388" s="1" t="s">
        <v>4860</v>
      </c>
      <c r="F2388" s="1" t="s">
        <v>4861</v>
      </c>
    </row>
    <row r="2389" spans="1:6" ht="30" customHeight="1" x14ac:dyDescent="0.25">
      <c r="A2389" s="1" t="s">
        <v>4862</v>
      </c>
      <c r="B2389" s="1" t="str">
        <f>"9780813545608"</f>
        <v>9780813545608</v>
      </c>
      <c r="C2389" s="1" t="s">
        <v>3656</v>
      </c>
      <c r="D2389" s="2">
        <v>39700</v>
      </c>
      <c r="E2389" s="1" t="s">
        <v>4863</v>
      </c>
      <c r="F2389" s="1" t="s">
        <v>13</v>
      </c>
    </row>
    <row r="2390" spans="1:6" ht="30" customHeight="1" x14ac:dyDescent="0.25">
      <c r="A2390" s="1" t="s">
        <v>4864</v>
      </c>
      <c r="B2390" s="1" t="str">
        <f>"9789289071970"</f>
        <v>9789289071970</v>
      </c>
      <c r="C2390" s="1" t="s">
        <v>1981</v>
      </c>
      <c r="D2390" s="2">
        <v>39571</v>
      </c>
      <c r="E2390" s="1" t="s">
        <v>4865</v>
      </c>
      <c r="F2390" s="1" t="s">
        <v>4866</v>
      </c>
    </row>
    <row r="2391" spans="1:6" ht="30" customHeight="1" x14ac:dyDescent="0.25">
      <c r="A2391" s="1" t="s">
        <v>4867</v>
      </c>
      <c r="B2391" s="1" t="str">
        <f>"9789240683235"</f>
        <v>9789240683235</v>
      </c>
      <c r="C2391" s="1" t="s">
        <v>1981</v>
      </c>
      <c r="D2391" s="2">
        <v>39573</v>
      </c>
      <c r="E2391" s="1" t="s">
        <v>4868</v>
      </c>
      <c r="F2391" s="1" t="s">
        <v>4869</v>
      </c>
    </row>
    <row r="2392" spans="1:6" ht="30" customHeight="1" x14ac:dyDescent="0.25">
      <c r="A2392" s="1" t="s">
        <v>4870</v>
      </c>
      <c r="B2392" s="1" t="str">
        <f>"9789240683471"</f>
        <v>9789240683471</v>
      </c>
      <c r="C2392" s="1" t="s">
        <v>1981</v>
      </c>
      <c r="D2392" s="2">
        <v>39524</v>
      </c>
      <c r="E2392" s="1" t="s">
        <v>4871</v>
      </c>
      <c r="F2392" s="1" t="s">
        <v>13</v>
      </c>
    </row>
    <row r="2393" spans="1:6" ht="30" customHeight="1" x14ac:dyDescent="0.25">
      <c r="A2393" s="1" t="s">
        <v>4872</v>
      </c>
      <c r="B2393" s="1" t="str">
        <f>"9789289071949"</f>
        <v>9789289071949</v>
      </c>
      <c r="C2393" s="1" t="s">
        <v>1981</v>
      </c>
      <c r="D2393" s="2">
        <v>39448</v>
      </c>
      <c r="E2393" s="1" t="s">
        <v>4873</v>
      </c>
      <c r="F2393" s="1" t="s">
        <v>95</v>
      </c>
    </row>
    <row r="2394" spans="1:6" ht="30" customHeight="1" x14ac:dyDescent="0.25">
      <c r="A2394" s="1" t="s">
        <v>4874</v>
      </c>
      <c r="B2394" s="1" t="str">
        <f>"9789283204220"</f>
        <v>9789283204220</v>
      </c>
      <c r="C2394" s="1" t="s">
        <v>1981</v>
      </c>
      <c r="D2394" s="2">
        <v>39448</v>
      </c>
      <c r="E2394" s="1" t="s">
        <v>4875</v>
      </c>
      <c r="F2394" s="1" t="s">
        <v>30</v>
      </c>
    </row>
    <row r="2395" spans="1:6" ht="30" customHeight="1" x14ac:dyDescent="0.25">
      <c r="A2395" s="1" t="s">
        <v>4876</v>
      </c>
      <c r="B2395" s="1" t="str">
        <f>"9789283204213"</f>
        <v>9789283204213</v>
      </c>
      <c r="C2395" s="1" t="s">
        <v>1981</v>
      </c>
      <c r="D2395" s="2">
        <v>38737</v>
      </c>
      <c r="E2395" s="1" t="s">
        <v>4877</v>
      </c>
      <c r="F2395" s="1" t="s">
        <v>13</v>
      </c>
    </row>
    <row r="2396" spans="1:6" ht="30" customHeight="1" x14ac:dyDescent="0.25">
      <c r="A2396" s="1" t="s">
        <v>4878</v>
      </c>
      <c r="B2396" s="1" t="str">
        <f>"9789283215905"</f>
        <v>9789283215905</v>
      </c>
      <c r="C2396" s="1" t="s">
        <v>1981</v>
      </c>
      <c r="D2396" s="2">
        <v>38737</v>
      </c>
      <c r="E2396" s="1" t="s">
        <v>4877</v>
      </c>
      <c r="F2396" s="1" t="s">
        <v>13</v>
      </c>
    </row>
    <row r="2397" spans="1:6" ht="30" customHeight="1" x14ac:dyDescent="0.25">
      <c r="A2397" s="1" t="s">
        <v>4879</v>
      </c>
      <c r="B2397" s="1" t="str">
        <f>"9789283215899"</f>
        <v>9789283215899</v>
      </c>
      <c r="C2397" s="1" t="s">
        <v>1981</v>
      </c>
      <c r="D2397" s="2">
        <v>37621</v>
      </c>
      <c r="E2397" s="1" t="s">
        <v>4880</v>
      </c>
      <c r="F2397" s="1" t="s">
        <v>13</v>
      </c>
    </row>
    <row r="2398" spans="1:6" ht="30" customHeight="1" x14ac:dyDescent="0.25">
      <c r="A2398" s="1" t="s">
        <v>4881</v>
      </c>
      <c r="B2398" s="1" t="str">
        <f>"9789283215882"</f>
        <v>9789283215882</v>
      </c>
      <c r="C2398" s="1" t="s">
        <v>1981</v>
      </c>
      <c r="D2398" s="2">
        <v>37530</v>
      </c>
      <c r="E2398" s="1" t="s">
        <v>4877</v>
      </c>
      <c r="F2398" s="1" t="s">
        <v>13</v>
      </c>
    </row>
    <row r="2399" spans="1:6" ht="30" customHeight="1" x14ac:dyDescent="0.25">
      <c r="A2399" s="1" t="s">
        <v>4882</v>
      </c>
      <c r="B2399" s="1" t="str">
        <f>"9789283215875"</f>
        <v>9789283215875</v>
      </c>
      <c r="C2399" s="1" t="s">
        <v>1981</v>
      </c>
      <c r="D2399" s="2">
        <v>37377</v>
      </c>
      <c r="E2399" s="1" t="s">
        <v>4877</v>
      </c>
      <c r="F2399" s="1" t="s">
        <v>158</v>
      </c>
    </row>
    <row r="2400" spans="1:6" ht="30" customHeight="1" x14ac:dyDescent="0.25">
      <c r="A2400" s="1" t="s">
        <v>4883</v>
      </c>
      <c r="B2400" s="1" t="str">
        <f>"9789283215868"</f>
        <v>9789283215868</v>
      </c>
      <c r="C2400" s="1" t="s">
        <v>1981</v>
      </c>
      <c r="D2400" s="2">
        <v>36892</v>
      </c>
      <c r="E2400" s="1" t="s">
        <v>4877</v>
      </c>
      <c r="F2400" s="1" t="s">
        <v>148</v>
      </c>
    </row>
    <row r="2401" spans="1:6" ht="30" customHeight="1" x14ac:dyDescent="0.25">
      <c r="A2401" s="1" t="s">
        <v>4884</v>
      </c>
      <c r="B2401" s="1" t="str">
        <f>"9789283215851"</f>
        <v>9789283215851</v>
      </c>
      <c r="C2401" s="1" t="s">
        <v>1981</v>
      </c>
      <c r="D2401" s="2">
        <v>36923</v>
      </c>
      <c r="E2401" s="1" t="s">
        <v>4877</v>
      </c>
      <c r="F2401" s="1" t="s">
        <v>158</v>
      </c>
    </row>
    <row r="2402" spans="1:6" ht="30" customHeight="1" x14ac:dyDescent="0.25">
      <c r="A2402" s="1" t="s">
        <v>4885</v>
      </c>
      <c r="B2402" s="1" t="str">
        <f>"9789283215844"</f>
        <v>9789283215844</v>
      </c>
      <c r="C2402" s="1" t="s">
        <v>1981</v>
      </c>
      <c r="D2402" s="2">
        <v>36800</v>
      </c>
      <c r="E2402" s="1" t="s">
        <v>4877</v>
      </c>
      <c r="F2402" s="1" t="s">
        <v>13</v>
      </c>
    </row>
    <row r="2403" spans="1:6" ht="30" customHeight="1" x14ac:dyDescent="0.25">
      <c r="A2403" s="1" t="s">
        <v>4886</v>
      </c>
      <c r="B2403" s="1" t="str">
        <f>"9789240683365"</f>
        <v>9789240683365</v>
      </c>
      <c r="C2403" s="1" t="s">
        <v>1981</v>
      </c>
      <c r="D2403" s="2">
        <v>39448</v>
      </c>
      <c r="E2403" s="1" t="s">
        <v>4887</v>
      </c>
      <c r="F2403" s="1" t="s">
        <v>176</v>
      </c>
    </row>
    <row r="2404" spans="1:6" ht="30" customHeight="1" x14ac:dyDescent="0.25">
      <c r="A2404" s="1" t="s">
        <v>4888</v>
      </c>
      <c r="B2404" s="1" t="str">
        <f>"9781933503226"</f>
        <v>9781933503226</v>
      </c>
      <c r="C2404" s="1" t="s">
        <v>4889</v>
      </c>
      <c r="D2404" s="2">
        <v>39383</v>
      </c>
      <c r="E2404" s="1" t="s">
        <v>4890</v>
      </c>
      <c r="F2404" s="1" t="s">
        <v>13</v>
      </c>
    </row>
    <row r="2405" spans="1:6" ht="30" customHeight="1" x14ac:dyDescent="0.25">
      <c r="A2405" s="1" t="s">
        <v>4891</v>
      </c>
      <c r="B2405" s="1" t="str">
        <f>"9781933503233"</f>
        <v>9781933503233</v>
      </c>
      <c r="C2405" s="1" t="s">
        <v>4889</v>
      </c>
      <c r="D2405" s="2">
        <v>37712</v>
      </c>
      <c r="E2405" s="1" t="s">
        <v>4892</v>
      </c>
      <c r="F2405" s="1" t="s">
        <v>13</v>
      </c>
    </row>
    <row r="2406" spans="1:6" ht="30" customHeight="1" x14ac:dyDescent="0.25">
      <c r="A2406" s="1" t="s">
        <v>4893</v>
      </c>
      <c r="B2406" s="1" t="str">
        <f>"9781933503240"</f>
        <v>9781933503240</v>
      </c>
      <c r="C2406" s="1" t="s">
        <v>4889</v>
      </c>
      <c r="D2406" s="2">
        <v>39356</v>
      </c>
      <c r="E2406" s="1" t="s">
        <v>4892</v>
      </c>
      <c r="F2406" s="1" t="s">
        <v>13</v>
      </c>
    </row>
    <row r="2407" spans="1:6" ht="30" customHeight="1" x14ac:dyDescent="0.25">
      <c r="A2407" s="1" t="s">
        <v>4894</v>
      </c>
      <c r="B2407" s="1" t="str">
        <f>"9780471666776"</f>
        <v>9780471666776</v>
      </c>
      <c r="C2407" s="1" t="s">
        <v>65</v>
      </c>
      <c r="D2407" s="2">
        <v>38105</v>
      </c>
      <c r="E2407" s="1" t="s">
        <v>4895</v>
      </c>
      <c r="F2407" s="1" t="s">
        <v>13</v>
      </c>
    </row>
    <row r="2408" spans="1:6" ht="30" customHeight="1" x14ac:dyDescent="0.25">
      <c r="A2408" s="1" t="s">
        <v>4896</v>
      </c>
      <c r="B2408" s="1" t="str">
        <f>"9780471671572"</f>
        <v>9780471671572</v>
      </c>
      <c r="C2408" s="1" t="s">
        <v>65</v>
      </c>
      <c r="D2408" s="2">
        <v>38105</v>
      </c>
      <c r="E2408" s="1" t="s">
        <v>4897</v>
      </c>
      <c r="F2408" s="1" t="s">
        <v>13</v>
      </c>
    </row>
    <row r="2409" spans="1:6" ht="30" customHeight="1" x14ac:dyDescent="0.25">
      <c r="A2409" s="1" t="s">
        <v>4898</v>
      </c>
      <c r="B2409" s="1" t="str">
        <f>"9780470752500"</f>
        <v>9780470752500</v>
      </c>
      <c r="C2409" s="1" t="s">
        <v>65</v>
      </c>
      <c r="D2409" s="2">
        <v>38961</v>
      </c>
      <c r="E2409" s="1" t="s">
        <v>4899</v>
      </c>
      <c r="F2409" s="1" t="s">
        <v>95</v>
      </c>
    </row>
    <row r="2410" spans="1:6" ht="30" customHeight="1" x14ac:dyDescent="0.25">
      <c r="A2410" s="1" t="s">
        <v>4900</v>
      </c>
      <c r="B2410" s="1" t="str">
        <f>"9780470371527"</f>
        <v>9780470371527</v>
      </c>
      <c r="C2410" s="1" t="s">
        <v>11</v>
      </c>
      <c r="D2410" s="2">
        <v>39650</v>
      </c>
      <c r="E2410" s="1" t="s">
        <v>4901</v>
      </c>
      <c r="F2410" s="1" t="s">
        <v>3261</v>
      </c>
    </row>
    <row r="2411" spans="1:6" ht="30" customHeight="1" x14ac:dyDescent="0.25">
      <c r="A2411" s="1" t="s">
        <v>4902</v>
      </c>
      <c r="B2411" s="1" t="str">
        <f>"9780470376676"</f>
        <v>9780470376676</v>
      </c>
      <c r="C2411" s="1" t="s">
        <v>65</v>
      </c>
      <c r="D2411" s="2">
        <v>39716</v>
      </c>
      <c r="E2411" s="1" t="s">
        <v>4903</v>
      </c>
      <c r="F2411" s="1" t="s">
        <v>13</v>
      </c>
    </row>
    <row r="2412" spans="1:6" ht="30" customHeight="1" x14ac:dyDescent="0.25">
      <c r="A2412" s="1" t="s">
        <v>4904</v>
      </c>
      <c r="B2412" s="1" t="str">
        <f>"9780470376683"</f>
        <v>9780470376683</v>
      </c>
      <c r="C2412" s="1" t="s">
        <v>65</v>
      </c>
      <c r="D2412" s="2">
        <v>39716</v>
      </c>
      <c r="E2412" s="1" t="s">
        <v>4905</v>
      </c>
      <c r="F2412" s="1" t="s">
        <v>4906</v>
      </c>
    </row>
    <row r="2413" spans="1:6" ht="30" customHeight="1" x14ac:dyDescent="0.25">
      <c r="A2413" s="1" t="s">
        <v>4907</v>
      </c>
      <c r="B2413" s="1" t="str">
        <f>"9780875866208"</f>
        <v>9780875866208</v>
      </c>
      <c r="C2413" s="1" t="s">
        <v>3733</v>
      </c>
      <c r="D2413" s="2">
        <v>39588</v>
      </c>
      <c r="E2413" s="1" t="s">
        <v>4908</v>
      </c>
      <c r="F2413" s="1" t="s">
        <v>30</v>
      </c>
    </row>
    <row r="2414" spans="1:6" ht="30" customHeight="1" x14ac:dyDescent="0.25">
      <c r="A2414" s="1" t="s">
        <v>4909</v>
      </c>
      <c r="B2414" s="1" t="str">
        <f>"9781607503279"</f>
        <v>9781607503279</v>
      </c>
      <c r="C2414" s="1" t="s">
        <v>1390</v>
      </c>
      <c r="D2414" s="2">
        <v>39645</v>
      </c>
      <c r="E2414" s="1" t="s">
        <v>4910</v>
      </c>
      <c r="F2414" s="1" t="s">
        <v>4911</v>
      </c>
    </row>
    <row r="2415" spans="1:6" ht="30" customHeight="1" x14ac:dyDescent="0.25">
      <c r="A2415" s="1" t="s">
        <v>4912</v>
      </c>
      <c r="B2415" s="1" t="str">
        <f>"9781607503286"</f>
        <v>9781607503286</v>
      </c>
      <c r="C2415" s="1" t="s">
        <v>1390</v>
      </c>
      <c r="D2415" s="2">
        <v>39632</v>
      </c>
      <c r="E2415" s="1" t="s">
        <v>4913</v>
      </c>
      <c r="F2415" s="1" t="s">
        <v>4914</v>
      </c>
    </row>
    <row r="2416" spans="1:6" ht="30" customHeight="1" x14ac:dyDescent="0.25">
      <c r="A2416" s="1" t="s">
        <v>4915</v>
      </c>
      <c r="B2416" s="1" t="str">
        <f>"9781607503415"</f>
        <v>9781607503415</v>
      </c>
      <c r="C2416" s="1" t="s">
        <v>1390</v>
      </c>
      <c r="D2416" s="2">
        <v>39653</v>
      </c>
      <c r="E2416" s="1" t="s">
        <v>4916</v>
      </c>
      <c r="F2416" s="1" t="s">
        <v>13</v>
      </c>
    </row>
    <row r="2417" spans="1:6" ht="30" customHeight="1" x14ac:dyDescent="0.25">
      <c r="A2417" s="1" t="s">
        <v>4917</v>
      </c>
      <c r="B2417" s="1" t="str">
        <f>"9781607503422"</f>
        <v>9781607503422</v>
      </c>
      <c r="C2417" s="1" t="s">
        <v>1390</v>
      </c>
      <c r="D2417" s="2">
        <v>39590</v>
      </c>
      <c r="E2417" s="1" t="s">
        <v>4918</v>
      </c>
      <c r="F2417" s="1" t="s">
        <v>1469</v>
      </c>
    </row>
    <row r="2418" spans="1:6" ht="30" customHeight="1" x14ac:dyDescent="0.25">
      <c r="A2418" s="1" t="s">
        <v>4919</v>
      </c>
      <c r="B2418" s="1" t="str">
        <f>"9781597453752"</f>
        <v>9781597453752</v>
      </c>
      <c r="C2418" s="1" t="s">
        <v>4189</v>
      </c>
      <c r="D2418" s="2">
        <v>39448</v>
      </c>
      <c r="E2418" s="1" t="s">
        <v>4920</v>
      </c>
      <c r="F2418" s="1" t="s">
        <v>1372</v>
      </c>
    </row>
    <row r="2419" spans="1:6" ht="30" customHeight="1" x14ac:dyDescent="0.25">
      <c r="A2419" s="1" t="s">
        <v>4921</v>
      </c>
      <c r="B2419" s="1" t="str">
        <f>"9781402069895"</f>
        <v>9781402069895</v>
      </c>
      <c r="C2419" s="1" t="s">
        <v>4922</v>
      </c>
      <c r="D2419" s="2">
        <v>39783</v>
      </c>
      <c r="E2419" s="1" t="s">
        <v>4923</v>
      </c>
      <c r="F2419" s="1" t="s">
        <v>4924</v>
      </c>
    </row>
    <row r="2420" spans="1:6" ht="30" customHeight="1" x14ac:dyDescent="0.25">
      <c r="A2420" s="1" t="s">
        <v>4925</v>
      </c>
      <c r="B2420" s="1" t="str">
        <f>"9781846428395"</f>
        <v>9781846428395</v>
      </c>
      <c r="C2420" s="1" t="s">
        <v>2387</v>
      </c>
      <c r="D2420" s="2">
        <v>39736</v>
      </c>
      <c r="E2420" s="1" t="s">
        <v>4926</v>
      </c>
      <c r="F2420" s="1" t="s">
        <v>13</v>
      </c>
    </row>
    <row r="2421" spans="1:6" ht="30" customHeight="1" x14ac:dyDescent="0.25">
      <c r="A2421" s="1" t="s">
        <v>4927</v>
      </c>
      <c r="B2421" s="1" t="str">
        <f>"9781846428456"</f>
        <v>9781846428456</v>
      </c>
      <c r="C2421" s="1" t="s">
        <v>2387</v>
      </c>
      <c r="D2421" s="2">
        <v>39706</v>
      </c>
      <c r="E2421" s="1" t="s">
        <v>4928</v>
      </c>
      <c r="F2421" s="1" t="s">
        <v>13</v>
      </c>
    </row>
    <row r="2422" spans="1:6" ht="30" customHeight="1" x14ac:dyDescent="0.25">
      <c r="A2422" s="1" t="s">
        <v>4929</v>
      </c>
      <c r="B2422" s="1" t="str">
        <f>"9781846428296"</f>
        <v>9781846428296</v>
      </c>
      <c r="C2422" s="1" t="s">
        <v>2387</v>
      </c>
      <c r="D2422" s="2">
        <v>39644</v>
      </c>
      <c r="E2422" s="1" t="s">
        <v>4930</v>
      </c>
      <c r="F2422" s="1" t="s">
        <v>13</v>
      </c>
    </row>
    <row r="2423" spans="1:6" ht="30" customHeight="1" x14ac:dyDescent="0.25">
      <c r="A2423" s="1" t="s">
        <v>4931</v>
      </c>
      <c r="B2423" s="1" t="str">
        <f>"9781846428425"</f>
        <v>9781846428425</v>
      </c>
      <c r="C2423" s="1" t="s">
        <v>2387</v>
      </c>
      <c r="D2423" s="2">
        <v>39706</v>
      </c>
      <c r="E2423" s="1" t="s">
        <v>4932</v>
      </c>
      <c r="F2423" s="1" t="s">
        <v>158</v>
      </c>
    </row>
    <row r="2424" spans="1:6" ht="30" customHeight="1" x14ac:dyDescent="0.25">
      <c r="A2424" s="1" t="s">
        <v>4933</v>
      </c>
      <c r="B2424" s="1" t="str">
        <f>"9781846428319"</f>
        <v>9781846428319</v>
      </c>
      <c r="C2424" s="1" t="s">
        <v>2387</v>
      </c>
      <c r="D2424" s="2">
        <v>39675</v>
      </c>
      <c r="E2424" s="1" t="s">
        <v>4934</v>
      </c>
      <c r="F2424" s="1" t="s">
        <v>158</v>
      </c>
    </row>
    <row r="2425" spans="1:6" ht="30" customHeight="1" x14ac:dyDescent="0.25">
      <c r="A2425" s="1" t="s">
        <v>4935</v>
      </c>
      <c r="B2425" s="1" t="str">
        <f>"9781846428418"</f>
        <v>9781846428418</v>
      </c>
      <c r="C2425" s="1" t="s">
        <v>2387</v>
      </c>
      <c r="D2425" s="2">
        <v>39736</v>
      </c>
      <c r="E2425" s="1" t="s">
        <v>4936</v>
      </c>
      <c r="F2425" s="1" t="s">
        <v>13</v>
      </c>
    </row>
    <row r="2426" spans="1:6" ht="30" customHeight="1" x14ac:dyDescent="0.25">
      <c r="A2426" s="1" t="s">
        <v>4937</v>
      </c>
      <c r="B2426" s="1" t="str">
        <f>"9781846428098"</f>
        <v>9781846428098</v>
      </c>
      <c r="C2426" s="1" t="s">
        <v>2387</v>
      </c>
      <c r="D2426" s="2">
        <v>39675</v>
      </c>
      <c r="E2426" s="1" t="s">
        <v>4938</v>
      </c>
      <c r="F2426" s="1" t="s">
        <v>13</v>
      </c>
    </row>
    <row r="2427" spans="1:6" ht="30" customHeight="1" x14ac:dyDescent="0.25">
      <c r="A2427" s="1" t="s">
        <v>4939</v>
      </c>
      <c r="B2427" s="1" t="str">
        <f>"9781846428289"</f>
        <v>9781846428289</v>
      </c>
      <c r="C2427" s="1" t="s">
        <v>2387</v>
      </c>
      <c r="D2427" s="2">
        <v>39644</v>
      </c>
      <c r="E2427" s="1" t="s">
        <v>4940</v>
      </c>
      <c r="F2427" s="1" t="s">
        <v>13</v>
      </c>
    </row>
    <row r="2428" spans="1:6" ht="30" customHeight="1" x14ac:dyDescent="0.25">
      <c r="A2428" s="1" t="s">
        <v>4941</v>
      </c>
      <c r="B2428" s="1" t="str">
        <f>"9781846428241"</f>
        <v>9781846428241</v>
      </c>
      <c r="C2428" s="1" t="s">
        <v>2387</v>
      </c>
      <c r="D2428" s="2">
        <v>39644</v>
      </c>
      <c r="E2428" s="1" t="s">
        <v>4942</v>
      </c>
      <c r="F2428" s="1" t="s">
        <v>13</v>
      </c>
    </row>
    <row r="2429" spans="1:6" ht="30" customHeight="1" x14ac:dyDescent="0.25">
      <c r="A2429" s="1" t="s">
        <v>4943</v>
      </c>
      <c r="B2429" s="1" t="str">
        <f>"9781846428449"</f>
        <v>9781846428449</v>
      </c>
      <c r="C2429" s="1" t="s">
        <v>2387</v>
      </c>
      <c r="D2429" s="2">
        <v>39706</v>
      </c>
      <c r="E2429" s="1" t="s">
        <v>4944</v>
      </c>
      <c r="F2429" s="1" t="s">
        <v>599</v>
      </c>
    </row>
    <row r="2430" spans="1:6" ht="30" customHeight="1" x14ac:dyDescent="0.25">
      <c r="A2430" s="1" t="s">
        <v>4945</v>
      </c>
      <c r="B2430" s="1" t="str">
        <f>"9781846428494"</f>
        <v>9781846428494</v>
      </c>
      <c r="C2430" s="1" t="s">
        <v>2387</v>
      </c>
      <c r="D2430" s="2">
        <v>39706</v>
      </c>
      <c r="E2430" s="1" t="s">
        <v>4946</v>
      </c>
      <c r="F2430" s="1" t="s">
        <v>13</v>
      </c>
    </row>
    <row r="2431" spans="1:6" ht="30" customHeight="1" x14ac:dyDescent="0.25">
      <c r="A2431" s="1" t="s">
        <v>4947</v>
      </c>
      <c r="B2431" s="1" t="str">
        <f>"9781846428388"</f>
        <v>9781846428388</v>
      </c>
      <c r="C2431" s="1" t="s">
        <v>2387</v>
      </c>
      <c r="D2431" s="2">
        <v>39675</v>
      </c>
      <c r="E2431" s="1" t="s">
        <v>4948</v>
      </c>
      <c r="F2431" s="1" t="s">
        <v>13</v>
      </c>
    </row>
    <row r="2432" spans="1:6" ht="30" customHeight="1" x14ac:dyDescent="0.25">
      <c r="A2432" s="1" t="s">
        <v>4949</v>
      </c>
      <c r="B2432" s="1" t="str">
        <f>"9780470370247"</f>
        <v>9780470370247</v>
      </c>
      <c r="C2432" s="1" t="s">
        <v>11</v>
      </c>
      <c r="D2432" s="2">
        <v>39724</v>
      </c>
      <c r="E2432" s="1" t="s">
        <v>4950</v>
      </c>
      <c r="F2432" s="1" t="s">
        <v>4951</v>
      </c>
    </row>
    <row r="2433" spans="1:6" ht="30" customHeight="1" x14ac:dyDescent="0.25">
      <c r="A2433" s="1" t="s">
        <v>4952</v>
      </c>
      <c r="B2433" s="1" t="str">
        <f>"9780470722145"</f>
        <v>9780470722145</v>
      </c>
      <c r="C2433" s="1" t="s">
        <v>65</v>
      </c>
      <c r="D2433" s="2">
        <v>39706</v>
      </c>
      <c r="E2433" s="1" t="s">
        <v>4953</v>
      </c>
      <c r="F2433" s="1" t="s">
        <v>13</v>
      </c>
    </row>
    <row r="2434" spans="1:6" ht="30" customHeight="1" x14ac:dyDescent="0.25">
      <c r="A2434" s="1" t="s">
        <v>4954</v>
      </c>
      <c r="B2434" s="1" t="str">
        <f>"9780470985724"</f>
        <v>9780470985724</v>
      </c>
      <c r="C2434" s="1" t="s">
        <v>65</v>
      </c>
      <c r="D2434" s="2">
        <v>39706</v>
      </c>
      <c r="E2434" s="1" t="s">
        <v>4955</v>
      </c>
      <c r="F2434" s="1" t="s">
        <v>13</v>
      </c>
    </row>
    <row r="2435" spans="1:6" ht="30" customHeight="1" x14ac:dyDescent="0.25">
      <c r="A2435" s="1" t="s">
        <v>4956</v>
      </c>
      <c r="B2435" s="1" t="str">
        <f>"9780470997383"</f>
        <v>9780470997383</v>
      </c>
      <c r="C2435" s="1" t="s">
        <v>65</v>
      </c>
      <c r="D2435" s="2">
        <v>39706</v>
      </c>
      <c r="E2435" s="1" t="s">
        <v>4957</v>
      </c>
      <c r="F2435" s="1" t="s">
        <v>13</v>
      </c>
    </row>
    <row r="2436" spans="1:6" ht="30" customHeight="1" x14ac:dyDescent="0.25">
      <c r="A2436" s="1" t="s">
        <v>4958</v>
      </c>
      <c r="B2436" s="1" t="str">
        <f>"9780470751756"</f>
        <v>9780470751756</v>
      </c>
      <c r="C2436" s="1" t="s">
        <v>65</v>
      </c>
      <c r="D2436" s="2">
        <v>39706</v>
      </c>
      <c r="E2436" s="1" t="s">
        <v>4959</v>
      </c>
      <c r="F2436" s="1" t="s">
        <v>13</v>
      </c>
    </row>
    <row r="2437" spans="1:6" ht="30" customHeight="1" x14ac:dyDescent="0.25">
      <c r="A2437" s="1" t="s">
        <v>4960</v>
      </c>
      <c r="B2437" s="1" t="str">
        <f>"9780511436338"</f>
        <v>9780511436338</v>
      </c>
      <c r="C2437" s="1" t="s">
        <v>25</v>
      </c>
      <c r="D2437" s="2">
        <v>39722</v>
      </c>
      <c r="E2437" s="1" t="s">
        <v>4961</v>
      </c>
      <c r="F2437" s="1" t="s">
        <v>1693</v>
      </c>
    </row>
    <row r="2438" spans="1:6" ht="30" customHeight="1" x14ac:dyDescent="0.25">
      <c r="A2438" s="1" t="s">
        <v>4962</v>
      </c>
      <c r="B2438" s="1" t="str">
        <f>"9780511436017"</f>
        <v>9780511436017</v>
      </c>
      <c r="C2438" s="1" t="s">
        <v>25</v>
      </c>
      <c r="D2438" s="2">
        <v>39685</v>
      </c>
      <c r="E2438" s="1" t="s">
        <v>4963</v>
      </c>
      <c r="F2438" s="1" t="s">
        <v>13</v>
      </c>
    </row>
    <row r="2439" spans="1:6" ht="30" customHeight="1" x14ac:dyDescent="0.25">
      <c r="A2439" s="1" t="s">
        <v>4964</v>
      </c>
      <c r="B2439" s="1" t="str">
        <f>"9780511436369"</f>
        <v>9780511436369</v>
      </c>
      <c r="C2439" s="1" t="s">
        <v>25</v>
      </c>
      <c r="D2439" s="2">
        <v>39692</v>
      </c>
      <c r="E2439" s="1" t="s">
        <v>4965</v>
      </c>
      <c r="F2439" s="1" t="s">
        <v>2229</v>
      </c>
    </row>
    <row r="2440" spans="1:6" ht="30" customHeight="1" x14ac:dyDescent="0.25">
      <c r="A2440" s="1" t="s">
        <v>4966</v>
      </c>
      <c r="B2440" s="1" t="str">
        <f>"9780511436390"</f>
        <v>9780511436390</v>
      </c>
      <c r="C2440" s="1" t="s">
        <v>25</v>
      </c>
      <c r="D2440" s="2">
        <v>39722</v>
      </c>
      <c r="E2440" s="1" t="s">
        <v>4967</v>
      </c>
      <c r="F2440" s="1" t="s">
        <v>13</v>
      </c>
    </row>
    <row r="2441" spans="1:6" ht="30" customHeight="1" x14ac:dyDescent="0.25">
      <c r="A2441" s="1" t="s">
        <v>4968</v>
      </c>
      <c r="B2441" s="1" t="str">
        <f>"9780511436062"</f>
        <v>9780511436062</v>
      </c>
      <c r="C2441" s="1" t="s">
        <v>25</v>
      </c>
      <c r="D2441" s="2">
        <v>39678</v>
      </c>
      <c r="E2441" s="1" t="s">
        <v>4969</v>
      </c>
      <c r="F2441" s="1" t="s">
        <v>13</v>
      </c>
    </row>
    <row r="2442" spans="1:6" ht="30" customHeight="1" x14ac:dyDescent="0.25">
      <c r="A2442" s="1" t="s">
        <v>4970</v>
      </c>
      <c r="B2442" s="1" t="str">
        <f>"9780511436413"</f>
        <v>9780511436413</v>
      </c>
      <c r="C2442" s="1" t="s">
        <v>25</v>
      </c>
      <c r="D2442" s="2">
        <v>39734</v>
      </c>
      <c r="E2442" s="1" t="s">
        <v>4971</v>
      </c>
      <c r="F2442" s="1" t="s">
        <v>13</v>
      </c>
    </row>
    <row r="2443" spans="1:6" ht="30" customHeight="1" x14ac:dyDescent="0.25">
      <c r="A2443" s="1" t="s">
        <v>4972</v>
      </c>
      <c r="B2443" s="1" t="str">
        <f>"9780511436468"</f>
        <v>9780511436468</v>
      </c>
      <c r="C2443" s="1" t="s">
        <v>25</v>
      </c>
      <c r="D2443" s="2">
        <v>39730</v>
      </c>
      <c r="E2443" s="1" t="s">
        <v>4973</v>
      </c>
      <c r="F2443" s="1" t="s">
        <v>13</v>
      </c>
    </row>
    <row r="2444" spans="1:6" ht="30" customHeight="1" x14ac:dyDescent="0.25">
      <c r="A2444" s="1" t="s">
        <v>4974</v>
      </c>
      <c r="B2444" s="1" t="str">
        <f>"9780511436543"</f>
        <v>9780511436543</v>
      </c>
      <c r="C2444" s="1" t="s">
        <v>25</v>
      </c>
      <c r="D2444" s="2">
        <v>39722</v>
      </c>
      <c r="E2444" s="1" t="s">
        <v>4975</v>
      </c>
      <c r="F2444" s="1" t="s">
        <v>205</v>
      </c>
    </row>
    <row r="2445" spans="1:6" ht="30" customHeight="1" x14ac:dyDescent="0.25">
      <c r="A2445" s="1" t="s">
        <v>4976</v>
      </c>
      <c r="B2445" s="1" t="str">
        <f>"9781402086175"</f>
        <v>9781402086175</v>
      </c>
      <c r="C2445" s="1" t="s">
        <v>4178</v>
      </c>
      <c r="D2445" s="2">
        <v>39783</v>
      </c>
      <c r="E2445" s="1" t="s">
        <v>4977</v>
      </c>
      <c r="F2445" s="1" t="s">
        <v>75</v>
      </c>
    </row>
    <row r="2446" spans="1:6" ht="30" customHeight="1" x14ac:dyDescent="0.25">
      <c r="A2446" s="1" t="s">
        <v>4978</v>
      </c>
      <c r="B2446" s="1" t="str">
        <f>"9780816656660"</f>
        <v>9780816656660</v>
      </c>
      <c r="C2446" s="1" t="s">
        <v>3458</v>
      </c>
      <c r="D2446" s="2">
        <v>39577</v>
      </c>
      <c r="E2446" s="1" t="s">
        <v>4979</v>
      </c>
      <c r="F2446" s="1" t="s">
        <v>148</v>
      </c>
    </row>
    <row r="2447" spans="1:6" ht="30" customHeight="1" x14ac:dyDescent="0.25">
      <c r="A2447" s="1" t="s">
        <v>4980</v>
      </c>
      <c r="B2447" s="1" t="str">
        <f>"9789240683211"</f>
        <v>9789240683211</v>
      </c>
      <c r="C2447" s="1" t="s">
        <v>1981</v>
      </c>
      <c r="D2447" s="2">
        <v>39220</v>
      </c>
      <c r="E2447" s="1" t="s">
        <v>4981</v>
      </c>
      <c r="F2447" s="1" t="s">
        <v>158</v>
      </c>
    </row>
    <row r="2448" spans="1:6" ht="30" customHeight="1" x14ac:dyDescent="0.25">
      <c r="A2448" s="1" t="s">
        <v>4982</v>
      </c>
      <c r="B2448" s="1" t="str">
        <f>"9789240683396"</f>
        <v>9789240683396</v>
      </c>
      <c r="C2448" s="1" t="s">
        <v>1981</v>
      </c>
      <c r="D2448" s="2">
        <v>39666</v>
      </c>
      <c r="E2448" s="1" t="s">
        <v>3256</v>
      </c>
      <c r="F2448" s="1" t="s">
        <v>95</v>
      </c>
    </row>
    <row r="2449" spans="1:6" ht="30" customHeight="1" x14ac:dyDescent="0.25">
      <c r="A2449" s="1" t="s">
        <v>4983</v>
      </c>
      <c r="B2449" s="1" t="str">
        <f>"9780851998428"</f>
        <v>9780851998428</v>
      </c>
      <c r="C2449" s="1" t="s">
        <v>2321</v>
      </c>
      <c r="D2449" s="2">
        <v>37970</v>
      </c>
      <c r="E2449" s="1" t="s">
        <v>4984</v>
      </c>
      <c r="F2449" s="1" t="s">
        <v>1400</v>
      </c>
    </row>
    <row r="2450" spans="1:6" ht="30" customHeight="1" x14ac:dyDescent="0.25">
      <c r="A2450" s="1" t="s">
        <v>4985</v>
      </c>
      <c r="B2450" s="1" t="str">
        <f>"9780851999609"</f>
        <v>9780851999609</v>
      </c>
      <c r="C2450" s="1" t="s">
        <v>2321</v>
      </c>
      <c r="D2450" s="2">
        <v>36739</v>
      </c>
      <c r="E2450" s="1" t="s">
        <v>4986</v>
      </c>
      <c r="F2450" s="1" t="s">
        <v>4987</v>
      </c>
    </row>
    <row r="2451" spans="1:6" ht="30" customHeight="1" x14ac:dyDescent="0.25">
      <c r="A2451" s="1" t="s">
        <v>4988</v>
      </c>
      <c r="B2451" s="1" t="str">
        <f>"9780851990743"</f>
        <v>9780851990743</v>
      </c>
      <c r="C2451" s="1" t="s">
        <v>2321</v>
      </c>
      <c r="D2451" s="2">
        <v>38261</v>
      </c>
      <c r="E2451" s="1" t="s">
        <v>4989</v>
      </c>
      <c r="F2451" s="1" t="s">
        <v>70</v>
      </c>
    </row>
    <row r="2452" spans="1:6" ht="30" customHeight="1" x14ac:dyDescent="0.25">
      <c r="A2452" s="1" t="s">
        <v>4990</v>
      </c>
      <c r="B2452" s="1" t="str">
        <f>"9781845933050"</f>
        <v>9781845933050</v>
      </c>
      <c r="C2452" s="1" t="s">
        <v>2321</v>
      </c>
      <c r="D2452" s="2">
        <v>36617</v>
      </c>
      <c r="E2452" s="1" t="s">
        <v>4991</v>
      </c>
      <c r="F2452" s="1" t="s">
        <v>4992</v>
      </c>
    </row>
    <row r="2453" spans="1:6" ht="30" customHeight="1" x14ac:dyDescent="0.25">
      <c r="A2453" s="1" t="s">
        <v>4993</v>
      </c>
      <c r="B2453" s="1" t="str">
        <f>"9780851998510"</f>
        <v>9780851998510</v>
      </c>
      <c r="C2453" s="1" t="s">
        <v>2321</v>
      </c>
      <c r="D2453" s="2">
        <v>37803</v>
      </c>
      <c r="E2453" s="1" t="s">
        <v>4994</v>
      </c>
      <c r="F2453" s="1" t="s">
        <v>63</v>
      </c>
    </row>
    <row r="2454" spans="1:6" ht="30" customHeight="1" x14ac:dyDescent="0.25">
      <c r="A2454" s="1" t="s">
        <v>4995</v>
      </c>
      <c r="B2454" s="1" t="str">
        <f>"9781845933203"</f>
        <v>9781845933203</v>
      </c>
      <c r="C2454" s="1" t="s">
        <v>2321</v>
      </c>
      <c r="D2454" s="2">
        <v>37165</v>
      </c>
      <c r="E2454" s="1" t="s">
        <v>4996</v>
      </c>
      <c r="F2454" s="1" t="s">
        <v>13</v>
      </c>
    </row>
    <row r="2455" spans="1:6" ht="30" customHeight="1" x14ac:dyDescent="0.25">
      <c r="A2455" s="1" t="s">
        <v>4997</v>
      </c>
      <c r="B2455" s="1" t="str">
        <f>"9780080542140"</f>
        <v>9780080542140</v>
      </c>
      <c r="C2455" s="1" t="s">
        <v>900</v>
      </c>
      <c r="D2455" s="2">
        <v>36945</v>
      </c>
      <c r="E2455" s="1" t="s">
        <v>4998</v>
      </c>
      <c r="F2455" s="1" t="s">
        <v>13</v>
      </c>
    </row>
    <row r="2456" spans="1:6" ht="30" customHeight="1" x14ac:dyDescent="0.25">
      <c r="A2456" s="1" t="s">
        <v>4999</v>
      </c>
      <c r="B2456" s="1" t="str">
        <f>"9780335236381"</f>
        <v>9780335236381</v>
      </c>
      <c r="C2456" s="1" t="s">
        <v>2247</v>
      </c>
      <c r="D2456" s="2">
        <v>39661</v>
      </c>
      <c r="E2456" s="1" t="s">
        <v>5000</v>
      </c>
      <c r="F2456" s="1" t="s">
        <v>95</v>
      </c>
    </row>
    <row r="2457" spans="1:6" ht="30" customHeight="1" x14ac:dyDescent="0.25">
      <c r="A2457" s="1" t="s">
        <v>5001</v>
      </c>
      <c r="B2457" s="1" t="str">
        <f>"9780335236466"</f>
        <v>9780335236466</v>
      </c>
      <c r="C2457" s="1" t="s">
        <v>2247</v>
      </c>
      <c r="D2457" s="2">
        <v>39668</v>
      </c>
      <c r="E2457" s="1" t="s">
        <v>5002</v>
      </c>
      <c r="F2457" s="1" t="s">
        <v>126</v>
      </c>
    </row>
    <row r="2458" spans="1:6" ht="30" customHeight="1" x14ac:dyDescent="0.25">
      <c r="A2458" s="1" t="s">
        <v>5003</v>
      </c>
      <c r="B2458" s="1" t="str">
        <f>"9780813545806"</f>
        <v>9780813545806</v>
      </c>
      <c r="C2458" s="1" t="s">
        <v>3656</v>
      </c>
      <c r="D2458" s="2">
        <v>39720</v>
      </c>
      <c r="E2458" s="1" t="s">
        <v>5004</v>
      </c>
      <c r="F2458" s="1" t="s">
        <v>13</v>
      </c>
    </row>
    <row r="2459" spans="1:6" ht="30" customHeight="1" x14ac:dyDescent="0.25">
      <c r="A2459" s="1" t="s">
        <v>5005</v>
      </c>
      <c r="B2459" s="1" t="str">
        <f>"9781848607545"</f>
        <v>9781848607545</v>
      </c>
      <c r="C2459" s="1" t="s">
        <v>1228</v>
      </c>
      <c r="D2459" s="2">
        <v>39755</v>
      </c>
      <c r="E2459" s="1" t="s">
        <v>5006</v>
      </c>
      <c r="F2459" s="1" t="s">
        <v>148</v>
      </c>
    </row>
    <row r="2460" spans="1:6" ht="30" customHeight="1" x14ac:dyDescent="0.25">
      <c r="A2460" s="1" t="s">
        <v>5007</v>
      </c>
      <c r="B2460" s="1" t="str">
        <f>"9781848608597"</f>
        <v>9781848608597</v>
      </c>
      <c r="C2460" s="1" t="s">
        <v>1228</v>
      </c>
      <c r="D2460" s="2">
        <v>37405</v>
      </c>
      <c r="E2460" s="1" t="s">
        <v>4797</v>
      </c>
      <c r="F2460" s="1" t="s">
        <v>13</v>
      </c>
    </row>
    <row r="2461" spans="1:6" ht="30" customHeight="1" x14ac:dyDescent="0.25">
      <c r="A2461" s="1" t="s">
        <v>5008</v>
      </c>
      <c r="B2461" s="1" t="str">
        <f>"9781848608467"</f>
        <v>9781848608467</v>
      </c>
      <c r="C2461" s="1" t="s">
        <v>1228</v>
      </c>
      <c r="D2461" s="2">
        <v>38887</v>
      </c>
      <c r="E2461" s="1" t="s">
        <v>5009</v>
      </c>
      <c r="F2461" s="1" t="s">
        <v>2443</v>
      </c>
    </row>
    <row r="2462" spans="1:6" ht="30" customHeight="1" x14ac:dyDescent="0.25">
      <c r="A2462" s="1" t="s">
        <v>5010</v>
      </c>
      <c r="B2462" s="1" t="str">
        <f>"9780387758657"</f>
        <v>9780387758657</v>
      </c>
      <c r="C2462" s="1" t="s">
        <v>4178</v>
      </c>
      <c r="D2462" s="2">
        <v>39520</v>
      </c>
      <c r="E2462" s="1" t="s">
        <v>5011</v>
      </c>
      <c r="F2462" s="1" t="s">
        <v>3911</v>
      </c>
    </row>
    <row r="2463" spans="1:6" ht="30" customHeight="1" x14ac:dyDescent="0.25">
      <c r="A2463" s="1" t="s">
        <v>5012</v>
      </c>
      <c r="B2463" s="1" t="str">
        <f>"9783764383718"</f>
        <v>9783764383718</v>
      </c>
      <c r="C2463" s="1" t="s">
        <v>4195</v>
      </c>
      <c r="D2463" s="2">
        <v>39725</v>
      </c>
      <c r="E2463" s="1" t="s">
        <v>5013</v>
      </c>
      <c r="F2463" s="1" t="s">
        <v>760</v>
      </c>
    </row>
    <row r="2464" spans="1:6" ht="30" customHeight="1" x14ac:dyDescent="0.25">
      <c r="A2464" s="1" t="s">
        <v>5014</v>
      </c>
      <c r="B2464" s="1" t="str">
        <f>"9780387470931"</f>
        <v>9780387470931</v>
      </c>
      <c r="C2464" s="1" t="s">
        <v>4178</v>
      </c>
      <c r="D2464" s="2">
        <v>39783</v>
      </c>
      <c r="E2464" s="1" t="s">
        <v>5015</v>
      </c>
      <c r="F2464" s="1" t="s">
        <v>780</v>
      </c>
    </row>
    <row r="2465" spans="1:6" ht="30" customHeight="1" x14ac:dyDescent="0.25">
      <c r="A2465" s="1" t="s">
        <v>5016</v>
      </c>
      <c r="B2465" s="1" t="str">
        <f>"9780826196934"</f>
        <v>9780826196934</v>
      </c>
      <c r="C2465" s="1" t="s">
        <v>2339</v>
      </c>
      <c r="D2465" s="2">
        <v>37987</v>
      </c>
      <c r="E2465" s="1" t="s">
        <v>5017</v>
      </c>
      <c r="F2465" s="1" t="s">
        <v>13</v>
      </c>
    </row>
    <row r="2466" spans="1:6" ht="30" customHeight="1" x14ac:dyDescent="0.25">
      <c r="A2466" s="1" t="s">
        <v>5018</v>
      </c>
      <c r="B2466" s="1" t="str">
        <f>"9780826118776"</f>
        <v>9780826118776</v>
      </c>
      <c r="C2466" s="1" t="s">
        <v>2339</v>
      </c>
      <c r="D2466" s="2">
        <v>37994</v>
      </c>
      <c r="E2466" s="1" t="s">
        <v>5019</v>
      </c>
      <c r="F2466" s="1" t="s">
        <v>117</v>
      </c>
    </row>
    <row r="2467" spans="1:6" ht="30" customHeight="1" x14ac:dyDescent="0.25">
      <c r="A2467" s="1" t="s">
        <v>5020</v>
      </c>
      <c r="B2467" s="1" t="str">
        <f>"9780826119957"</f>
        <v>9780826119957</v>
      </c>
      <c r="C2467" s="1" t="s">
        <v>2339</v>
      </c>
      <c r="D2467" s="2">
        <v>37620</v>
      </c>
      <c r="E2467" s="1" t="s">
        <v>5021</v>
      </c>
      <c r="F2467" s="1" t="s">
        <v>13</v>
      </c>
    </row>
    <row r="2468" spans="1:6" ht="30" customHeight="1" x14ac:dyDescent="0.25">
      <c r="A2468" s="1" t="s">
        <v>5022</v>
      </c>
      <c r="B2468" s="1" t="str">
        <f>"9780511454653"</f>
        <v>9780511454653</v>
      </c>
      <c r="C2468" s="1" t="s">
        <v>25</v>
      </c>
      <c r="D2468" s="2">
        <v>39758</v>
      </c>
      <c r="E2468" s="1" t="s">
        <v>5023</v>
      </c>
      <c r="F2468" s="1" t="s">
        <v>30</v>
      </c>
    </row>
    <row r="2469" spans="1:6" ht="30" customHeight="1" x14ac:dyDescent="0.25">
      <c r="A2469" s="1" t="s">
        <v>5024</v>
      </c>
      <c r="B2469" s="1" t="str">
        <f>"9780511454431"</f>
        <v>9780511454431</v>
      </c>
      <c r="C2469" s="1" t="s">
        <v>25</v>
      </c>
      <c r="D2469" s="2">
        <v>39692</v>
      </c>
      <c r="E2469" s="1" t="s">
        <v>5025</v>
      </c>
      <c r="F2469" s="1" t="s">
        <v>13</v>
      </c>
    </row>
    <row r="2470" spans="1:6" ht="30" customHeight="1" x14ac:dyDescent="0.25">
      <c r="A2470" s="1" t="s">
        <v>5026</v>
      </c>
      <c r="B2470" s="1" t="str">
        <f>"9780511454196"</f>
        <v>9780511454196</v>
      </c>
      <c r="C2470" s="1" t="s">
        <v>25</v>
      </c>
      <c r="D2470" s="2">
        <v>39569</v>
      </c>
      <c r="E2470" s="1" t="s">
        <v>5027</v>
      </c>
      <c r="F2470" s="1" t="s">
        <v>13</v>
      </c>
    </row>
    <row r="2471" spans="1:6" ht="30" customHeight="1" x14ac:dyDescent="0.25">
      <c r="A2471" s="1" t="s">
        <v>5028</v>
      </c>
      <c r="B2471" s="1" t="str">
        <f>"9780511454165"</f>
        <v>9780511454165</v>
      </c>
      <c r="C2471" s="1" t="s">
        <v>25</v>
      </c>
      <c r="D2471" s="2">
        <v>39562</v>
      </c>
      <c r="E2471" s="1" t="s">
        <v>5029</v>
      </c>
      <c r="F2471" s="1" t="s">
        <v>13</v>
      </c>
    </row>
    <row r="2472" spans="1:6" ht="30" customHeight="1" x14ac:dyDescent="0.25">
      <c r="A2472" s="1" t="s">
        <v>5030</v>
      </c>
      <c r="B2472" s="1" t="str">
        <f>"9780511454752"</f>
        <v>9780511454752</v>
      </c>
      <c r="C2472" s="1" t="s">
        <v>25</v>
      </c>
      <c r="D2472" s="2">
        <v>39753</v>
      </c>
      <c r="E2472" s="1" t="s">
        <v>5031</v>
      </c>
      <c r="F2472" s="1" t="s">
        <v>13</v>
      </c>
    </row>
    <row r="2473" spans="1:6" ht="30" customHeight="1" x14ac:dyDescent="0.25">
      <c r="A2473" s="1" t="s">
        <v>5032</v>
      </c>
      <c r="B2473" s="1" t="str">
        <f>"9780511454516"</f>
        <v>9780511454516</v>
      </c>
      <c r="C2473" s="1" t="s">
        <v>25</v>
      </c>
      <c r="D2473" s="2">
        <v>39751</v>
      </c>
      <c r="E2473" s="1" t="s">
        <v>5033</v>
      </c>
      <c r="F2473" s="1" t="s">
        <v>13</v>
      </c>
    </row>
    <row r="2474" spans="1:6" ht="30" customHeight="1" x14ac:dyDescent="0.25">
      <c r="A2474" s="1" t="s">
        <v>5034</v>
      </c>
      <c r="B2474" s="1" t="str">
        <f>"9781781387856"</f>
        <v>9781781387856</v>
      </c>
      <c r="C2474" s="1" t="s">
        <v>5035</v>
      </c>
      <c r="D2474" s="2">
        <v>36923</v>
      </c>
      <c r="E2474" s="1" t="s">
        <v>5036</v>
      </c>
      <c r="F2474" s="1" t="s">
        <v>13</v>
      </c>
    </row>
    <row r="2475" spans="1:6" ht="30" customHeight="1" x14ac:dyDescent="0.25">
      <c r="A2475" s="1" t="s">
        <v>5037</v>
      </c>
      <c r="B2475" s="1" t="str">
        <f>"9781846314438"</f>
        <v>9781846314438</v>
      </c>
      <c r="C2475" s="1" t="s">
        <v>5035</v>
      </c>
      <c r="D2475" s="2">
        <v>32295</v>
      </c>
      <c r="E2475" s="1" t="s">
        <v>5038</v>
      </c>
      <c r="F2475" s="1" t="s">
        <v>13</v>
      </c>
    </row>
    <row r="2476" spans="1:6" ht="30" customHeight="1" x14ac:dyDescent="0.25">
      <c r="A2476" s="1" t="s">
        <v>5039</v>
      </c>
      <c r="B2476" s="1" t="str">
        <f>"9781781386965"</f>
        <v>9781781386965</v>
      </c>
      <c r="C2476" s="1" t="s">
        <v>5035</v>
      </c>
      <c r="D2476" s="2">
        <v>39417</v>
      </c>
      <c r="E2476" s="1" t="s">
        <v>5040</v>
      </c>
      <c r="F2476" s="1" t="s">
        <v>33</v>
      </c>
    </row>
    <row r="2477" spans="1:6" ht="30" customHeight="1" x14ac:dyDescent="0.25">
      <c r="A2477" s="1" t="s">
        <v>5041</v>
      </c>
      <c r="B2477" s="1" t="str">
        <f>"9781846312823"</f>
        <v>9781846312823</v>
      </c>
      <c r="C2477" s="1" t="s">
        <v>5035</v>
      </c>
      <c r="D2477" s="2">
        <v>38502</v>
      </c>
      <c r="E2477" s="1" t="s">
        <v>5042</v>
      </c>
      <c r="F2477" s="1" t="s">
        <v>104</v>
      </c>
    </row>
    <row r="2478" spans="1:6" ht="30" customHeight="1" x14ac:dyDescent="0.25">
      <c r="A2478" s="1" t="s">
        <v>5043</v>
      </c>
      <c r="B2478" s="1" t="str">
        <f>"9780813545936"</f>
        <v>9780813545936</v>
      </c>
      <c r="C2478" s="1" t="s">
        <v>3656</v>
      </c>
      <c r="D2478" s="2">
        <v>39758</v>
      </c>
      <c r="E2478" s="1" t="s">
        <v>5044</v>
      </c>
      <c r="F2478" s="1" t="s">
        <v>1992</v>
      </c>
    </row>
    <row r="2479" spans="1:6" ht="30" customHeight="1" x14ac:dyDescent="0.25">
      <c r="A2479" s="1" t="s">
        <v>5045</v>
      </c>
      <c r="B2479" s="1" t="str">
        <f>"9780813545943"</f>
        <v>9780813545943</v>
      </c>
      <c r="C2479" s="1" t="s">
        <v>3656</v>
      </c>
      <c r="D2479" s="2">
        <v>39554</v>
      </c>
      <c r="E2479" s="1" t="s">
        <v>5046</v>
      </c>
      <c r="F2479" s="1" t="s">
        <v>33</v>
      </c>
    </row>
    <row r="2480" spans="1:6" ht="30" customHeight="1" x14ac:dyDescent="0.25">
      <c r="A2480" s="1" t="s">
        <v>5047</v>
      </c>
      <c r="B2480" s="1" t="str">
        <f>"9780813545967"</f>
        <v>9780813545967</v>
      </c>
      <c r="C2480" s="1" t="s">
        <v>3656</v>
      </c>
      <c r="D2480" s="2">
        <v>39828</v>
      </c>
      <c r="E2480" s="1" t="s">
        <v>5048</v>
      </c>
      <c r="F2480" s="1" t="s">
        <v>137</v>
      </c>
    </row>
    <row r="2481" spans="1:6" ht="30" customHeight="1" x14ac:dyDescent="0.25">
      <c r="A2481" s="1" t="s">
        <v>5049</v>
      </c>
      <c r="B2481" s="1" t="str">
        <f>"9789240683488"</f>
        <v>9789240683488</v>
      </c>
      <c r="C2481" s="1" t="s">
        <v>1981</v>
      </c>
      <c r="D2481" s="2">
        <v>39688</v>
      </c>
      <c r="E2481" s="1" t="s">
        <v>5050</v>
      </c>
      <c r="F2481" s="1" t="s">
        <v>13</v>
      </c>
    </row>
    <row r="2482" spans="1:6" ht="30" customHeight="1" x14ac:dyDescent="0.25">
      <c r="A2482" s="1" t="s">
        <v>5051</v>
      </c>
      <c r="B2482" s="1" t="str">
        <f>"9789240683495"</f>
        <v>9789240683495</v>
      </c>
      <c r="C2482" s="1" t="s">
        <v>1981</v>
      </c>
      <c r="D2482" s="2">
        <v>39632</v>
      </c>
      <c r="E2482" s="1" t="s">
        <v>3256</v>
      </c>
      <c r="F2482" s="1" t="s">
        <v>95</v>
      </c>
    </row>
    <row r="2483" spans="1:6" ht="30" customHeight="1" x14ac:dyDescent="0.25">
      <c r="A2483" s="1" t="s">
        <v>5052</v>
      </c>
      <c r="B2483" s="1" t="str">
        <f>"9789240683464"</f>
        <v>9789240683464</v>
      </c>
      <c r="C2483" s="1" t="s">
        <v>1981</v>
      </c>
      <c r="D2483" s="2">
        <v>39647</v>
      </c>
      <c r="E2483" s="1" t="s">
        <v>5053</v>
      </c>
      <c r="F2483" s="1" t="s">
        <v>158</v>
      </c>
    </row>
    <row r="2484" spans="1:6" ht="30" customHeight="1" x14ac:dyDescent="0.25">
      <c r="A2484" s="1" t="s">
        <v>5054</v>
      </c>
      <c r="B2484" s="1" t="str">
        <f>"9789240683457"</f>
        <v>9789240683457</v>
      </c>
      <c r="C2484" s="1" t="s">
        <v>1981</v>
      </c>
      <c r="D2484" s="2">
        <v>39454</v>
      </c>
      <c r="E2484" s="1" t="s">
        <v>5055</v>
      </c>
      <c r="F2484" s="1" t="s">
        <v>5056</v>
      </c>
    </row>
    <row r="2485" spans="1:6" ht="30" customHeight="1" x14ac:dyDescent="0.25">
      <c r="A2485" s="1" t="s">
        <v>5057</v>
      </c>
      <c r="B2485" s="1" t="str">
        <f>"9789289042802"</f>
        <v>9789289042802</v>
      </c>
      <c r="C2485" s="1" t="s">
        <v>1981</v>
      </c>
      <c r="D2485" s="2">
        <v>39447</v>
      </c>
      <c r="E2485" s="1" t="s">
        <v>4887</v>
      </c>
      <c r="F2485" s="1" t="s">
        <v>30</v>
      </c>
    </row>
    <row r="2486" spans="1:6" ht="30" customHeight="1" x14ac:dyDescent="0.25">
      <c r="A2486" s="1" t="s">
        <v>5058</v>
      </c>
      <c r="B2486" s="1" t="str">
        <f>"9789240681446"</f>
        <v>9789240681446</v>
      </c>
      <c r="C2486" s="1" t="s">
        <v>1981</v>
      </c>
      <c r="D2486" s="2">
        <v>39597</v>
      </c>
      <c r="E2486" s="1" t="s">
        <v>3256</v>
      </c>
      <c r="F2486" s="1" t="s">
        <v>33</v>
      </c>
    </row>
    <row r="2487" spans="1:6" ht="30" customHeight="1" x14ac:dyDescent="0.25">
      <c r="A2487" s="1" t="s">
        <v>5059</v>
      </c>
      <c r="B2487" s="1" t="str">
        <f>"9789240683440"</f>
        <v>9789240683440</v>
      </c>
      <c r="C2487" s="1" t="s">
        <v>1981</v>
      </c>
      <c r="D2487" s="2">
        <v>39549</v>
      </c>
      <c r="E2487" s="1" t="s">
        <v>3256</v>
      </c>
      <c r="F2487" s="1" t="s">
        <v>5060</v>
      </c>
    </row>
    <row r="2488" spans="1:6" ht="30" customHeight="1" x14ac:dyDescent="0.25">
      <c r="A2488" s="1" t="s">
        <v>5061</v>
      </c>
      <c r="B2488" s="1" t="str">
        <f>"9780080554952"</f>
        <v>9780080554952</v>
      </c>
      <c r="C2488" s="1" t="s">
        <v>900</v>
      </c>
      <c r="D2488" s="2">
        <v>40661</v>
      </c>
      <c r="E2488" s="1" t="s">
        <v>5062</v>
      </c>
      <c r="F2488" s="1" t="s">
        <v>137</v>
      </c>
    </row>
    <row r="2489" spans="1:6" ht="30" customHeight="1" x14ac:dyDescent="0.25">
      <c r="A2489" s="1" t="s">
        <v>5063</v>
      </c>
      <c r="B2489" s="1" t="str">
        <f>"9780080533551"</f>
        <v>9780080533551</v>
      </c>
      <c r="C2489" s="1" t="s">
        <v>900</v>
      </c>
      <c r="D2489" s="2">
        <v>36308</v>
      </c>
      <c r="E2489" s="1" t="s">
        <v>5064</v>
      </c>
      <c r="F2489" s="1" t="s">
        <v>268</v>
      </c>
    </row>
    <row r="2490" spans="1:6" ht="30" customHeight="1" x14ac:dyDescent="0.25">
      <c r="A2490" s="1" t="s">
        <v>5065</v>
      </c>
      <c r="B2490" s="1" t="str">
        <f>"9780080536071"</f>
        <v>9780080536071</v>
      </c>
      <c r="C2490" s="1" t="s">
        <v>900</v>
      </c>
      <c r="D2490" s="2">
        <v>37526</v>
      </c>
      <c r="E2490" s="1" t="s">
        <v>5066</v>
      </c>
      <c r="F2490" s="1" t="s">
        <v>148</v>
      </c>
    </row>
    <row r="2491" spans="1:6" ht="30" customHeight="1" x14ac:dyDescent="0.25">
      <c r="A2491" s="1" t="s">
        <v>5067</v>
      </c>
      <c r="B2491" s="1" t="str">
        <f>"9780080559148"</f>
        <v>9780080559148</v>
      </c>
      <c r="C2491" s="1" t="s">
        <v>900</v>
      </c>
      <c r="D2491" s="2">
        <v>39806</v>
      </c>
      <c r="E2491" s="1" t="s">
        <v>5068</v>
      </c>
      <c r="F2491" s="1" t="s">
        <v>13</v>
      </c>
    </row>
    <row r="2492" spans="1:6" ht="30" customHeight="1" x14ac:dyDescent="0.25">
      <c r="A2492" s="1" t="s">
        <v>5069</v>
      </c>
      <c r="B2492" s="1" t="str">
        <f>"9780470423929"</f>
        <v>9780470423929</v>
      </c>
      <c r="C2492" s="1" t="s">
        <v>11</v>
      </c>
      <c r="D2492" s="2">
        <v>39783</v>
      </c>
      <c r="E2492" s="1" t="s">
        <v>5070</v>
      </c>
      <c r="F2492" s="1" t="s">
        <v>268</v>
      </c>
    </row>
    <row r="2493" spans="1:6" ht="30" customHeight="1" x14ac:dyDescent="0.25">
      <c r="A2493" s="1" t="s">
        <v>5071</v>
      </c>
      <c r="B2493" s="1" t="str">
        <f>"9780470411285"</f>
        <v>9780470411285</v>
      </c>
      <c r="C2493" s="1" t="s">
        <v>11</v>
      </c>
      <c r="D2493" s="2">
        <v>39778</v>
      </c>
      <c r="E2493" s="1" t="s">
        <v>5072</v>
      </c>
      <c r="F2493" s="1" t="s">
        <v>13</v>
      </c>
    </row>
    <row r="2494" spans="1:6" ht="30" customHeight="1" x14ac:dyDescent="0.25">
      <c r="A2494" s="1" t="s">
        <v>5073</v>
      </c>
      <c r="B2494" s="1" t="str">
        <f>"9780470988039"</f>
        <v>9780470988039</v>
      </c>
      <c r="C2494" s="1" t="s">
        <v>65</v>
      </c>
      <c r="D2494" s="2">
        <v>39772</v>
      </c>
      <c r="E2494" s="1" t="s">
        <v>5074</v>
      </c>
      <c r="F2494" s="1" t="s">
        <v>13</v>
      </c>
    </row>
    <row r="2495" spans="1:6" ht="30" customHeight="1" x14ac:dyDescent="0.25">
      <c r="A2495" s="1" t="s">
        <v>5075</v>
      </c>
      <c r="B2495" s="1" t="str">
        <f>"9780470987933"</f>
        <v>9780470987933</v>
      </c>
      <c r="C2495" s="1" t="s">
        <v>65</v>
      </c>
      <c r="D2495" s="2">
        <v>39787</v>
      </c>
      <c r="E2495" s="1" t="s">
        <v>5076</v>
      </c>
      <c r="F2495" s="1" t="s">
        <v>13</v>
      </c>
    </row>
    <row r="2496" spans="1:6" ht="30" customHeight="1" x14ac:dyDescent="0.25">
      <c r="A2496" s="1" t="s">
        <v>5077</v>
      </c>
      <c r="B2496" s="1" t="str">
        <f>"9780470773161"</f>
        <v>9780470773161</v>
      </c>
      <c r="C2496" s="1" t="s">
        <v>65</v>
      </c>
      <c r="D2496" s="2">
        <v>39772</v>
      </c>
      <c r="E2496" s="1" t="s">
        <v>5078</v>
      </c>
      <c r="F2496" s="1" t="s">
        <v>21</v>
      </c>
    </row>
    <row r="2497" spans="1:6" ht="30" customHeight="1" x14ac:dyDescent="0.25">
      <c r="A2497" s="1" t="s">
        <v>5079</v>
      </c>
      <c r="B2497" s="1" t="str">
        <f>"9780470715628"</f>
        <v>9780470715628</v>
      </c>
      <c r="C2497" s="1" t="s">
        <v>65</v>
      </c>
      <c r="D2497" s="2">
        <v>39772</v>
      </c>
      <c r="E2497" s="1" t="s">
        <v>5080</v>
      </c>
      <c r="F2497" s="1" t="s">
        <v>13</v>
      </c>
    </row>
    <row r="2498" spans="1:6" ht="30" customHeight="1" x14ac:dyDescent="0.25">
      <c r="A2498" s="1" t="s">
        <v>5081</v>
      </c>
      <c r="B2498" s="1" t="str">
        <f>"9780470740200"</f>
        <v>9780470740200</v>
      </c>
      <c r="C2498" s="1" t="s">
        <v>65</v>
      </c>
      <c r="D2498" s="2">
        <v>39772</v>
      </c>
      <c r="E2498" s="1" t="s">
        <v>5082</v>
      </c>
      <c r="F2498" s="1" t="s">
        <v>13</v>
      </c>
    </row>
    <row r="2499" spans="1:6" ht="30" customHeight="1" x14ac:dyDescent="0.25">
      <c r="A2499" s="1" t="s">
        <v>5083</v>
      </c>
      <c r="B2499" s="1" t="str">
        <f>"9780470741078"</f>
        <v>9780470741078</v>
      </c>
      <c r="C2499" s="1" t="s">
        <v>65</v>
      </c>
      <c r="D2499" s="2">
        <v>39772</v>
      </c>
      <c r="E2499" s="1" t="s">
        <v>5084</v>
      </c>
      <c r="F2499" s="1" t="s">
        <v>5085</v>
      </c>
    </row>
    <row r="2500" spans="1:6" ht="30" customHeight="1" x14ac:dyDescent="0.25">
      <c r="A2500" s="1" t="s">
        <v>5086</v>
      </c>
      <c r="B2500" s="1" t="str">
        <f>"9781592139170"</f>
        <v>9781592139170</v>
      </c>
      <c r="C2500" s="1" t="s">
        <v>3205</v>
      </c>
      <c r="D2500" s="2">
        <v>39719</v>
      </c>
      <c r="E2500" s="1" t="s">
        <v>5087</v>
      </c>
      <c r="F2500" s="1" t="s">
        <v>87</v>
      </c>
    </row>
    <row r="2501" spans="1:6" ht="30" customHeight="1" x14ac:dyDescent="0.25">
      <c r="A2501" s="1" t="s">
        <v>5088</v>
      </c>
      <c r="B2501" s="1" t="str">
        <f>"9781592137091"</f>
        <v>9781592137091</v>
      </c>
      <c r="C2501" s="1" t="s">
        <v>3205</v>
      </c>
      <c r="D2501" s="2">
        <v>39627</v>
      </c>
      <c r="E2501" s="1" t="s">
        <v>5089</v>
      </c>
      <c r="F2501" s="1" t="s">
        <v>95</v>
      </c>
    </row>
    <row r="2502" spans="1:6" ht="30" customHeight="1" x14ac:dyDescent="0.25">
      <c r="A2502" s="1" t="s">
        <v>5090</v>
      </c>
      <c r="B2502" s="1" t="str">
        <f>"9781607503736"</f>
        <v>9781607503736</v>
      </c>
      <c r="C2502" s="1" t="s">
        <v>1390</v>
      </c>
      <c r="D2502" s="2">
        <v>39724</v>
      </c>
      <c r="E2502" s="1" t="s">
        <v>5091</v>
      </c>
      <c r="F2502" s="1" t="s">
        <v>13</v>
      </c>
    </row>
    <row r="2503" spans="1:6" ht="30" customHeight="1" x14ac:dyDescent="0.25">
      <c r="A2503" s="1" t="s">
        <v>5092</v>
      </c>
      <c r="B2503" s="1" t="str">
        <f>"9780226429779"</f>
        <v>9780226429779</v>
      </c>
      <c r="C2503" s="1" t="s">
        <v>5093</v>
      </c>
      <c r="D2503" s="2">
        <v>39706</v>
      </c>
      <c r="E2503" s="1" t="s">
        <v>5094</v>
      </c>
      <c r="F2503" s="1" t="s">
        <v>13</v>
      </c>
    </row>
    <row r="2504" spans="1:6" ht="30" customHeight="1" x14ac:dyDescent="0.25">
      <c r="A2504" s="1" t="s">
        <v>5095</v>
      </c>
      <c r="B2504" s="1" t="str">
        <f>"9780226891699"</f>
        <v>9780226891699</v>
      </c>
      <c r="C2504" s="1" t="s">
        <v>5093</v>
      </c>
      <c r="D2504" s="2">
        <v>39553</v>
      </c>
      <c r="E2504" s="1" t="s">
        <v>5096</v>
      </c>
      <c r="F2504" s="1" t="s">
        <v>13</v>
      </c>
    </row>
    <row r="2505" spans="1:6" ht="30" customHeight="1" x14ac:dyDescent="0.25">
      <c r="A2505" s="1" t="s">
        <v>5097</v>
      </c>
      <c r="B2505" s="1" t="str">
        <f>"9780226113692"</f>
        <v>9780226113692</v>
      </c>
      <c r="C2505" s="1" t="s">
        <v>5093</v>
      </c>
      <c r="D2505" s="2">
        <v>39706</v>
      </c>
      <c r="E2505" s="1" t="s">
        <v>5098</v>
      </c>
      <c r="F2505" s="1" t="s">
        <v>13</v>
      </c>
    </row>
    <row r="2506" spans="1:6" ht="30" customHeight="1" x14ac:dyDescent="0.25">
      <c r="A2506" s="1" t="s">
        <v>5099</v>
      </c>
      <c r="B2506" s="1" t="str">
        <f>"9780226267944"</f>
        <v>9780226267944</v>
      </c>
      <c r="C2506" s="1" t="s">
        <v>5093</v>
      </c>
      <c r="D2506" s="2">
        <v>39553</v>
      </c>
      <c r="E2506" s="1" t="s">
        <v>5100</v>
      </c>
      <c r="F2506" s="1" t="s">
        <v>30</v>
      </c>
    </row>
    <row r="2507" spans="1:6" ht="30" customHeight="1" x14ac:dyDescent="0.25">
      <c r="A2507" s="1" t="s">
        <v>5101</v>
      </c>
      <c r="B2507" s="1" t="str">
        <f>"9780226116198"</f>
        <v>9780226116198</v>
      </c>
      <c r="C2507" s="1" t="s">
        <v>5093</v>
      </c>
      <c r="D2507" s="2">
        <v>39387</v>
      </c>
      <c r="E2507" s="1" t="s">
        <v>5102</v>
      </c>
      <c r="F2507" s="1" t="s">
        <v>5103</v>
      </c>
    </row>
    <row r="2508" spans="1:6" ht="30" customHeight="1" x14ac:dyDescent="0.25">
      <c r="A2508" s="1" t="s">
        <v>5104</v>
      </c>
      <c r="B2508" s="1" t="str">
        <f>"9780226771595"</f>
        <v>9780226771595</v>
      </c>
      <c r="C2508" s="1" t="s">
        <v>5093</v>
      </c>
      <c r="D2508" s="2">
        <v>39553</v>
      </c>
      <c r="E2508" s="1" t="s">
        <v>5105</v>
      </c>
      <c r="F2508" s="1" t="s">
        <v>5106</v>
      </c>
    </row>
    <row r="2509" spans="1:6" ht="30" customHeight="1" x14ac:dyDescent="0.25">
      <c r="A2509" s="1" t="s">
        <v>5107</v>
      </c>
      <c r="B2509" s="1" t="str">
        <f>"9780226903248"</f>
        <v>9780226903248</v>
      </c>
      <c r="C2509" s="1" t="s">
        <v>5093</v>
      </c>
      <c r="D2509" s="2">
        <v>39417</v>
      </c>
      <c r="E2509" s="1" t="s">
        <v>5108</v>
      </c>
      <c r="F2509" s="1" t="s">
        <v>95</v>
      </c>
    </row>
    <row r="2510" spans="1:6" ht="30" customHeight="1" x14ac:dyDescent="0.25">
      <c r="A2510" s="1" t="s">
        <v>5109</v>
      </c>
      <c r="B2510" s="1" t="str">
        <f>"9780226500935"</f>
        <v>9780226500935</v>
      </c>
      <c r="C2510" s="1" t="s">
        <v>5093</v>
      </c>
      <c r="D2510" s="2">
        <v>39706</v>
      </c>
      <c r="E2510" s="1" t="s">
        <v>5110</v>
      </c>
      <c r="F2510" s="1" t="s">
        <v>13</v>
      </c>
    </row>
    <row r="2511" spans="1:6" ht="30" customHeight="1" x14ac:dyDescent="0.25">
      <c r="A2511" s="1" t="s">
        <v>5111</v>
      </c>
      <c r="B2511" s="1" t="str">
        <f>"9780226213118"</f>
        <v>9780226213118</v>
      </c>
      <c r="C2511" s="1" t="s">
        <v>5093</v>
      </c>
      <c r="D2511" s="2">
        <v>39706</v>
      </c>
      <c r="E2511" s="1" t="s">
        <v>5112</v>
      </c>
      <c r="F2511" s="1" t="s">
        <v>13</v>
      </c>
    </row>
    <row r="2512" spans="1:6" ht="30" customHeight="1" x14ac:dyDescent="0.25">
      <c r="A2512" s="1" t="s">
        <v>5113</v>
      </c>
      <c r="B2512" s="1" t="str">
        <f>"9780226132303"</f>
        <v>9780226132303</v>
      </c>
      <c r="C2512" s="1" t="s">
        <v>5093</v>
      </c>
      <c r="D2512" s="2">
        <v>39417</v>
      </c>
      <c r="E2512" s="1" t="s">
        <v>5114</v>
      </c>
      <c r="F2512" s="1" t="s">
        <v>2383</v>
      </c>
    </row>
    <row r="2513" spans="1:6" ht="30" customHeight="1" x14ac:dyDescent="0.25">
      <c r="A2513" s="1" t="s">
        <v>5115</v>
      </c>
      <c r="B2513" s="1" t="str">
        <f>"9780226301365"</f>
        <v>9780226301365</v>
      </c>
      <c r="C2513" s="1" t="s">
        <v>5093</v>
      </c>
      <c r="D2513" s="2">
        <v>39706</v>
      </c>
      <c r="E2513" s="1" t="s">
        <v>5116</v>
      </c>
      <c r="F2513" s="1" t="s">
        <v>13</v>
      </c>
    </row>
    <row r="2514" spans="1:6" ht="30" customHeight="1" x14ac:dyDescent="0.25">
      <c r="A2514" s="1" t="s">
        <v>5117</v>
      </c>
      <c r="B2514" s="1" t="str">
        <f>"9780226132228"</f>
        <v>9780226132228</v>
      </c>
      <c r="C2514" s="1" t="s">
        <v>5093</v>
      </c>
      <c r="D2514" s="2">
        <v>39417</v>
      </c>
      <c r="E2514" s="1" t="s">
        <v>5118</v>
      </c>
      <c r="F2514" s="1" t="s">
        <v>2028</v>
      </c>
    </row>
    <row r="2515" spans="1:6" ht="30" customHeight="1" x14ac:dyDescent="0.25">
      <c r="A2515" s="1" t="s">
        <v>5119</v>
      </c>
      <c r="B2515" s="1" t="str">
        <f>"9780226757100"</f>
        <v>9780226757100</v>
      </c>
      <c r="C2515" s="1" t="s">
        <v>5093</v>
      </c>
      <c r="D2515" s="2">
        <v>39387</v>
      </c>
      <c r="E2515" s="1" t="s">
        <v>5120</v>
      </c>
      <c r="F2515" s="1" t="s">
        <v>13</v>
      </c>
    </row>
    <row r="2516" spans="1:6" ht="30" customHeight="1" x14ac:dyDescent="0.25">
      <c r="A2516" s="1" t="s">
        <v>5121</v>
      </c>
      <c r="B2516" s="1" t="str">
        <f>"9780226709659"</f>
        <v>9780226709659</v>
      </c>
      <c r="C2516" s="1" t="s">
        <v>5093</v>
      </c>
      <c r="D2516" s="2">
        <v>39706</v>
      </c>
      <c r="E2516" s="1" t="s">
        <v>5122</v>
      </c>
      <c r="F2516" s="1" t="s">
        <v>214</v>
      </c>
    </row>
    <row r="2517" spans="1:6" ht="30" customHeight="1" x14ac:dyDescent="0.25">
      <c r="A2517" s="1" t="s">
        <v>5123</v>
      </c>
      <c r="B2517" s="1" t="str">
        <f>"9780814409695"</f>
        <v>9780814409695</v>
      </c>
      <c r="C2517" s="1" t="s">
        <v>5124</v>
      </c>
      <c r="D2517" s="2">
        <v>39463</v>
      </c>
      <c r="E2517" s="1" t="s">
        <v>5125</v>
      </c>
      <c r="F2517" s="1" t="s">
        <v>87</v>
      </c>
    </row>
    <row r="2518" spans="1:6" ht="30" customHeight="1" x14ac:dyDescent="0.25">
      <c r="A2518" s="1" t="s">
        <v>5126</v>
      </c>
      <c r="B2518" s="1" t="str">
        <f>"9781847691170"</f>
        <v>9781847691170</v>
      </c>
      <c r="C2518" s="1" t="s">
        <v>3377</v>
      </c>
      <c r="D2518" s="2">
        <v>39800</v>
      </c>
      <c r="E2518" s="1" t="s">
        <v>5127</v>
      </c>
      <c r="F2518" s="1" t="s">
        <v>13</v>
      </c>
    </row>
    <row r="2519" spans="1:6" ht="30" customHeight="1" x14ac:dyDescent="0.25">
      <c r="A2519" s="1" t="s">
        <v>5128</v>
      </c>
      <c r="B2519" s="1" t="str">
        <f>"9780335236893"</f>
        <v>9780335236893</v>
      </c>
      <c r="C2519" s="1" t="s">
        <v>2247</v>
      </c>
      <c r="D2519" s="2">
        <v>39722</v>
      </c>
      <c r="E2519" s="1" t="s">
        <v>5129</v>
      </c>
      <c r="F2519" s="1" t="s">
        <v>132</v>
      </c>
    </row>
    <row r="2520" spans="1:6" ht="30" customHeight="1" x14ac:dyDescent="0.25">
      <c r="A2520" s="1" t="s">
        <v>5130</v>
      </c>
      <c r="B2520" s="1" t="str">
        <f>"9780335236909"</f>
        <v>9780335236909</v>
      </c>
      <c r="C2520" s="1" t="s">
        <v>2247</v>
      </c>
      <c r="D2520" s="2">
        <v>39692</v>
      </c>
      <c r="E2520" s="1" t="s">
        <v>5131</v>
      </c>
      <c r="F2520" s="1" t="s">
        <v>95</v>
      </c>
    </row>
    <row r="2521" spans="1:6" ht="30" customHeight="1" x14ac:dyDescent="0.25">
      <c r="A2521" s="1" t="s">
        <v>5132</v>
      </c>
      <c r="B2521" s="1" t="str">
        <f>"9780335236947"</f>
        <v>9780335236947</v>
      </c>
      <c r="C2521" s="1" t="s">
        <v>2247</v>
      </c>
      <c r="D2521" s="2">
        <v>39722</v>
      </c>
      <c r="E2521" s="1" t="s">
        <v>5133</v>
      </c>
      <c r="F2521" s="1" t="s">
        <v>95</v>
      </c>
    </row>
    <row r="2522" spans="1:6" ht="30" customHeight="1" x14ac:dyDescent="0.25">
      <c r="A2522" s="1" t="s">
        <v>5134</v>
      </c>
      <c r="B2522" s="1" t="str">
        <f>"9780813546261"</f>
        <v>9780813546261</v>
      </c>
      <c r="C2522" s="1" t="s">
        <v>3656</v>
      </c>
      <c r="D2522" s="2">
        <v>39828</v>
      </c>
      <c r="E2522" s="1" t="s">
        <v>5135</v>
      </c>
      <c r="F2522" s="1" t="s">
        <v>95</v>
      </c>
    </row>
    <row r="2523" spans="1:6" ht="30" customHeight="1" x14ac:dyDescent="0.25">
      <c r="A2523" s="1" t="s">
        <v>5136</v>
      </c>
      <c r="B2523" s="1" t="str">
        <f>"9780511463167"</f>
        <v>9780511463167</v>
      </c>
      <c r="C2523" s="1" t="s">
        <v>25</v>
      </c>
      <c r="D2523" s="2">
        <v>39793</v>
      </c>
      <c r="E2523" s="1" t="s">
        <v>5137</v>
      </c>
      <c r="F2523" s="1" t="s">
        <v>13</v>
      </c>
    </row>
    <row r="2524" spans="1:6" ht="30" customHeight="1" x14ac:dyDescent="0.25">
      <c r="A2524" s="1" t="s">
        <v>5138</v>
      </c>
      <c r="B2524" s="1" t="str">
        <f>"9780511462641"</f>
        <v>9780511462641</v>
      </c>
      <c r="C2524" s="1" t="s">
        <v>25</v>
      </c>
      <c r="D2524" s="2">
        <v>39786</v>
      </c>
      <c r="E2524" s="1" t="s">
        <v>5139</v>
      </c>
      <c r="F2524" s="1" t="s">
        <v>5140</v>
      </c>
    </row>
    <row r="2525" spans="1:6" ht="30" customHeight="1" x14ac:dyDescent="0.25">
      <c r="A2525" s="1" t="s">
        <v>5141</v>
      </c>
      <c r="B2525" s="1" t="str">
        <f>"9780511454806"</f>
        <v>9780511454806</v>
      </c>
      <c r="C2525" s="1" t="s">
        <v>25</v>
      </c>
      <c r="D2525" s="2">
        <v>39846</v>
      </c>
      <c r="E2525" s="1" t="s">
        <v>5142</v>
      </c>
      <c r="F2525" s="1" t="s">
        <v>13</v>
      </c>
    </row>
    <row r="2526" spans="1:6" ht="30" customHeight="1" x14ac:dyDescent="0.25">
      <c r="A2526" s="1" t="s">
        <v>5143</v>
      </c>
      <c r="B2526" s="1" t="str">
        <f>"9780511462863"</f>
        <v>9780511462863</v>
      </c>
      <c r="C2526" s="1" t="s">
        <v>25</v>
      </c>
      <c r="D2526" s="2">
        <v>39734</v>
      </c>
      <c r="E2526" s="1" t="s">
        <v>5144</v>
      </c>
      <c r="F2526" s="1" t="s">
        <v>13</v>
      </c>
    </row>
    <row r="2527" spans="1:6" ht="30" customHeight="1" x14ac:dyDescent="0.25">
      <c r="A2527" s="1" t="s">
        <v>5146</v>
      </c>
      <c r="B2527" s="1" t="str">
        <f>"9780511462535"</f>
        <v>9780511462535</v>
      </c>
      <c r="C2527" s="1" t="s">
        <v>25</v>
      </c>
      <c r="D2527" s="2">
        <v>39373</v>
      </c>
      <c r="E2527" s="1" t="s">
        <v>5147</v>
      </c>
      <c r="F2527" s="1" t="s">
        <v>205</v>
      </c>
    </row>
    <row r="2528" spans="1:6" ht="30" customHeight="1" x14ac:dyDescent="0.25">
      <c r="A2528" s="1" t="s">
        <v>5148</v>
      </c>
      <c r="B2528" s="1" t="str">
        <f>"9788122424249"</f>
        <v>9788122424249</v>
      </c>
      <c r="C2528" s="1" t="s">
        <v>4001</v>
      </c>
      <c r="D2528" s="2">
        <v>38808</v>
      </c>
      <c r="E2528" s="1" t="s">
        <v>5149</v>
      </c>
      <c r="F2528" s="1" t="s">
        <v>137</v>
      </c>
    </row>
    <row r="2529" spans="1:6" ht="30" customHeight="1" x14ac:dyDescent="0.25">
      <c r="A2529" s="1" t="s">
        <v>5150</v>
      </c>
      <c r="B2529" s="1" t="str">
        <f>"9781742192321"</f>
        <v>9781742192321</v>
      </c>
      <c r="C2529" s="1" t="s">
        <v>5151</v>
      </c>
      <c r="D2529" s="2">
        <v>37104</v>
      </c>
      <c r="E2529" s="1" t="s">
        <v>5152</v>
      </c>
      <c r="F2529" s="1" t="s">
        <v>13</v>
      </c>
    </row>
    <row r="2530" spans="1:6" ht="30" customHeight="1" x14ac:dyDescent="0.25">
      <c r="A2530" s="1" t="s">
        <v>5153</v>
      </c>
      <c r="B2530" s="1" t="str">
        <f>"9781742190488"</f>
        <v>9781742190488</v>
      </c>
      <c r="C2530" s="1" t="s">
        <v>5151</v>
      </c>
      <c r="D2530" s="2">
        <v>38865</v>
      </c>
      <c r="E2530" s="1" t="s">
        <v>5154</v>
      </c>
      <c r="F2530" s="1" t="s">
        <v>87</v>
      </c>
    </row>
    <row r="2531" spans="1:6" ht="30" customHeight="1" x14ac:dyDescent="0.25">
      <c r="A2531" s="1" t="s">
        <v>5155</v>
      </c>
      <c r="B2531" s="1" t="str">
        <f>"9781845535667"</f>
        <v>9781845535667</v>
      </c>
      <c r="C2531" s="1" t="s">
        <v>5156</v>
      </c>
      <c r="D2531" s="2">
        <v>38838</v>
      </c>
      <c r="E2531" s="1" t="s">
        <v>5157</v>
      </c>
      <c r="F2531" s="1" t="s">
        <v>13</v>
      </c>
    </row>
    <row r="2532" spans="1:6" ht="30" customHeight="1" x14ac:dyDescent="0.25">
      <c r="A2532" s="1" t="s">
        <v>5158</v>
      </c>
      <c r="B2532" s="1" t="str">
        <f>"9780511477690"</f>
        <v>9780511477690</v>
      </c>
      <c r="C2532" s="1" t="s">
        <v>25</v>
      </c>
      <c r="D2532" s="2">
        <v>39835</v>
      </c>
      <c r="E2532" s="1" t="s">
        <v>5159</v>
      </c>
      <c r="F2532" s="1" t="s">
        <v>13</v>
      </c>
    </row>
    <row r="2533" spans="1:6" ht="30" customHeight="1" x14ac:dyDescent="0.25">
      <c r="A2533" s="1" t="s">
        <v>5160</v>
      </c>
      <c r="B2533" s="1" t="str">
        <f>"9780511477850"</f>
        <v>9780511477850</v>
      </c>
      <c r="C2533" s="1" t="s">
        <v>25</v>
      </c>
      <c r="D2533" s="2">
        <v>39860</v>
      </c>
      <c r="E2533" s="1" t="s">
        <v>5161</v>
      </c>
      <c r="F2533" s="1" t="s">
        <v>13</v>
      </c>
    </row>
    <row r="2534" spans="1:6" ht="30" customHeight="1" x14ac:dyDescent="0.25">
      <c r="A2534" s="1" t="s">
        <v>5162</v>
      </c>
      <c r="B2534" s="1" t="str">
        <f>"9780511477164"</f>
        <v>9780511477164</v>
      </c>
      <c r="C2534" s="1" t="s">
        <v>25</v>
      </c>
      <c r="D2534" s="2">
        <v>39377</v>
      </c>
      <c r="E2534" s="1" t="s">
        <v>5163</v>
      </c>
      <c r="F2534" s="1" t="s">
        <v>95</v>
      </c>
    </row>
    <row r="2535" spans="1:6" ht="30" customHeight="1" x14ac:dyDescent="0.25">
      <c r="A2535" s="1" t="s">
        <v>5164</v>
      </c>
      <c r="B2535" s="1" t="str">
        <f>"9780511477676"</f>
        <v>9780511477676</v>
      </c>
      <c r="C2535" s="1" t="s">
        <v>5165</v>
      </c>
      <c r="D2535" s="2">
        <v>39856</v>
      </c>
      <c r="E2535" s="1" t="s">
        <v>5166</v>
      </c>
      <c r="F2535" s="1" t="s">
        <v>137</v>
      </c>
    </row>
    <row r="2536" spans="1:6" ht="30" customHeight="1" x14ac:dyDescent="0.25">
      <c r="A2536" s="1" t="s">
        <v>785</v>
      </c>
      <c r="B2536" s="1" t="str">
        <f>"9780511477737"</f>
        <v>9780511477737</v>
      </c>
      <c r="C2536" s="1" t="s">
        <v>25</v>
      </c>
      <c r="D2536" s="2">
        <v>39856</v>
      </c>
      <c r="E2536" s="1" t="s">
        <v>5167</v>
      </c>
      <c r="F2536" s="1" t="s">
        <v>13</v>
      </c>
    </row>
    <row r="2537" spans="1:6" ht="30" customHeight="1" x14ac:dyDescent="0.25">
      <c r="A2537" s="1" t="s">
        <v>5168</v>
      </c>
      <c r="B2537" s="1" t="str">
        <f>"9780511477287"</f>
        <v>9780511477287</v>
      </c>
      <c r="C2537" s="1" t="s">
        <v>25</v>
      </c>
      <c r="D2537" s="2">
        <v>39508</v>
      </c>
      <c r="E2537" s="1" t="s">
        <v>5169</v>
      </c>
      <c r="F2537" s="1" t="s">
        <v>13</v>
      </c>
    </row>
    <row r="2538" spans="1:6" ht="30" customHeight="1" x14ac:dyDescent="0.25">
      <c r="A2538" s="1" t="s">
        <v>5170</v>
      </c>
      <c r="B2538" s="1" t="str">
        <f>"9780511477423"</f>
        <v>9780511477423</v>
      </c>
      <c r="C2538" s="1" t="s">
        <v>25</v>
      </c>
      <c r="D2538" s="2">
        <v>39748</v>
      </c>
      <c r="E2538" s="1" t="s">
        <v>5171</v>
      </c>
      <c r="F2538" s="1" t="s">
        <v>13</v>
      </c>
    </row>
    <row r="2539" spans="1:6" ht="30" customHeight="1" x14ac:dyDescent="0.25">
      <c r="A2539" s="1" t="s">
        <v>5172</v>
      </c>
      <c r="B2539" s="1" t="str">
        <f>"9781846428906"</f>
        <v>9781846428906</v>
      </c>
      <c r="C2539" s="1" t="s">
        <v>2387</v>
      </c>
      <c r="D2539" s="2">
        <v>39797</v>
      </c>
      <c r="E2539" s="1" t="s">
        <v>5173</v>
      </c>
      <c r="F2539" s="1" t="s">
        <v>33</v>
      </c>
    </row>
    <row r="2540" spans="1:6" ht="30" customHeight="1" x14ac:dyDescent="0.25">
      <c r="A2540" s="1" t="s">
        <v>5174</v>
      </c>
      <c r="B2540" s="1" t="str">
        <f>"9781846428647"</f>
        <v>9781846428647</v>
      </c>
      <c r="C2540" s="1" t="s">
        <v>2387</v>
      </c>
      <c r="D2540" s="2">
        <v>39767</v>
      </c>
      <c r="E2540" s="1" t="s">
        <v>5175</v>
      </c>
      <c r="F2540" s="1" t="s">
        <v>13</v>
      </c>
    </row>
    <row r="2541" spans="1:6" ht="30" customHeight="1" x14ac:dyDescent="0.25">
      <c r="A2541" s="1" t="s">
        <v>5176</v>
      </c>
      <c r="B2541" s="1" t="str">
        <f>"9781846428654"</f>
        <v>9781846428654</v>
      </c>
      <c r="C2541" s="1" t="s">
        <v>2387</v>
      </c>
      <c r="D2541" s="2">
        <v>39767</v>
      </c>
      <c r="E2541" s="1" t="s">
        <v>5177</v>
      </c>
      <c r="F2541" s="1" t="s">
        <v>148</v>
      </c>
    </row>
    <row r="2542" spans="1:6" ht="30" customHeight="1" x14ac:dyDescent="0.25">
      <c r="A2542" s="1" t="s">
        <v>5178</v>
      </c>
      <c r="B2542" s="1" t="str">
        <f>"9781846428852"</f>
        <v>9781846428852</v>
      </c>
      <c r="C2542" s="1" t="s">
        <v>2387</v>
      </c>
      <c r="D2542" s="2">
        <v>39828</v>
      </c>
      <c r="E2542" s="1" t="s">
        <v>5179</v>
      </c>
      <c r="F2542" s="1" t="s">
        <v>13</v>
      </c>
    </row>
    <row r="2543" spans="1:6" ht="30" customHeight="1" x14ac:dyDescent="0.25">
      <c r="A2543" s="1" t="s">
        <v>5180</v>
      </c>
      <c r="B2543" s="1" t="str">
        <f>"9781846428814"</f>
        <v>9781846428814</v>
      </c>
      <c r="C2543" s="1" t="s">
        <v>2387</v>
      </c>
      <c r="D2543" s="2">
        <v>39767</v>
      </c>
      <c r="E2543" s="1" t="s">
        <v>5181</v>
      </c>
      <c r="F2543" s="1" t="s">
        <v>30</v>
      </c>
    </row>
    <row r="2544" spans="1:6" ht="30" customHeight="1" x14ac:dyDescent="0.25">
      <c r="A2544" s="1" t="s">
        <v>5182</v>
      </c>
      <c r="B2544" s="1" t="str">
        <f>"9781846428609"</f>
        <v>9781846428609</v>
      </c>
      <c r="C2544" s="1" t="s">
        <v>2387</v>
      </c>
      <c r="D2544" s="2">
        <v>39736</v>
      </c>
      <c r="E2544" s="1" t="s">
        <v>5183</v>
      </c>
      <c r="F2544" s="1" t="s">
        <v>13</v>
      </c>
    </row>
    <row r="2545" spans="1:6" ht="30" customHeight="1" x14ac:dyDescent="0.25">
      <c r="A2545" s="1" t="s">
        <v>5184</v>
      </c>
      <c r="B2545" s="1" t="str">
        <f>"9781846428517"</f>
        <v>9781846428517</v>
      </c>
      <c r="C2545" s="1" t="s">
        <v>2387</v>
      </c>
      <c r="D2545" s="2">
        <v>39767</v>
      </c>
      <c r="E2545" s="1" t="s">
        <v>5185</v>
      </c>
      <c r="F2545" s="1" t="s">
        <v>13</v>
      </c>
    </row>
    <row r="2546" spans="1:6" ht="30" customHeight="1" x14ac:dyDescent="0.25">
      <c r="A2546" s="1" t="s">
        <v>5186</v>
      </c>
      <c r="B2546" s="1" t="str">
        <f>"9781846428623"</f>
        <v>9781846428623</v>
      </c>
      <c r="C2546" s="1" t="s">
        <v>2387</v>
      </c>
      <c r="D2546" s="2">
        <v>39767</v>
      </c>
      <c r="E2546" s="1" t="s">
        <v>5187</v>
      </c>
      <c r="F2546" s="1" t="s">
        <v>33</v>
      </c>
    </row>
    <row r="2547" spans="1:6" ht="30" customHeight="1" x14ac:dyDescent="0.25">
      <c r="A2547" s="1" t="s">
        <v>5188</v>
      </c>
      <c r="B2547" s="1" t="str">
        <f>"9781846428791"</f>
        <v>9781846428791</v>
      </c>
      <c r="C2547" s="1" t="s">
        <v>2387</v>
      </c>
      <c r="D2547" s="2">
        <v>39767</v>
      </c>
      <c r="E2547" s="1" t="s">
        <v>5189</v>
      </c>
      <c r="F2547" s="1" t="s">
        <v>148</v>
      </c>
    </row>
    <row r="2548" spans="1:6" ht="30" customHeight="1" x14ac:dyDescent="0.25">
      <c r="A2548" s="1" t="s">
        <v>5190</v>
      </c>
      <c r="B2548" s="1" t="str">
        <f>"9781846428579"</f>
        <v>9781846428579</v>
      </c>
      <c r="C2548" s="1" t="s">
        <v>2387</v>
      </c>
      <c r="D2548" s="2">
        <v>39736</v>
      </c>
      <c r="E2548" s="1" t="s">
        <v>5191</v>
      </c>
      <c r="F2548" s="1" t="s">
        <v>13</v>
      </c>
    </row>
    <row r="2549" spans="1:6" ht="30" customHeight="1" x14ac:dyDescent="0.25">
      <c r="A2549" s="1" t="s">
        <v>5192</v>
      </c>
      <c r="B2549" s="1" t="str">
        <f>"9781846428708"</f>
        <v>9781846428708</v>
      </c>
      <c r="C2549" s="1" t="s">
        <v>2387</v>
      </c>
      <c r="D2549" s="2">
        <v>39767</v>
      </c>
      <c r="E2549" s="1" t="s">
        <v>5193</v>
      </c>
      <c r="F2549" s="1" t="s">
        <v>13</v>
      </c>
    </row>
    <row r="2550" spans="1:6" ht="30" customHeight="1" x14ac:dyDescent="0.25">
      <c r="A2550" s="1" t="s">
        <v>5194</v>
      </c>
      <c r="B2550" s="1" t="str">
        <f>"9781846428524"</f>
        <v>9781846428524</v>
      </c>
      <c r="C2550" s="1" t="s">
        <v>2387</v>
      </c>
      <c r="D2550" s="2">
        <v>39736</v>
      </c>
      <c r="E2550" s="1" t="s">
        <v>5195</v>
      </c>
      <c r="F2550" s="1" t="s">
        <v>13</v>
      </c>
    </row>
    <row r="2551" spans="1:6" ht="30" customHeight="1" x14ac:dyDescent="0.25">
      <c r="A2551" s="1" t="s">
        <v>5196</v>
      </c>
      <c r="B2551" s="1" t="str">
        <f>"9781846428784"</f>
        <v>9781846428784</v>
      </c>
      <c r="C2551" s="1" t="s">
        <v>2387</v>
      </c>
      <c r="D2551" s="2">
        <v>39767</v>
      </c>
      <c r="E2551" s="1" t="s">
        <v>5197</v>
      </c>
      <c r="F2551" s="1" t="s">
        <v>13</v>
      </c>
    </row>
    <row r="2552" spans="1:6" ht="30" customHeight="1" x14ac:dyDescent="0.25">
      <c r="A2552" s="1" t="s">
        <v>5198</v>
      </c>
      <c r="B2552" s="1" t="str">
        <f>"9781846428876"</f>
        <v>9781846428876</v>
      </c>
      <c r="C2552" s="1" t="s">
        <v>2387</v>
      </c>
      <c r="D2552" s="2">
        <v>39797</v>
      </c>
      <c r="E2552" s="1" t="s">
        <v>5199</v>
      </c>
      <c r="F2552" s="1" t="s">
        <v>13</v>
      </c>
    </row>
    <row r="2553" spans="1:6" ht="30" customHeight="1" x14ac:dyDescent="0.25">
      <c r="A2553" s="1" t="s">
        <v>5200</v>
      </c>
      <c r="B2553" s="1" t="str">
        <f>"9781605571553"</f>
        <v>9781605571553</v>
      </c>
      <c r="C2553" s="1" t="s">
        <v>3546</v>
      </c>
      <c r="D2553" s="2">
        <v>38718</v>
      </c>
      <c r="E2553" s="1" t="s">
        <v>5201</v>
      </c>
      <c r="F2553" s="1" t="s">
        <v>13</v>
      </c>
    </row>
    <row r="2554" spans="1:6" ht="30" customHeight="1" x14ac:dyDescent="0.25">
      <c r="A2554" s="1" t="s">
        <v>5202</v>
      </c>
      <c r="B2554" s="1" t="str">
        <f>"9780470334492"</f>
        <v>9780470334492</v>
      </c>
      <c r="C2554" s="1" t="s">
        <v>65</v>
      </c>
      <c r="D2554" s="2">
        <v>39811</v>
      </c>
      <c r="E2554" s="1" t="s">
        <v>5203</v>
      </c>
      <c r="F2554" s="1" t="s">
        <v>13</v>
      </c>
    </row>
    <row r="2555" spans="1:6" ht="30" customHeight="1" x14ac:dyDescent="0.25">
      <c r="A2555" s="1" t="s">
        <v>5204</v>
      </c>
      <c r="B2555" s="1" t="str">
        <f>"9780470368190"</f>
        <v>9780470368190</v>
      </c>
      <c r="C2555" s="1" t="s">
        <v>65</v>
      </c>
      <c r="D2555" s="2">
        <v>39811</v>
      </c>
      <c r="E2555" s="1" t="s">
        <v>5205</v>
      </c>
      <c r="F2555" s="1" t="s">
        <v>137</v>
      </c>
    </row>
    <row r="2556" spans="1:6" ht="30" customHeight="1" x14ac:dyDescent="0.25">
      <c r="A2556" s="1" t="s">
        <v>5206</v>
      </c>
      <c r="B2556" s="1" t="str">
        <f>"9780807861219"</f>
        <v>9780807861219</v>
      </c>
      <c r="C2556" s="1" t="s">
        <v>4843</v>
      </c>
      <c r="D2556" s="2">
        <v>37529</v>
      </c>
      <c r="E2556" s="1" t="s">
        <v>5207</v>
      </c>
      <c r="F2556" s="1" t="s">
        <v>205</v>
      </c>
    </row>
    <row r="2557" spans="1:6" ht="30" customHeight="1" x14ac:dyDescent="0.25">
      <c r="A2557" s="1" t="s">
        <v>5208</v>
      </c>
      <c r="B2557" s="1" t="str">
        <f>"9780807877425"</f>
        <v>9780807877425</v>
      </c>
      <c r="C2557" s="1" t="s">
        <v>4843</v>
      </c>
      <c r="D2557" s="2">
        <v>39036</v>
      </c>
      <c r="E2557" s="1" t="s">
        <v>5209</v>
      </c>
      <c r="F2557" s="1" t="s">
        <v>13</v>
      </c>
    </row>
    <row r="2558" spans="1:6" ht="30" customHeight="1" x14ac:dyDescent="0.25">
      <c r="A2558" s="1" t="s">
        <v>5210</v>
      </c>
      <c r="B2558" s="1" t="str">
        <f>"9780807863183"</f>
        <v>9780807863183</v>
      </c>
      <c r="C2558" s="1" t="s">
        <v>4843</v>
      </c>
      <c r="D2558" s="2">
        <v>37772</v>
      </c>
      <c r="E2558" s="1" t="s">
        <v>5211</v>
      </c>
      <c r="F2558" s="1" t="s">
        <v>70</v>
      </c>
    </row>
    <row r="2559" spans="1:6" ht="30" customHeight="1" x14ac:dyDescent="0.25">
      <c r="A2559" s="1" t="s">
        <v>5212</v>
      </c>
      <c r="B2559" s="1" t="str">
        <f>"9780807877128"</f>
        <v>9780807877128</v>
      </c>
      <c r="C2559" s="1" t="s">
        <v>4843</v>
      </c>
      <c r="D2559" s="2">
        <v>38852</v>
      </c>
      <c r="E2559" s="1" t="s">
        <v>5213</v>
      </c>
      <c r="F2559" s="1" t="s">
        <v>148</v>
      </c>
    </row>
    <row r="2560" spans="1:6" ht="30" customHeight="1" x14ac:dyDescent="0.25">
      <c r="A2560" s="1" t="s">
        <v>5214</v>
      </c>
      <c r="B2560" s="1" t="str">
        <f>"9780807875834"</f>
        <v>9780807875834</v>
      </c>
      <c r="C2560" s="1" t="s">
        <v>4843</v>
      </c>
      <c r="D2560" s="2">
        <v>38077</v>
      </c>
      <c r="E2560" s="1" t="s">
        <v>5215</v>
      </c>
      <c r="F2560" s="1" t="s">
        <v>30</v>
      </c>
    </row>
    <row r="2561" spans="1:6" ht="30" customHeight="1" x14ac:dyDescent="0.25">
      <c r="A2561" s="1" t="s">
        <v>5216</v>
      </c>
      <c r="B2561" s="1" t="str">
        <f>"9780080533100"</f>
        <v>9780080533100</v>
      </c>
      <c r="C2561" s="1" t="s">
        <v>900</v>
      </c>
      <c r="D2561" s="2">
        <v>36808</v>
      </c>
      <c r="E2561" s="1" t="s">
        <v>5068</v>
      </c>
      <c r="F2561" s="1" t="s">
        <v>13</v>
      </c>
    </row>
    <row r="2562" spans="1:6" ht="30" customHeight="1" x14ac:dyDescent="0.25">
      <c r="A2562" s="1" t="s">
        <v>5217</v>
      </c>
      <c r="B2562" s="1" t="str">
        <f>"9780813546469"</f>
        <v>9780813546469</v>
      </c>
      <c r="C2562" s="1" t="s">
        <v>3656</v>
      </c>
      <c r="D2562" s="2">
        <v>39822</v>
      </c>
      <c r="E2562" s="1" t="s">
        <v>5218</v>
      </c>
      <c r="F2562" s="1" t="s">
        <v>33</v>
      </c>
    </row>
    <row r="2563" spans="1:6" ht="30" customHeight="1" x14ac:dyDescent="0.25">
      <c r="A2563" s="1" t="s">
        <v>5219</v>
      </c>
      <c r="B2563" s="1" t="str">
        <f>"9788122425536"</f>
        <v>9788122425536</v>
      </c>
      <c r="C2563" s="1" t="s">
        <v>4001</v>
      </c>
      <c r="D2563" s="2">
        <v>38200</v>
      </c>
      <c r="E2563" s="1" t="s">
        <v>4839</v>
      </c>
      <c r="F2563" s="1" t="s">
        <v>137</v>
      </c>
    </row>
    <row r="2564" spans="1:6" ht="30" customHeight="1" x14ac:dyDescent="0.25">
      <c r="A2564" s="1" t="s">
        <v>5220</v>
      </c>
      <c r="B2564" s="1" t="str">
        <f>"9788122425567"</f>
        <v>9788122425567</v>
      </c>
      <c r="C2564" s="1" t="s">
        <v>4001</v>
      </c>
      <c r="D2564" s="2">
        <v>39142</v>
      </c>
      <c r="E2564" s="1" t="s">
        <v>5221</v>
      </c>
      <c r="F2564" s="1" t="s">
        <v>13</v>
      </c>
    </row>
    <row r="2565" spans="1:6" ht="30" customHeight="1" x14ac:dyDescent="0.25">
      <c r="A2565" s="1" t="s">
        <v>5222</v>
      </c>
      <c r="B2565" s="1" t="str">
        <f>"9788122425499"</f>
        <v>9788122425499</v>
      </c>
      <c r="C2565" s="1" t="s">
        <v>4001</v>
      </c>
      <c r="D2565" s="2">
        <v>39203</v>
      </c>
      <c r="E2565" s="1" t="s">
        <v>5223</v>
      </c>
      <c r="F2565" s="1" t="s">
        <v>13</v>
      </c>
    </row>
    <row r="2566" spans="1:6" ht="30" customHeight="1" x14ac:dyDescent="0.25">
      <c r="A2566" s="1" t="s">
        <v>5224</v>
      </c>
      <c r="B2566" s="1" t="str">
        <f>"9780199711956"</f>
        <v>9780199711956</v>
      </c>
      <c r="C2566" s="1" t="s">
        <v>1120</v>
      </c>
      <c r="D2566" s="2">
        <v>39860</v>
      </c>
      <c r="E2566" s="1" t="s">
        <v>1813</v>
      </c>
      <c r="F2566" s="1" t="s">
        <v>13</v>
      </c>
    </row>
    <row r="2567" spans="1:6" ht="30" customHeight="1" x14ac:dyDescent="0.25">
      <c r="A2567" s="1" t="s">
        <v>5225</v>
      </c>
      <c r="B2567" s="1" t="str">
        <f>"9780199712069"</f>
        <v>9780199712069</v>
      </c>
      <c r="C2567" s="1" t="s">
        <v>1123</v>
      </c>
      <c r="D2567" s="2">
        <v>39503</v>
      </c>
      <c r="E2567" s="1" t="s">
        <v>5226</v>
      </c>
      <c r="F2567" s="1" t="s">
        <v>13</v>
      </c>
    </row>
    <row r="2568" spans="1:6" ht="30" customHeight="1" x14ac:dyDescent="0.25">
      <c r="A2568" s="1" t="s">
        <v>5227</v>
      </c>
      <c r="B2568" s="1" t="str">
        <f>"9780195347425"</f>
        <v>9780195347425</v>
      </c>
      <c r="C2568" s="1" t="s">
        <v>1123</v>
      </c>
      <c r="D2568" s="2">
        <v>39090</v>
      </c>
      <c r="E2568" s="1" t="s">
        <v>5228</v>
      </c>
      <c r="F2568" s="1" t="s">
        <v>1879</v>
      </c>
    </row>
    <row r="2569" spans="1:6" ht="30" customHeight="1" x14ac:dyDescent="0.25">
      <c r="A2569" s="1" t="s">
        <v>5229</v>
      </c>
      <c r="B2569" s="1" t="str">
        <f>"9780198042457"</f>
        <v>9780198042457</v>
      </c>
      <c r="C2569" s="1" t="s">
        <v>1120</v>
      </c>
      <c r="D2569" s="2">
        <v>39528</v>
      </c>
      <c r="E2569" s="1" t="s">
        <v>5230</v>
      </c>
      <c r="F2569" s="1" t="s">
        <v>13</v>
      </c>
    </row>
    <row r="2570" spans="1:6" ht="30" customHeight="1" x14ac:dyDescent="0.25">
      <c r="A2570" s="1" t="s">
        <v>5231</v>
      </c>
      <c r="B2570" s="1" t="str">
        <f>"9780198041801"</f>
        <v>9780198041801</v>
      </c>
      <c r="C2570" s="1" t="s">
        <v>1120</v>
      </c>
      <c r="D2570" s="2">
        <v>39142</v>
      </c>
      <c r="E2570" s="1" t="s">
        <v>5232</v>
      </c>
      <c r="F2570" s="1" t="s">
        <v>13</v>
      </c>
    </row>
    <row r="2571" spans="1:6" ht="30" customHeight="1" x14ac:dyDescent="0.25">
      <c r="A2571" s="1" t="s">
        <v>5233</v>
      </c>
      <c r="B2571" s="1" t="str">
        <f>"9780199711802"</f>
        <v>9780199711802</v>
      </c>
      <c r="C2571" s="1" t="s">
        <v>1123</v>
      </c>
      <c r="D2571" s="2">
        <v>39643</v>
      </c>
      <c r="E2571" s="1" t="s">
        <v>5234</v>
      </c>
      <c r="F2571" s="1" t="s">
        <v>13</v>
      </c>
    </row>
    <row r="2572" spans="1:6" ht="30" customHeight="1" x14ac:dyDescent="0.25">
      <c r="A2572" s="1" t="s">
        <v>5235</v>
      </c>
      <c r="B2572" s="1" t="str">
        <f>"9780191514838"</f>
        <v>9780191514838</v>
      </c>
      <c r="C2572" s="1" t="s">
        <v>1117</v>
      </c>
      <c r="D2572" s="2">
        <v>39086</v>
      </c>
      <c r="E2572" s="1" t="s">
        <v>5236</v>
      </c>
      <c r="F2572" s="1" t="s">
        <v>5237</v>
      </c>
    </row>
    <row r="2573" spans="1:6" ht="30" customHeight="1" x14ac:dyDescent="0.25">
      <c r="A2573" s="1" t="s">
        <v>5238</v>
      </c>
      <c r="B2573" s="1" t="str">
        <f>"9780191548802"</f>
        <v>9780191548802</v>
      </c>
      <c r="C2573" s="1" t="s">
        <v>1117</v>
      </c>
      <c r="D2573" s="2">
        <v>39744</v>
      </c>
      <c r="E2573" s="1" t="s">
        <v>5239</v>
      </c>
      <c r="F2573" s="1" t="s">
        <v>13</v>
      </c>
    </row>
    <row r="2574" spans="1:6" ht="30" customHeight="1" x14ac:dyDescent="0.25">
      <c r="A2574" s="1" t="s">
        <v>5240</v>
      </c>
      <c r="B2574" s="1" t="str">
        <f>"9780199709335"</f>
        <v>9780199709335</v>
      </c>
      <c r="C2574" s="1" t="s">
        <v>1120</v>
      </c>
      <c r="D2574" s="2">
        <v>39749</v>
      </c>
      <c r="E2574" s="1" t="s">
        <v>1578</v>
      </c>
      <c r="F2574" s="1" t="s">
        <v>13</v>
      </c>
    </row>
    <row r="2575" spans="1:6" ht="30" customHeight="1" x14ac:dyDescent="0.25">
      <c r="A2575" s="1" t="s">
        <v>5241</v>
      </c>
      <c r="B2575" s="1" t="str">
        <f>"9780199722297"</f>
        <v>9780199722297</v>
      </c>
      <c r="C2575" s="1" t="s">
        <v>1120</v>
      </c>
      <c r="D2575" s="2">
        <v>39925</v>
      </c>
      <c r="E2575" s="1" t="s">
        <v>5242</v>
      </c>
      <c r="F2575" s="1" t="s">
        <v>13</v>
      </c>
    </row>
    <row r="2576" spans="1:6" ht="30" customHeight="1" x14ac:dyDescent="0.25">
      <c r="A2576" s="1" t="s">
        <v>5243</v>
      </c>
      <c r="B2576" s="1" t="str">
        <f>"9780199712274"</f>
        <v>9780199712274</v>
      </c>
      <c r="C2576" s="1" t="s">
        <v>1120</v>
      </c>
      <c r="D2576" s="2">
        <v>39643</v>
      </c>
      <c r="E2576" s="1" t="s">
        <v>5244</v>
      </c>
      <c r="F2576" s="1" t="s">
        <v>13</v>
      </c>
    </row>
    <row r="2577" spans="1:6" ht="30" customHeight="1" x14ac:dyDescent="0.25">
      <c r="A2577" s="1" t="s">
        <v>5245</v>
      </c>
      <c r="B2577" s="1" t="str">
        <f>"9780199715848"</f>
        <v>9780199715848</v>
      </c>
      <c r="C2577" s="1" t="s">
        <v>1120</v>
      </c>
      <c r="D2577" s="2">
        <v>39798</v>
      </c>
      <c r="E2577" s="1" t="s">
        <v>5246</v>
      </c>
      <c r="F2577" s="1" t="s">
        <v>13</v>
      </c>
    </row>
    <row r="2578" spans="1:6" ht="30" customHeight="1" x14ac:dyDescent="0.25">
      <c r="A2578" s="1" t="s">
        <v>5247</v>
      </c>
      <c r="B2578" s="1" t="str">
        <f>"9780198043232"</f>
        <v>9780198043232</v>
      </c>
      <c r="C2578" s="1" t="s">
        <v>1123</v>
      </c>
      <c r="D2578" s="2">
        <v>39455</v>
      </c>
      <c r="E2578" s="1" t="s">
        <v>5248</v>
      </c>
      <c r="F2578" s="1" t="s">
        <v>13</v>
      </c>
    </row>
    <row r="2579" spans="1:6" ht="30" customHeight="1" x14ac:dyDescent="0.25">
      <c r="A2579" s="1" t="s">
        <v>5249</v>
      </c>
      <c r="B2579" s="1" t="str">
        <f>"9780191538193"</f>
        <v>9780191538193</v>
      </c>
      <c r="C2579" s="1" t="s">
        <v>1117</v>
      </c>
      <c r="D2579" s="2">
        <v>39226</v>
      </c>
      <c r="E2579" s="1" t="s">
        <v>5250</v>
      </c>
      <c r="F2579" s="1" t="s">
        <v>30</v>
      </c>
    </row>
    <row r="2580" spans="1:6" ht="30" customHeight="1" x14ac:dyDescent="0.25">
      <c r="A2580" s="1" t="s">
        <v>5251</v>
      </c>
      <c r="B2580" s="1" t="str">
        <f>"9780199714964"</f>
        <v>9780199714964</v>
      </c>
      <c r="C2580" s="1" t="s">
        <v>1120</v>
      </c>
      <c r="D2580" s="2">
        <v>39561</v>
      </c>
      <c r="E2580" s="1" t="s">
        <v>5252</v>
      </c>
      <c r="F2580" s="1" t="s">
        <v>13</v>
      </c>
    </row>
    <row r="2581" spans="1:6" ht="30" customHeight="1" x14ac:dyDescent="0.25">
      <c r="A2581" s="1" t="s">
        <v>5253</v>
      </c>
      <c r="B2581" s="1" t="str">
        <f>"9780199714230"</f>
        <v>9780199714230</v>
      </c>
      <c r="C2581" s="1" t="s">
        <v>1123</v>
      </c>
      <c r="D2581" s="2">
        <v>39531</v>
      </c>
      <c r="E2581" s="1" t="s">
        <v>5254</v>
      </c>
      <c r="F2581" s="1" t="s">
        <v>13</v>
      </c>
    </row>
    <row r="2582" spans="1:6" ht="30" customHeight="1" x14ac:dyDescent="0.25">
      <c r="A2582" s="1" t="s">
        <v>5255</v>
      </c>
      <c r="B2582" s="1" t="str">
        <f>"9780199714223"</f>
        <v>9780199714223</v>
      </c>
      <c r="C2582" s="1" t="s">
        <v>1123</v>
      </c>
      <c r="D2582" s="2">
        <v>39531</v>
      </c>
      <c r="E2582" s="1" t="s">
        <v>5254</v>
      </c>
      <c r="F2582" s="1" t="s">
        <v>13</v>
      </c>
    </row>
    <row r="2583" spans="1:6" ht="30" customHeight="1" x14ac:dyDescent="0.25">
      <c r="A2583" s="1" t="s">
        <v>5256</v>
      </c>
      <c r="B2583" s="1" t="str">
        <f>"9780198044123"</f>
        <v>9780198044123</v>
      </c>
      <c r="C2583" s="1" t="s">
        <v>1123</v>
      </c>
      <c r="D2583" s="2">
        <v>39580</v>
      </c>
      <c r="E2583" s="1" t="s">
        <v>5257</v>
      </c>
      <c r="F2583" s="1" t="s">
        <v>13</v>
      </c>
    </row>
    <row r="2584" spans="1:6" ht="30" customHeight="1" x14ac:dyDescent="0.25">
      <c r="A2584" s="1" t="s">
        <v>5258</v>
      </c>
      <c r="B2584" s="1" t="str">
        <f>"9780199710560"</f>
        <v>9780199710560</v>
      </c>
      <c r="C2584" s="1" t="s">
        <v>1123</v>
      </c>
      <c r="D2584" s="2">
        <v>39576</v>
      </c>
      <c r="E2584" s="1" t="s">
        <v>5259</v>
      </c>
      <c r="F2584" s="1" t="s">
        <v>13</v>
      </c>
    </row>
    <row r="2585" spans="1:6" ht="30" customHeight="1" x14ac:dyDescent="0.25">
      <c r="A2585" s="1" t="s">
        <v>5260</v>
      </c>
      <c r="B2585" s="1" t="str">
        <f>"9780198041412"</f>
        <v>9780198041412</v>
      </c>
      <c r="C2585" s="1" t="s">
        <v>1120</v>
      </c>
      <c r="D2585" s="2">
        <v>39352</v>
      </c>
      <c r="E2585" s="1" t="s">
        <v>5261</v>
      </c>
      <c r="F2585" s="1" t="s">
        <v>13</v>
      </c>
    </row>
    <row r="2586" spans="1:6" ht="30" customHeight="1" x14ac:dyDescent="0.25">
      <c r="A2586" s="1" t="s">
        <v>5262</v>
      </c>
      <c r="B2586" s="1" t="str">
        <f>"9780198042419"</f>
        <v>9780198042419</v>
      </c>
      <c r="C2586" s="1" t="s">
        <v>1123</v>
      </c>
      <c r="D2586" s="2">
        <v>39058</v>
      </c>
      <c r="E2586" s="1" t="s">
        <v>5263</v>
      </c>
      <c r="F2586" s="1" t="s">
        <v>13</v>
      </c>
    </row>
    <row r="2587" spans="1:6" ht="30" customHeight="1" x14ac:dyDescent="0.25">
      <c r="A2587" s="1" t="s">
        <v>5264</v>
      </c>
      <c r="B2587" s="1" t="str">
        <f>"9780198041078"</f>
        <v>9780198041078</v>
      </c>
      <c r="C2587" s="1" t="s">
        <v>1117</v>
      </c>
      <c r="D2587" s="2">
        <v>39052</v>
      </c>
      <c r="E2587" s="1" t="s">
        <v>5265</v>
      </c>
      <c r="F2587" s="1" t="s">
        <v>13</v>
      </c>
    </row>
    <row r="2588" spans="1:6" ht="30" customHeight="1" x14ac:dyDescent="0.25">
      <c r="A2588" s="1" t="s">
        <v>5266</v>
      </c>
      <c r="B2588" s="1" t="str">
        <f>"9780199713035"</f>
        <v>9780199713035</v>
      </c>
      <c r="C2588" s="1" t="s">
        <v>1123</v>
      </c>
      <c r="D2588" s="2">
        <v>39741</v>
      </c>
      <c r="E2588" s="1" t="s">
        <v>5267</v>
      </c>
      <c r="F2588" s="1" t="s">
        <v>13</v>
      </c>
    </row>
    <row r="2589" spans="1:6" ht="30" customHeight="1" x14ac:dyDescent="0.25">
      <c r="A2589" s="1" t="s">
        <v>5268</v>
      </c>
      <c r="B2589" s="1" t="str">
        <f>"9780199713028"</f>
        <v>9780199713028</v>
      </c>
      <c r="C2589" s="1" t="s">
        <v>1120</v>
      </c>
      <c r="D2589" s="2">
        <v>39741</v>
      </c>
      <c r="E2589" s="1" t="s">
        <v>5267</v>
      </c>
      <c r="F2589" s="1" t="s">
        <v>13</v>
      </c>
    </row>
    <row r="2590" spans="1:6" ht="30" customHeight="1" x14ac:dyDescent="0.25">
      <c r="A2590" s="1" t="s">
        <v>5269</v>
      </c>
      <c r="B2590" s="1" t="str">
        <f>"9780198043881"</f>
        <v>9780198043881</v>
      </c>
      <c r="C2590" s="1" t="s">
        <v>1123</v>
      </c>
      <c r="D2590" s="2">
        <v>39524</v>
      </c>
      <c r="E2590" s="1" t="s">
        <v>5270</v>
      </c>
      <c r="F2590" s="1" t="s">
        <v>13</v>
      </c>
    </row>
    <row r="2591" spans="1:6" ht="30" customHeight="1" x14ac:dyDescent="0.25">
      <c r="A2591" s="1" t="s">
        <v>5271</v>
      </c>
      <c r="B2591" s="1" t="str">
        <f>"9780198043898"</f>
        <v>9780198043898</v>
      </c>
      <c r="C2591" s="1" t="s">
        <v>1120</v>
      </c>
      <c r="D2591" s="2">
        <v>39525</v>
      </c>
      <c r="E2591" s="1" t="s">
        <v>5272</v>
      </c>
      <c r="F2591" s="1" t="s">
        <v>13</v>
      </c>
    </row>
    <row r="2592" spans="1:6" ht="30" customHeight="1" x14ac:dyDescent="0.25">
      <c r="A2592" s="1" t="s">
        <v>5273</v>
      </c>
      <c r="B2592" s="1" t="str">
        <f>"9780199711413"</f>
        <v>9780199711413</v>
      </c>
      <c r="C2592" s="1" t="s">
        <v>1123</v>
      </c>
      <c r="D2592" s="2">
        <v>39521</v>
      </c>
      <c r="E2592" s="1" t="s">
        <v>5274</v>
      </c>
      <c r="F2592" s="1" t="s">
        <v>13</v>
      </c>
    </row>
    <row r="2593" spans="1:6" ht="30" customHeight="1" x14ac:dyDescent="0.25">
      <c r="A2593" s="1" t="s">
        <v>5275</v>
      </c>
      <c r="B2593" s="1" t="str">
        <f>"9780198043034"</f>
        <v>9780198043034</v>
      </c>
      <c r="C2593" s="1" t="s">
        <v>1123</v>
      </c>
      <c r="D2593" s="2">
        <v>39413</v>
      </c>
      <c r="E2593" s="1" t="s">
        <v>5276</v>
      </c>
      <c r="F2593" s="1" t="s">
        <v>13</v>
      </c>
    </row>
    <row r="2594" spans="1:6" ht="30" customHeight="1" x14ac:dyDescent="0.25">
      <c r="A2594" s="1" t="s">
        <v>5277</v>
      </c>
      <c r="B2594" s="1" t="str">
        <f>"9780199712410"</f>
        <v>9780199712410</v>
      </c>
      <c r="C2594" s="1" t="s">
        <v>1123</v>
      </c>
      <c r="D2594" s="2">
        <v>39706</v>
      </c>
      <c r="E2594" s="1" t="s">
        <v>5278</v>
      </c>
      <c r="F2594" s="1" t="s">
        <v>13</v>
      </c>
    </row>
    <row r="2595" spans="1:6" ht="30" customHeight="1" x14ac:dyDescent="0.25">
      <c r="A2595" s="1" t="s">
        <v>5279</v>
      </c>
      <c r="B2595" s="1" t="str">
        <f>"9780199712250"</f>
        <v>9780199712250</v>
      </c>
      <c r="C2595" s="1" t="s">
        <v>1120</v>
      </c>
      <c r="D2595" s="2">
        <v>39706</v>
      </c>
      <c r="E2595" s="1" t="s">
        <v>5278</v>
      </c>
      <c r="F2595" s="1" t="s">
        <v>13</v>
      </c>
    </row>
    <row r="2596" spans="1:6" ht="30" customHeight="1" x14ac:dyDescent="0.25">
      <c r="A2596" s="1" t="s">
        <v>5280</v>
      </c>
      <c r="B2596" s="1" t="str">
        <f>"9780191517648"</f>
        <v>9780191517648</v>
      </c>
      <c r="C2596" s="1" t="s">
        <v>1117</v>
      </c>
      <c r="D2596" s="2">
        <v>43140</v>
      </c>
      <c r="E2596" s="1" t="s">
        <v>5281</v>
      </c>
      <c r="F2596" s="1" t="s">
        <v>70</v>
      </c>
    </row>
    <row r="2597" spans="1:6" ht="30" customHeight="1" x14ac:dyDescent="0.25">
      <c r="A2597" s="1" t="s">
        <v>5282</v>
      </c>
      <c r="B2597" s="1" t="str">
        <f>"9780199724451"</f>
        <v>9780199724451</v>
      </c>
      <c r="C2597" s="1" t="s">
        <v>1120</v>
      </c>
      <c r="D2597" s="2">
        <v>39261</v>
      </c>
      <c r="E2597" s="1" t="s">
        <v>5283</v>
      </c>
      <c r="F2597" s="1" t="s">
        <v>13</v>
      </c>
    </row>
    <row r="2598" spans="1:6" ht="30" customHeight="1" x14ac:dyDescent="0.25">
      <c r="A2598" s="1" t="s">
        <v>5284</v>
      </c>
      <c r="B2598" s="1" t="str">
        <f>"9780198042112"</f>
        <v>9780198042112</v>
      </c>
      <c r="C2598" s="1" t="s">
        <v>1123</v>
      </c>
      <c r="D2598" s="2">
        <v>39412</v>
      </c>
      <c r="E2598" s="1" t="s">
        <v>5285</v>
      </c>
      <c r="F2598" s="1" t="s">
        <v>13</v>
      </c>
    </row>
    <row r="2599" spans="1:6" ht="30" customHeight="1" x14ac:dyDescent="0.25">
      <c r="A2599" s="1" t="s">
        <v>5286</v>
      </c>
      <c r="B2599" s="1" t="str">
        <f>"9780191538681"</f>
        <v>9780191538681</v>
      </c>
      <c r="C2599" s="1" t="s">
        <v>1117</v>
      </c>
      <c r="D2599" s="2">
        <v>39513</v>
      </c>
      <c r="E2599" s="1" t="s">
        <v>5287</v>
      </c>
      <c r="F2599" s="1" t="s">
        <v>5288</v>
      </c>
    </row>
    <row r="2600" spans="1:6" ht="30" customHeight="1" x14ac:dyDescent="0.25">
      <c r="A2600" s="1" t="s">
        <v>5289</v>
      </c>
      <c r="B2600" s="1" t="str">
        <f>"9780198043140"</f>
        <v>9780198043140</v>
      </c>
      <c r="C2600" s="1" t="s">
        <v>1123</v>
      </c>
      <c r="D2600" s="2">
        <v>39520</v>
      </c>
      <c r="E2600" s="1" t="s">
        <v>5290</v>
      </c>
      <c r="F2600" s="1" t="s">
        <v>13</v>
      </c>
    </row>
    <row r="2601" spans="1:6" ht="30" customHeight="1" x14ac:dyDescent="0.25">
      <c r="A2601" s="1" t="s">
        <v>5291</v>
      </c>
      <c r="B2601" s="1" t="str">
        <f>"9780198043652"</f>
        <v>9780198043652</v>
      </c>
      <c r="C2601" s="1" t="s">
        <v>1120</v>
      </c>
      <c r="D2601" s="2">
        <v>39552</v>
      </c>
      <c r="E2601" s="1" t="s">
        <v>5292</v>
      </c>
      <c r="F2601" s="1" t="s">
        <v>13</v>
      </c>
    </row>
    <row r="2602" spans="1:6" ht="30" customHeight="1" x14ac:dyDescent="0.25">
      <c r="A2602" s="1" t="s">
        <v>5293</v>
      </c>
      <c r="B2602" s="1" t="str">
        <f>"9780199710942"</f>
        <v>9780199710942</v>
      </c>
      <c r="C2602" s="1" t="s">
        <v>1120</v>
      </c>
      <c r="D2602" s="2">
        <v>39783</v>
      </c>
      <c r="E2602" s="1" t="s">
        <v>1145</v>
      </c>
      <c r="F2602" s="1" t="s">
        <v>13</v>
      </c>
    </row>
    <row r="2603" spans="1:6" ht="30" customHeight="1" x14ac:dyDescent="0.25">
      <c r="A2603" s="1" t="s">
        <v>5294</v>
      </c>
      <c r="B2603" s="1" t="str">
        <f>"9780191516160"</f>
        <v>9780191516160</v>
      </c>
      <c r="C2603" s="1" t="s">
        <v>1117</v>
      </c>
      <c r="D2603" s="2">
        <v>39100</v>
      </c>
      <c r="E2603" s="1" t="s">
        <v>5295</v>
      </c>
      <c r="F2603" s="1" t="s">
        <v>1443</v>
      </c>
    </row>
    <row r="2604" spans="1:6" ht="30" customHeight="1" x14ac:dyDescent="0.25">
      <c r="A2604" s="1" t="s">
        <v>5296</v>
      </c>
      <c r="B2604" s="1" t="str">
        <f>"9780198041450"</f>
        <v>9780198041450</v>
      </c>
      <c r="C2604" s="1" t="s">
        <v>1120</v>
      </c>
      <c r="D2604" s="2">
        <v>39352</v>
      </c>
      <c r="E2604" s="1" t="s">
        <v>5297</v>
      </c>
      <c r="F2604" s="1" t="s">
        <v>13</v>
      </c>
    </row>
    <row r="2605" spans="1:6" ht="30" customHeight="1" x14ac:dyDescent="0.25">
      <c r="A2605" s="1" t="s">
        <v>5298</v>
      </c>
      <c r="B2605" s="1" t="str">
        <f>"9780191548765"</f>
        <v>9780191548765</v>
      </c>
      <c r="C2605" s="1" t="s">
        <v>1120</v>
      </c>
      <c r="D2605" s="2">
        <v>39408</v>
      </c>
      <c r="E2605" s="1" t="s">
        <v>5299</v>
      </c>
      <c r="F2605" s="1" t="s">
        <v>13</v>
      </c>
    </row>
    <row r="2606" spans="1:6" ht="30" customHeight="1" x14ac:dyDescent="0.25">
      <c r="A2606" s="1" t="s">
        <v>5300</v>
      </c>
      <c r="B2606" s="1" t="str">
        <f>"9780199717156"</f>
        <v>9780199717156</v>
      </c>
      <c r="C2606" s="1" t="s">
        <v>1120</v>
      </c>
      <c r="D2606" s="2">
        <v>39680</v>
      </c>
      <c r="E2606" s="1" t="s">
        <v>5301</v>
      </c>
      <c r="F2606" s="1" t="s">
        <v>158</v>
      </c>
    </row>
    <row r="2607" spans="1:6" ht="30" customHeight="1" x14ac:dyDescent="0.25">
      <c r="A2607" s="1" t="s">
        <v>5302</v>
      </c>
      <c r="B2607" s="1" t="str">
        <f>"9780199717279"</f>
        <v>9780199717279</v>
      </c>
      <c r="C2607" s="1" t="s">
        <v>1123</v>
      </c>
      <c r="D2607" s="2">
        <v>39602</v>
      </c>
      <c r="E2607" s="1" t="s">
        <v>5303</v>
      </c>
      <c r="F2607" s="1" t="s">
        <v>13</v>
      </c>
    </row>
    <row r="2608" spans="1:6" ht="30" customHeight="1" x14ac:dyDescent="0.25">
      <c r="A2608" s="1" t="s">
        <v>5304</v>
      </c>
      <c r="B2608" s="1" t="str">
        <f>"9780199709168"</f>
        <v>9780199709168</v>
      </c>
      <c r="C2608" s="1" t="s">
        <v>1120</v>
      </c>
      <c r="D2608" s="2">
        <v>39798</v>
      </c>
      <c r="E2608" s="1" t="s">
        <v>5305</v>
      </c>
      <c r="F2608" s="1" t="s">
        <v>117</v>
      </c>
    </row>
    <row r="2609" spans="1:6" ht="30" customHeight="1" x14ac:dyDescent="0.25">
      <c r="A2609" s="1" t="s">
        <v>5306</v>
      </c>
      <c r="B2609" s="1" t="str">
        <f>"9780253000682"</f>
        <v>9780253000682</v>
      </c>
      <c r="C2609" s="1" t="s">
        <v>19</v>
      </c>
      <c r="D2609" s="2">
        <v>39708</v>
      </c>
      <c r="E2609" s="1" t="s">
        <v>5307</v>
      </c>
      <c r="F2609" s="1" t="s">
        <v>13</v>
      </c>
    </row>
    <row r="2610" spans="1:6" ht="30" customHeight="1" x14ac:dyDescent="0.25">
      <c r="A2610" s="1" t="s">
        <v>5308</v>
      </c>
      <c r="B2610" s="1" t="str">
        <f>"9780199724444"</f>
        <v>9780199724444</v>
      </c>
      <c r="C2610" s="1" t="s">
        <v>1123</v>
      </c>
      <c r="D2610" s="2">
        <v>39163</v>
      </c>
      <c r="E2610" s="1" t="s">
        <v>5309</v>
      </c>
      <c r="F2610" s="1" t="s">
        <v>13</v>
      </c>
    </row>
    <row r="2611" spans="1:6" ht="30" customHeight="1" x14ac:dyDescent="0.25">
      <c r="A2611" s="1" t="s">
        <v>5310</v>
      </c>
      <c r="B2611" s="1" t="str">
        <f>"9780199720989"</f>
        <v>9780199720989</v>
      </c>
      <c r="C2611" s="1" t="s">
        <v>1120</v>
      </c>
      <c r="D2611" s="2">
        <v>39556</v>
      </c>
      <c r="E2611" s="1" t="s">
        <v>5311</v>
      </c>
      <c r="F2611" s="1" t="s">
        <v>13</v>
      </c>
    </row>
    <row r="2612" spans="1:6" ht="30" customHeight="1" x14ac:dyDescent="0.25">
      <c r="A2612" s="1" t="s">
        <v>5312</v>
      </c>
      <c r="B2612" s="1" t="str">
        <f>"9780199715633"</f>
        <v>9780199715633</v>
      </c>
      <c r="C2612" s="1" t="s">
        <v>1123</v>
      </c>
      <c r="D2612" s="2">
        <v>39521</v>
      </c>
      <c r="E2612" s="1" t="s">
        <v>5313</v>
      </c>
      <c r="F2612" s="1" t="s">
        <v>13</v>
      </c>
    </row>
    <row r="2613" spans="1:6" ht="30" customHeight="1" x14ac:dyDescent="0.25">
      <c r="A2613" s="1" t="s">
        <v>5314</v>
      </c>
      <c r="B2613" s="1" t="str">
        <f>"9780191517600"</f>
        <v>9780191517600</v>
      </c>
      <c r="C2613" s="1" t="s">
        <v>1117</v>
      </c>
      <c r="D2613" s="2">
        <v>39471</v>
      </c>
      <c r="E2613" s="1" t="s">
        <v>5315</v>
      </c>
      <c r="F2613" s="1" t="s">
        <v>158</v>
      </c>
    </row>
    <row r="2614" spans="1:6" ht="30" customHeight="1" x14ac:dyDescent="0.25">
      <c r="A2614" s="1" t="s">
        <v>5316</v>
      </c>
      <c r="B2614" s="1" t="str">
        <f>"9780199721702"</f>
        <v>9780199721702</v>
      </c>
      <c r="C2614" s="1" t="s">
        <v>1120</v>
      </c>
      <c r="D2614" s="2">
        <v>39706</v>
      </c>
      <c r="E2614" s="1" t="s">
        <v>5317</v>
      </c>
      <c r="F2614" s="1" t="s">
        <v>30</v>
      </c>
    </row>
    <row r="2615" spans="1:6" ht="30" customHeight="1" x14ac:dyDescent="0.25">
      <c r="A2615" s="1" t="s">
        <v>5318</v>
      </c>
      <c r="B2615" s="1" t="str">
        <f>"9780199708710"</f>
        <v>9780199708710</v>
      </c>
      <c r="C2615" s="1" t="s">
        <v>1123</v>
      </c>
      <c r="D2615" s="2">
        <v>39813</v>
      </c>
      <c r="E2615" s="1" t="s">
        <v>5319</v>
      </c>
      <c r="F2615" s="1" t="s">
        <v>13</v>
      </c>
    </row>
    <row r="2616" spans="1:6" ht="30" customHeight="1" x14ac:dyDescent="0.25">
      <c r="A2616" s="1" t="s">
        <v>5320</v>
      </c>
      <c r="B2616" s="1" t="str">
        <f>"9780191517273"</f>
        <v>9780191517273</v>
      </c>
      <c r="C2616" s="1" t="s">
        <v>1117</v>
      </c>
      <c r="D2616" s="2">
        <v>39170</v>
      </c>
      <c r="E2616" s="1" t="s">
        <v>5321</v>
      </c>
      <c r="F2616" s="1" t="s">
        <v>13</v>
      </c>
    </row>
    <row r="2617" spans="1:6" ht="30" customHeight="1" x14ac:dyDescent="0.25">
      <c r="A2617" s="1" t="s">
        <v>5322</v>
      </c>
      <c r="B2617" s="1" t="str">
        <f>"9780191549526"</f>
        <v>9780191549526</v>
      </c>
      <c r="C2617" s="1" t="s">
        <v>1117</v>
      </c>
      <c r="D2617" s="2">
        <v>39527</v>
      </c>
      <c r="E2617" s="1" t="s">
        <v>5323</v>
      </c>
      <c r="F2617" s="1" t="s">
        <v>13</v>
      </c>
    </row>
    <row r="2618" spans="1:6" ht="30" customHeight="1" x14ac:dyDescent="0.25">
      <c r="A2618" s="1" t="s">
        <v>5324</v>
      </c>
      <c r="B2618" s="1" t="str">
        <f>"9780199716333"</f>
        <v>9780199716333</v>
      </c>
      <c r="C2618" s="1" t="s">
        <v>1123</v>
      </c>
      <c r="D2618" s="2">
        <v>39349</v>
      </c>
      <c r="E2618" s="1" t="s">
        <v>5325</v>
      </c>
      <c r="F2618" s="1" t="s">
        <v>13</v>
      </c>
    </row>
    <row r="2619" spans="1:6" ht="30" customHeight="1" x14ac:dyDescent="0.25">
      <c r="A2619" s="1" t="s">
        <v>5326</v>
      </c>
      <c r="B2619" s="1" t="str">
        <f>"9780199712304"</f>
        <v>9780199712304</v>
      </c>
      <c r="C2619" s="1" t="s">
        <v>1123</v>
      </c>
      <c r="D2619" s="2">
        <v>39694</v>
      </c>
      <c r="E2619" s="1" t="s">
        <v>5327</v>
      </c>
      <c r="F2619" s="1" t="s">
        <v>13</v>
      </c>
    </row>
    <row r="2620" spans="1:6" ht="30" customHeight="1" x14ac:dyDescent="0.25">
      <c r="A2620" s="1" t="s">
        <v>5328</v>
      </c>
      <c r="B2620" s="1" t="str">
        <f>"9780199712281"</f>
        <v>9780199712281</v>
      </c>
      <c r="C2620" s="1" t="s">
        <v>1120</v>
      </c>
      <c r="D2620" s="2">
        <v>39680</v>
      </c>
      <c r="E2620" s="1" t="s">
        <v>5327</v>
      </c>
      <c r="F2620" s="1" t="s">
        <v>13</v>
      </c>
    </row>
    <row r="2621" spans="1:6" ht="30" customHeight="1" x14ac:dyDescent="0.25">
      <c r="A2621" s="1" t="s">
        <v>5329</v>
      </c>
      <c r="B2621" s="1" t="str">
        <f>"9780199714711"</f>
        <v>9780199714711</v>
      </c>
      <c r="C2621" s="1" t="s">
        <v>1120</v>
      </c>
      <c r="D2621" s="2">
        <v>39535</v>
      </c>
      <c r="E2621" s="1" t="s">
        <v>5330</v>
      </c>
      <c r="F2621" s="1" t="s">
        <v>13</v>
      </c>
    </row>
    <row r="2622" spans="1:6" ht="30" customHeight="1" x14ac:dyDescent="0.25">
      <c r="A2622" s="1" t="s">
        <v>5331</v>
      </c>
      <c r="B2622" s="1" t="str">
        <f>"9780198042518"</f>
        <v>9780198042518</v>
      </c>
      <c r="C2622" s="1" t="s">
        <v>1123</v>
      </c>
      <c r="D2622" s="2">
        <v>39384</v>
      </c>
      <c r="E2622" s="1" t="s">
        <v>5332</v>
      </c>
      <c r="F2622" s="1" t="s">
        <v>13</v>
      </c>
    </row>
    <row r="2623" spans="1:6" ht="30" customHeight="1" x14ac:dyDescent="0.25">
      <c r="A2623" s="1" t="s">
        <v>5333</v>
      </c>
      <c r="B2623" s="1" t="str">
        <f>"9780198039518"</f>
        <v>9780198039518</v>
      </c>
      <c r="C2623" s="1" t="s">
        <v>1123</v>
      </c>
      <c r="D2623" s="2">
        <v>39037</v>
      </c>
      <c r="E2623" s="1" t="s">
        <v>5334</v>
      </c>
      <c r="F2623" s="1" t="s">
        <v>5335</v>
      </c>
    </row>
    <row r="2624" spans="1:6" ht="30" customHeight="1" x14ac:dyDescent="0.25">
      <c r="A2624" s="1" t="s">
        <v>5336</v>
      </c>
      <c r="B2624" s="1" t="str">
        <f>"9780199710553"</f>
        <v>9780199710553</v>
      </c>
      <c r="C2624" s="1" t="s">
        <v>1123</v>
      </c>
      <c r="D2624" s="2">
        <v>39731</v>
      </c>
      <c r="E2624" s="1" t="s">
        <v>5337</v>
      </c>
      <c r="F2624" s="1" t="s">
        <v>13</v>
      </c>
    </row>
    <row r="2625" spans="1:6" ht="30" customHeight="1" x14ac:dyDescent="0.25">
      <c r="A2625" s="1" t="s">
        <v>5338</v>
      </c>
      <c r="B2625" s="1" t="str">
        <f>"9780199702800"</f>
        <v>9780199702800</v>
      </c>
      <c r="C2625" s="1" t="s">
        <v>1120</v>
      </c>
      <c r="D2625" s="2">
        <v>39882</v>
      </c>
      <c r="E2625" s="1" t="s">
        <v>5339</v>
      </c>
      <c r="F2625" s="1" t="s">
        <v>13</v>
      </c>
    </row>
    <row r="2626" spans="1:6" ht="30" customHeight="1" x14ac:dyDescent="0.25">
      <c r="A2626" s="1" t="s">
        <v>5340</v>
      </c>
      <c r="B2626" s="1" t="str">
        <f>"9780198042297"</f>
        <v>9780198042297</v>
      </c>
      <c r="C2626" s="1" t="s">
        <v>1123</v>
      </c>
      <c r="D2626" s="2">
        <v>39297</v>
      </c>
      <c r="E2626" s="1" t="s">
        <v>5341</v>
      </c>
      <c r="F2626" s="1" t="s">
        <v>13</v>
      </c>
    </row>
    <row r="2627" spans="1:6" ht="30" customHeight="1" x14ac:dyDescent="0.25">
      <c r="A2627" s="1" t="s">
        <v>5342</v>
      </c>
      <c r="B2627" s="1" t="str">
        <f>"9780198039631"</f>
        <v>9780198039631</v>
      </c>
      <c r="C2627" s="1" t="s">
        <v>1120</v>
      </c>
      <c r="D2627" s="2">
        <v>39423</v>
      </c>
      <c r="E2627" s="1" t="s">
        <v>5343</v>
      </c>
      <c r="F2627" s="1" t="s">
        <v>5344</v>
      </c>
    </row>
    <row r="2628" spans="1:6" ht="30" customHeight="1" x14ac:dyDescent="0.25">
      <c r="A2628" s="1" t="s">
        <v>5345</v>
      </c>
      <c r="B2628" s="1" t="str">
        <f>"9780198043409"</f>
        <v>9780198043409</v>
      </c>
      <c r="C2628" s="1" t="s">
        <v>1123</v>
      </c>
      <c r="D2628" s="2">
        <v>39784</v>
      </c>
      <c r="E2628" s="1" t="s">
        <v>5346</v>
      </c>
      <c r="F2628" s="1" t="s">
        <v>13</v>
      </c>
    </row>
    <row r="2629" spans="1:6" ht="30" customHeight="1" x14ac:dyDescent="0.25">
      <c r="A2629" s="1" t="s">
        <v>5347</v>
      </c>
      <c r="B2629" s="1" t="str">
        <f>"9780199710829"</f>
        <v>9780199710829</v>
      </c>
      <c r="C2629" s="1" t="s">
        <v>1123</v>
      </c>
      <c r="D2629" s="2">
        <v>39534</v>
      </c>
      <c r="E2629" s="1" t="s">
        <v>5348</v>
      </c>
      <c r="F2629" s="1" t="s">
        <v>13</v>
      </c>
    </row>
    <row r="2630" spans="1:6" ht="30" customHeight="1" x14ac:dyDescent="0.25">
      <c r="A2630" s="1" t="s">
        <v>5349</v>
      </c>
      <c r="B2630" s="1" t="str">
        <f>"9780199710812"</f>
        <v>9780199710812</v>
      </c>
      <c r="C2630" s="1" t="s">
        <v>1123</v>
      </c>
      <c r="D2630" s="2">
        <v>39534</v>
      </c>
      <c r="E2630" s="1" t="s">
        <v>5350</v>
      </c>
      <c r="F2630" s="1" t="s">
        <v>13</v>
      </c>
    </row>
    <row r="2631" spans="1:6" ht="30" customHeight="1" x14ac:dyDescent="0.25">
      <c r="A2631" s="1" t="s">
        <v>5351</v>
      </c>
      <c r="B2631" s="1" t="str">
        <f>"9780198043133"</f>
        <v>9780198043133</v>
      </c>
      <c r="C2631" s="1" t="s">
        <v>1123</v>
      </c>
      <c r="D2631" s="2">
        <v>39065</v>
      </c>
      <c r="E2631" s="1" t="s">
        <v>5352</v>
      </c>
      <c r="F2631" s="1" t="s">
        <v>13</v>
      </c>
    </row>
    <row r="2632" spans="1:6" ht="30" customHeight="1" x14ac:dyDescent="0.25">
      <c r="A2632" s="1" t="s">
        <v>5353</v>
      </c>
      <c r="B2632" s="1" t="str">
        <f>"9780199715176"</f>
        <v>9780199715176</v>
      </c>
      <c r="C2632" s="1" t="s">
        <v>1123</v>
      </c>
      <c r="D2632" s="2">
        <v>39342</v>
      </c>
      <c r="E2632" s="1" t="s">
        <v>5354</v>
      </c>
      <c r="F2632" s="1" t="s">
        <v>13</v>
      </c>
    </row>
    <row r="2633" spans="1:6" ht="30" customHeight="1" x14ac:dyDescent="0.25">
      <c r="A2633" s="1" t="s">
        <v>5355</v>
      </c>
      <c r="B2633" s="1" t="str">
        <f>"9780198043126"</f>
        <v>9780198043126</v>
      </c>
      <c r="C2633" s="1" t="s">
        <v>1123</v>
      </c>
      <c r="D2633" s="2">
        <v>39079</v>
      </c>
      <c r="E2633" s="1" t="s">
        <v>5356</v>
      </c>
      <c r="F2633" s="1" t="s">
        <v>13</v>
      </c>
    </row>
    <row r="2634" spans="1:6" ht="30" customHeight="1" x14ac:dyDescent="0.25">
      <c r="A2634" s="1" t="s">
        <v>5357</v>
      </c>
      <c r="B2634" s="1" t="str">
        <f>"9780191553349"</f>
        <v>9780191553349</v>
      </c>
      <c r="C2634" s="1" t="s">
        <v>1120</v>
      </c>
      <c r="D2634" s="2">
        <v>39744</v>
      </c>
      <c r="E2634" s="1" t="s">
        <v>5358</v>
      </c>
      <c r="F2634" s="1" t="s">
        <v>13</v>
      </c>
    </row>
    <row r="2635" spans="1:6" ht="30" customHeight="1" x14ac:dyDescent="0.25">
      <c r="A2635" s="1" t="s">
        <v>5359</v>
      </c>
      <c r="B2635" s="1" t="str">
        <f>"9780198044109"</f>
        <v>9780198044109</v>
      </c>
      <c r="C2635" s="1" t="s">
        <v>1123</v>
      </c>
      <c r="D2635" s="2">
        <v>39527</v>
      </c>
      <c r="E2635" s="1" t="s">
        <v>5360</v>
      </c>
      <c r="F2635" s="1" t="s">
        <v>13</v>
      </c>
    </row>
    <row r="2636" spans="1:6" ht="30" customHeight="1" x14ac:dyDescent="0.25">
      <c r="A2636" s="1" t="s">
        <v>5361</v>
      </c>
      <c r="B2636" s="1" t="str">
        <f>"9780198043362"</f>
        <v>9780198043362</v>
      </c>
      <c r="C2636" s="1" t="s">
        <v>1120</v>
      </c>
      <c r="D2636" s="2">
        <v>39244</v>
      </c>
      <c r="E2636" s="1" t="s">
        <v>5362</v>
      </c>
      <c r="F2636" s="1" t="s">
        <v>13</v>
      </c>
    </row>
    <row r="2637" spans="1:6" ht="30" customHeight="1" x14ac:dyDescent="0.25">
      <c r="A2637" s="1" t="s">
        <v>5363</v>
      </c>
      <c r="B2637" s="1" t="str">
        <f>"9780195345537"</f>
        <v>9780195345537</v>
      </c>
      <c r="C2637" s="1" t="s">
        <v>1120</v>
      </c>
      <c r="D2637" s="2">
        <v>39142</v>
      </c>
      <c r="E2637" s="1" t="s">
        <v>5364</v>
      </c>
      <c r="F2637" s="1" t="s">
        <v>1992</v>
      </c>
    </row>
    <row r="2638" spans="1:6" ht="30" customHeight="1" x14ac:dyDescent="0.25">
      <c r="A2638" s="1" t="s">
        <v>5365</v>
      </c>
      <c r="B2638" s="1" t="str">
        <f>"9780198044161"</f>
        <v>9780198044161</v>
      </c>
      <c r="C2638" s="1" t="s">
        <v>1123</v>
      </c>
      <c r="D2638" s="2">
        <v>39713</v>
      </c>
      <c r="E2638" s="1" t="s">
        <v>5366</v>
      </c>
      <c r="F2638" s="1" t="s">
        <v>13</v>
      </c>
    </row>
    <row r="2639" spans="1:6" ht="30" customHeight="1" x14ac:dyDescent="0.25">
      <c r="A2639" s="1" t="s">
        <v>5367</v>
      </c>
      <c r="B2639" s="1" t="str">
        <f>"9780199715008"</f>
        <v>9780199715008</v>
      </c>
      <c r="C2639" s="1" t="s">
        <v>1120</v>
      </c>
      <c r="D2639" s="2">
        <v>39863</v>
      </c>
      <c r="E2639" s="1" t="s">
        <v>5368</v>
      </c>
      <c r="F2639" s="1" t="s">
        <v>13</v>
      </c>
    </row>
    <row r="2640" spans="1:6" ht="30" customHeight="1" x14ac:dyDescent="0.25">
      <c r="A2640" s="1" t="s">
        <v>5369</v>
      </c>
      <c r="B2640" s="1" t="str">
        <f>"9780195345490"</f>
        <v>9780195345490</v>
      </c>
      <c r="C2640" s="1" t="s">
        <v>1123</v>
      </c>
      <c r="D2640" s="2">
        <v>39121</v>
      </c>
      <c r="E2640" s="1" t="s">
        <v>5370</v>
      </c>
      <c r="F2640" s="1" t="s">
        <v>176</v>
      </c>
    </row>
    <row r="2641" spans="1:6" ht="30" customHeight="1" x14ac:dyDescent="0.25">
      <c r="A2641" s="1" t="s">
        <v>1798</v>
      </c>
      <c r="B2641" s="1" t="str">
        <f>"9780199709601"</f>
        <v>9780199709601</v>
      </c>
      <c r="C2641" s="1" t="s">
        <v>1123</v>
      </c>
      <c r="D2641" s="2">
        <v>39856</v>
      </c>
      <c r="E2641" s="1" t="s">
        <v>1799</v>
      </c>
      <c r="F2641" s="1" t="s">
        <v>21</v>
      </c>
    </row>
    <row r="2642" spans="1:6" ht="30" customHeight="1" x14ac:dyDescent="0.25">
      <c r="A2642" s="1" t="s">
        <v>5371</v>
      </c>
      <c r="B2642" s="1" t="str">
        <f>"9780198042556"</f>
        <v>9780198042556</v>
      </c>
      <c r="C2642" s="1" t="s">
        <v>1120</v>
      </c>
      <c r="D2642" s="2">
        <v>39420</v>
      </c>
      <c r="E2642" s="1" t="s">
        <v>5372</v>
      </c>
      <c r="F2642" s="1" t="s">
        <v>963</v>
      </c>
    </row>
    <row r="2643" spans="1:6" ht="30" customHeight="1" x14ac:dyDescent="0.25">
      <c r="A2643" s="1" t="s">
        <v>5373</v>
      </c>
      <c r="B2643" s="1" t="str">
        <f>"9780198039334"</f>
        <v>9780198039334</v>
      </c>
      <c r="C2643" s="1" t="s">
        <v>1123</v>
      </c>
      <c r="D2643" s="2">
        <v>39855</v>
      </c>
      <c r="E2643" s="1" t="s">
        <v>5374</v>
      </c>
      <c r="F2643" s="1" t="s">
        <v>13</v>
      </c>
    </row>
    <row r="2644" spans="1:6" ht="30" customHeight="1" x14ac:dyDescent="0.25">
      <c r="A2644" s="1" t="s">
        <v>5375</v>
      </c>
      <c r="B2644" s="1" t="str">
        <f>"9780198040927"</f>
        <v>9780198040927</v>
      </c>
      <c r="C2644" s="1" t="s">
        <v>1123</v>
      </c>
      <c r="D2644" s="2">
        <v>39258</v>
      </c>
      <c r="E2644" s="1" t="s">
        <v>5376</v>
      </c>
      <c r="F2644" s="1" t="s">
        <v>304</v>
      </c>
    </row>
    <row r="2645" spans="1:6" ht="30" customHeight="1" x14ac:dyDescent="0.25">
      <c r="A2645" s="1" t="s">
        <v>5377</v>
      </c>
      <c r="B2645" s="1" t="str">
        <f>"9780199715565"</f>
        <v>9780199715565</v>
      </c>
      <c r="C2645" s="1" t="s">
        <v>1120</v>
      </c>
      <c r="D2645" s="2">
        <v>39525</v>
      </c>
      <c r="E2645" s="1" t="s">
        <v>5378</v>
      </c>
      <c r="F2645" s="1" t="s">
        <v>480</v>
      </c>
    </row>
    <row r="2646" spans="1:6" ht="30" customHeight="1" x14ac:dyDescent="0.25">
      <c r="A2646" s="1" t="s">
        <v>5379</v>
      </c>
      <c r="B2646" s="1" t="str">
        <f>"9780191533204"</f>
        <v>9780191533204</v>
      </c>
      <c r="C2646" s="1" t="s">
        <v>1120</v>
      </c>
      <c r="D2646" s="2">
        <v>39044</v>
      </c>
      <c r="E2646" s="1" t="s">
        <v>5380</v>
      </c>
      <c r="F2646" s="1" t="s">
        <v>4434</v>
      </c>
    </row>
    <row r="2647" spans="1:6" ht="30" customHeight="1" x14ac:dyDescent="0.25">
      <c r="A2647" s="1" t="s">
        <v>5381</v>
      </c>
      <c r="B2647" s="1" t="str">
        <f>"9780198042693"</f>
        <v>9780198042693</v>
      </c>
      <c r="C2647" s="1" t="s">
        <v>1120</v>
      </c>
      <c r="D2647" s="2">
        <v>39251</v>
      </c>
      <c r="E2647" s="1" t="s">
        <v>5382</v>
      </c>
      <c r="F2647" s="1" t="s">
        <v>13</v>
      </c>
    </row>
    <row r="2648" spans="1:6" ht="30" customHeight="1" x14ac:dyDescent="0.25">
      <c r="A2648" s="1" t="s">
        <v>5383</v>
      </c>
      <c r="B2648" s="1" t="str">
        <f>"9780198042150"</f>
        <v>9780198042150</v>
      </c>
      <c r="C2648" s="1" t="s">
        <v>1120</v>
      </c>
      <c r="D2648" s="2">
        <v>39079</v>
      </c>
      <c r="E2648" s="1" t="s">
        <v>5384</v>
      </c>
      <c r="F2648" s="1" t="s">
        <v>13</v>
      </c>
    </row>
    <row r="2649" spans="1:6" ht="30" customHeight="1" x14ac:dyDescent="0.25">
      <c r="A2649" s="1" t="s">
        <v>5385</v>
      </c>
      <c r="B2649" s="1" t="str">
        <f>"9780199724499"</f>
        <v>9780199724499</v>
      </c>
      <c r="C2649" s="1" t="s">
        <v>1120</v>
      </c>
      <c r="D2649" s="2">
        <v>39338</v>
      </c>
      <c r="E2649" s="1" t="s">
        <v>5386</v>
      </c>
      <c r="F2649" s="1" t="s">
        <v>13</v>
      </c>
    </row>
    <row r="2650" spans="1:6" ht="30" customHeight="1" x14ac:dyDescent="0.25">
      <c r="A2650" s="1" t="s">
        <v>5387</v>
      </c>
      <c r="B2650" s="1" t="str">
        <f>"9780195346312"</f>
        <v>9780195346312</v>
      </c>
      <c r="C2650" s="1" t="s">
        <v>1123</v>
      </c>
      <c r="D2650" s="2">
        <v>39191</v>
      </c>
      <c r="E2650" s="1" t="s">
        <v>5388</v>
      </c>
      <c r="F2650" s="1" t="s">
        <v>13</v>
      </c>
    </row>
    <row r="2651" spans="1:6" ht="30" customHeight="1" x14ac:dyDescent="0.25">
      <c r="A2651" s="1" t="s">
        <v>5389</v>
      </c>
      <c r="B2651" s="1" t="str">
        <f>"9780199724215"</f>
        <v>9780199724215</v>
      </c>
      <c r="C2651" s="1" t="s">
        <v>1120</v>
      </c>
      <c r="D2651" s="2">
        <v>39511</v>
      </c>
      <c r="E2651" s="1" t="s">
        <v>5390</v>
      </c>
      <c r="F2651" s="1" t="s">
        <v>13</v>
      </c>
    </row>
    <row r="2652" spans="1:6" ht="30" customHeight="1" x14ac:dyDescent="0.25">
      <c r="A2652" s="1" t="s">
        <v>5391</v>
      </c>
      <c r="B2652" s="1" t="str">
        <f>"9780199716142"</f>
        <v>9780199716142</v>
      </c>
      <c r="C2652" s="1" t="s">
        <v>1120</v>
      </c>
      <c r="D2652" s="2">
        <v>39899</v>
      </c>
      <c r="E2652" s="1" t="s">
        <v>1143</v>
      </c>
      <c r="F2652" s="1" t="s">
        <v>205</v>
      </c>
    </row>
    <row r="2653" spans="1:6" ht="30" customHeight="1" x14ac:dyDescent="0.25">
      <c r="A2653" s="1" t="s">
        <v>5392</v>
      </c>
      <c r="B2653" s="1" t="str">
        <f>"9780198043515"</f>
        <v>9780198043515</v>
      </c>
      <c r="C2653" s="1" t="s">
        <v>1123</v>
      </c>
      <c r="D2653" s="2">
        <v>39906</v>
      </c>
      <c r="E2653" s="1" t="s">
        <v>5393</v>
      </c>
      <c r="F2653" s="1" t="s">
        <v>268</v>
      </c>
    </row>
    <row r="2654" spans="1:6" ht="30" customHeight="1" x14ac:dyDescent="0.25">
      <c r="A2654" s="1" t="s">
        <v>5394</v>
      </c>
      <c r="B2654" s="1" t="str">
        <f>"9780199702183"</f>
        <v>9780199702183</v>
      </c>
      <c r="C2654" s="1" t="s">
        <v>1120</v>
      </c>
      <c r="D2654" s="2">
        <v>39864</v>
      </c>
      <c r="E2654" s="1" t="s">
        <v>5395</v>
      </c>
      <c r="F2654" s="1" t="s">
        <v>13</v>
      </c>
    </row>
    <row r="2655" spans="1:6" ht="30" customHeight="1" x14ac:dyDescent="0.25">
      <c r="A2655" s="1" t="s">
        <v>5396</v>
      </c>
      <c r="B2655" s="1" t="str">
        <f>"9780191530470"</f>
        <v>9780191530470</v>
      </c>
      <c r="C2655" s="1" t="s">
        <v>1117</v>
      </c>
      <c r="D2655" s="2">
        <v>39170</v>
      </c>
      <c r="E2655" s="1" t="s">
        <v>5398</v>
      </c>
      <c r="F2655" s="1" t="s">
        <v>237</v>
      </c>
    </row>
    <row r="2656" spans="1:6" ht="30" customHeight="1" x14ac:dyDescent="0.25">
      <c r="A2656" s="1" t="s">
        <v>5399</v>
      </c>
      <c r="B2656" s="1" t="str">
        <f>"9780198042686"</f>
        <v>9780198042686</v>
      </c>
      <c r="C2656" s="1" t="s">
        <v>1123</v>
      </c>
      <c r="D2656" s="2">
        <v>39273</v>
      </c>
      <c r="E2656" s="1" t="s">
        <v>5400</v>
      </c>
      <c r="F2656" s="1" t="s">
        <v>13</v>
      </c>
    </row>
    <row r="2657" spans="1:6" ht="30" customHeight="1" x14ac:dyDescent="0.25">
      <c r="A2657" s="1" t="s">
        <v>5401</v>
      </c>
      <c r="B2657" s="1" t="str">
        <f>"9780199716265"</f>
        <v>9780199716265</v>
      </c>
      <c r="C2657" s="1" t="s">
        <v>1123</v>
      </c>
      <c r="D2657" s="2">
        <v>39517</v>
      </c>
      <c r="E2657" s="1" t="s">
        <v>5402</v>
      </c>
      <c r="F2657" s="1" t="s">
        <v>13</v>
      </c>
    </row>
    <row r="2658" spans="1:6" ht="30" customHeight="1" x14ac:dyDescent="0.25">
      <c r="A2658" s="1" t="s">
        <v>5403</v>
      </c>
      <c r="B2658" s="1" t="str">
        <f>"9780199716272"</f>
        <v>9780199716272</v>
      </c>
      <c r="C2658" s="1" t="s">
        <v>1123</v>
      </c>
      <c r="D2658" s="2">
        <v>39517</v>
      </c>
      <c r="E2658" s="1" t="s">
        <v>5402</v>
      </c>
      <c r="F2658" s="1" t="s">
        <v>13</v>
      </c>
    </row>
    <row r="2659" spans="1:6" ht="30" customHeight="1" x14ac:dyDescent="0.25">
      <c r="A2659" s="1" t="s">
        <v>5404</v>
      </c>
      <c r="B2659" s="1" t="str">
        <f>"9780470431801"</f>
        <v>9780470431801</v>
      </c>
      <c r="C2659" s="1" t="s">
        <v>65</v>
      </c>
      <c r="D2659" s="2">
        <v>39841</v>
      </c>
      <c r="E2659" s="1" t="s">
        <v>5405</v>
      </c>
      <c r="F2659" s="1" t="s">
        <v>268</v>
      </c>
    </row>
    <row r="2660" spans="1:6" ht="30" customHeight="1" x14ac:dyDescent="0.25">
      <c r="A2660" s="1" t="s">
        <v>5406</v>
      </c>
      <c r="B2660" s="1" t="str">
        <f>"9780470444887"</f>
        <v>9780470444887</v>
      </c>
      <c r="C2660" s="1" t="s">
        <v>11</v>
      </c>
      <c r="D2660" s="2">
        <v>39841</v>
      </c>
      <c r="E2660" s="1" t="s">
        <v>5407</v>
      </c>
      <c r="F2660" s="1" t="s">
        <v>5408</v>
      </c>
    </row>
    <row r="2661" spans="1:6" ht="30" customHeight="1" x14ac:dyDescent="0.25">
      <c r="A2661" s="1" t="s">
        <v>5409</v>
      </c>
      <c r="B2661" s="1" t="str">
        <f>"9780470451847"</f>
        <v>9780470451847</v>
      </c>
      <c r="C2661" s="1" t="s">
        <v>65</v>
      </c>
      <c r="D2661" s="2">
        <v>39841</v>
      </c>
      <c r="E2661" s="1" t="s">
        <v>5410</v>
      </c>
      <c r="F2661" s="1" t="s">
        <v>137</v>
      </c>
    </row>
    <row r="2662" spans="1:6" ht="30" customHeight="1" x14ac:dyDescent="0.25">
      <c r="A2662" s="1" t="s">
        <v>5411</v>
      </c>
      <c r="B2662" s="1" t="str">
        <f>"9781444300567"</f>
        <v>9781444300567</v>
      </c>
      <c r="C2662" s="1" t="s">
        <v>65</v>
      </c>
      <c r="D2662" s="2">
        <v>39839</v>
      </c>
      <c r="E2662" s="1" t="s">
        <v>5412</v>
      </c>
      <c r="F2662" s="1" t="s">
        <v>13</v>
      </c>
    </row>
    <row r="2663" spans="1:6" ht="30" customHeight="1" x14ac:dyDescent="0.25">
      <c r="A2663" s="1" t="s">
        <v>5413</v>
      </c>
      <c r="B2663" s="1" t="str">
        <f>"9781444300253"</f>
        <v>9781444300253</v>
      </c>
      <c r="C2663" s="1" t="s">
        <v>65</v>
      </c>
      <c r="D2663" s="2">
        <v>39839</v>
      </c>
      <c r="E2663" s="1" t="s">
        <v>5414</v>
      </c>
      <c r="F2663" s="1" t="s">
        <v>13</v>
      </c>
    </row>
    <row r="2664" spans="1:6" ht="30" customHeight="1" x14ac:dyDescent="0.25">
      <c r="A2664" s="1" t="s">
        <v>5415</v>
      </c>
      <c r="B2664" s="1" t="str">
        <f>"9781444303360"</f>
        <v>9781444303360</v>
      </c>
      <c r="C2664" s="1" t="s">
        <v>65</v>
      </c>
      <c r="D2664" s="2">
        <v>39839</v>
      </c>
      <c r="E2664" s="1" t="s">
        <v>5416</v>
      </c>
      <c r="F2664" s="1" t="s">
        <v>13</v>
      </c>
    </row>
    <row r="2665" spans="1:6" ht="30" customHeight="1" x14ac:dyDescent="0.25">
      <c r="A2665" s="1" t="s">
        <v>5417</v>
      </c>
      <c r="B2665" s="1" t="str">
        <f>"9780470744451"</f>
        <v>9780470744451</v>
      </c>
      <c r="C2665" s="1" t="s">
        <v>65</v>
      </c>
      <c r="D2665" s="2">
        <v>39805</v>
      </c>
      <c r="E2665" s="1" t="s">
        <v>5418</v>
      </c>
      <c r="F2665" s="1" t="s">
        <v>13</v>
      </c>
    </row>
    <row r="2666" spans="1:6" ht="30" customHeight="1" x14ac:dyDescent="0.25">
      <c r="A2666" s="1" t="s">
        <v>5419</v>
      </c>
      <c r="B2666" s="1" t="str">
        <f>"9780470743263"</f>
        <v>9780470743263</v>
      </c>
      <c r="C2666" s="1" t="s">
        <v>65</v>
      </c>
      <c r="D2666" s="2">
        <v>39835</v>
      </c>
      <c r="E2666" s="1" t="s">
        <v>5420</v>
      </c>
      <c r="F2666" s="1" t="s">
        <v>13</v>
      </c>
    </row>
    <row r="2667" spans="1:6" ht="30" customHeight="1" x14ac:dyDescent="0.25">
      <c r="A2667" s="1" t="s">
        <v>5421</v>
      </c>
      <c r="B2667" s="1" t="str">
        <f>"9781444303308"</f>
        <v>9781444303308</v>
      </c>
      <c r="C2667" s="1" t="s">
        <v>65</v>
      </c>
      <c r="D2667" s="2">
        <v>39839</v>
      </c>
      <c r="E2667" s="1" t="s">
        <v>5422</v>
      </c>
      <c r="F2667" s="1" t="s">
        <v>13</v>
      </c>
    </row>
    <row r="2668" spans="1:6" ht="30" customHeight="1" x14ac:dyDescent="0.25">
      <c r="A2668" s="1" t="s">
        <v>5423</v>
      </c>
      <c r="B2668" s="1" t="str">
        <f>"9780470724361"</f>
        <v>9780470724361</v>
      </c>
      <c r="C2668" s="1" t="s">
        <v>65</v>
      </c>
      <c r="D2668" s="2">
        <v>39591</v>
      </c>
      <c r="E2668" s="1" t="s">
        <v>5424</v>
      </c>
      <c r="F2668" s="1" t="s">
        <v>480</v>
      </c>
    </row>
    <row r="2669" spans="1:6" ht="30" customHeight="1" x14ac:dyDescent="0.25">
      <c r="A2669" s="1" t="s">
        <v>5425</v>
      </c>
      <c r="B2669" s="1" t="str">
        <f>"9781444300680"</f>
        <v>9781444300680</v>
      </c>
      <c r="C2669" s="1" t="s">
        <v>65</v>
      </c>
      <c r="D2669" s="2">
        <v>39839</v>
      </c>
      <c r="E2669" s="1" t="s">
        <v>5426</v>
      </c>
      <c r="F2669" s="1" t="s">
        <v>13</v>
      </c>
    </row>
    <row r="2670" spans="1:6" ht="30" customHeight="1" x14ac:dyDescent="0.25">
      <c r="A2670" s="1" t="s">
        <v>5427</v>
      </c>
      <c r="B2670" s="1" t="str">
        <f>"9781444302455"</f>
        <v>9781444302455</v>
      </c>
      <c r="C2670" s="1" t="s">
        <v>65</v>
      </c>
      <c r="D2670" s="2">
        <v>41423</v>
      </c>
      <c r="E2670" s="1" t="s">
        <v>5428</v>
      </c>
      <c r="F2670" s="1" t="s">
        <v>13</v>
      </c>
    </row>
    <row r="2671" spans="1:6" ht="30" customHeight="1" x14ac:dyDescent="0.25">
      <c r="A2671" s="1" t="s">
        <v>5429</v>
      </c>
      <c r="B2671" s="1" t="str">
        <f>"9780470987964"</f>
        <v>9780470987964</v>
      </c>
      <c r="C2671" s="1" t="s">
        <v>65</v>
      </c>
      <c r="D2671" s="2">
        <v>39812</v>
      </c>
      <c r="E2671" s="1" t="s">
        <v>5430</v>
      </c>
      <c r="F2671" s="1" t="s">
        <v>13</v>
      </c>
    </row>
    <row r="2672" spans="1:6" ht="30" customHeight="1" x14ac:dyDescent="0.25">
      <c r="A2672" s="1" t="s">
        <v>5431</v>
      </c>
      <c r="B2672" s="1" t="str">
        <f>"9781444301533"</f>
        <v>9781444301533</v>
      </c>
      <c r="C2672" s="1" t="s">
        <v>65</v>
      </c>
      <c r="D2672" s="2">
        <v>39841</v>
      </c>
      <c r="E2672" s="1" t="s">
        <v>5432</v>
      </c>
      <c r="F2672" s="1" t="s">
        <v>13</v>
      </c>
    </row>
    <row r="2673" spans="1:6" ht="30" customHeight="1" x14ac:dyDescent="0.25">
      <c r="A2673" s="1" t="s">
        <v>5433</v>
      </c>
      <c r="B2673" s="1" t="str">
        <f>"9781444302585"</f>
        <v>9781444302585</v>
      </c>
      <c r="C2673" s="1" t="s">
        <v>65</v>
      </c>
      <c r="D2673" s="2">
        <v>39595</v>
      </c>
      <c r="E2673" s="1" t="s">
        <v>5434</v>
      </c>
      <c r="F2673" s="1" t="s">
        <v>126</v>
      </c>
    </row>
    <row r="2674" spans="1:6" ht="30" customHeight="1" x14ac:dyDescent="0.25">
      <c r="A2674" s="1" t="s">
        <v>5435</v>
      </c>
      <c r="B2674" s="1" t="str">
        <f>"9781444303582"</f>
        <v>9781444303582</v>
      </c>
      <c r="C2674" s="1" t="s">
        <v>65</v>
      </c>
      <c r="D2674" s="2">
        <v>39839</v>
      </c>
      <c r="E2674" s="1" t="s">
        <v>5436</v>
      </c>
      <c r="F2674" s="1" t="s">
        <v>13</v>
      </c>
    </row>
    <row r="2675" spans="1:6" ht="30" customHeight="1" x14ac:dyDescent="0.25">
      <c r="A2675" s="1" t="s">
        <v>5437</v>
      </c>
      <c r="B2675" s="1" t="str">
        <f>"9781444300727"</f>
        <v>9781444300727</v>
      </c>
      <c r="C2675" s="1" t="s">
        <v>65</v>
      </c>
      <c r="D2675" s="2">
        <v>39839</v>
      </c>
      <c r="E2675" s="1" t="s">
        <v>5438</v>
      </c>
      <c r="F2675" s="1" t="s">
        <v>13</v>
      </c>
    </row>
    <row r="2676" spans="1:6" ht="30" customHeight="1" x14ac:dyDescent="0.25">
      <c r="A2676" s="1" t="s">
        <v>5439</v>
      </c>
      <c r="B2676" s="1" t="str">
        <f>"9781444300505"</f>
        <v>9781444300505</v>
      </c>
      <c r="C2676" s="1" t="s">
        <v>65</v>
      </c>
      <c r="D2676" s="2">
        <v>39835</v>
      </c>
      <c r="E2676" s="1" t="s">
        <v>5440</v>
      </c>
      <c r="F2676" s="1" t="s">
        <v>13</v>
      </c>
    </row>
    <row r="2677" spans="1:6" ht="30" customHeight="1" x14ac:dyDescent="0.25">
      <c r="A2677" s="1" t="s">
        <v>1198</v>
      </c>
      <c r="B2677" s="1" t="str">
        <f>"9781444300628"</f>
        <v>9781444300628</v>
      </c>
      <c r="C2677" s="1" t="s">
        <v>65</v>
      </c>
      <c r="D2677" s="2">
        <v>39835</v>
      </c>
      <c r="E2677" s="1" t="s">
        <v>1199</v>
      </c>
      <c r="F2677" s="1" t="s">
        <v>268</v>
      </c>
    </row>
    <row r="2678" spans="1:6" ht="30" customHeight="1" x14ac:dyDescent="0.25">
      <c r="A2678" s="1" t="s">
        <v>5441</v>
      </c>
      <c r="B2678" s="1" t="str">
        <f>"9783764388805"</f>
        <v>9783764388805</v>
      </c>
      <c r="C2678" s="1" t="s">
        <v>4195</v>
      </c>
      <c r="D2678" s="2">
        <v>39757</v>
      </c>
      <c r="E2678" s="1" t="s">
        <v>5442</v>
      </c>
      <c r="F2678" s="1" t="s">
        <v>4329</v>
      </c>
    </row>
    <row r="2679" spans="1:6" ht="30" customHeight="1" x14ac:dyDescent="0.25">
      <c r="A2679" s="1" t="s">
        <v>5443</v>
      </c>
      <c r="B2679" s="1" t="str">
        <f>"9781597453363"</f>
        <v>9781597453363</v>
      </c>
      <c r="C2679" s="1" t="s">
        <v>4189</v>
      </c>
      <c r="D2679" s="2">
        <v>39827</v>
      </c>
      <c r="E2679" s="1" t="s">
        <v>5444</v>
      </c>
      <c r="F2679" s="1" t="s">
        <v>13</v>
      </c>
    </row>
    <row r="2680" spans="1:6" ht="30" customHeight="1" x14ac:dyDescent="0.25">
      <c r="A2680" s="1" t="s">
        <v>5445</v>
      </c>
      <c r="B2680" s="1" t="str">
        <f>"9781847421524"</f>
        <v>9781847421524</v>
      </c>
      <c r="C2680" s="1" t="s">
        <v>5446</v>
      </c>
      <c r="D2680" s="2">
        <v>38777</v>
      </c>
      <c r="E2680" s="1" t="s">
        <v>5447</v>
      </c>
      <c r="F2680" s="1" t="s">
        <v>95</v>
      </c>
    </row>
    <row r="2681" spans="1:6" ht="30" customHeight="1" x14ac:dyDescent="0.25">
      <c r="A2681" s="1" t="s">
        <v>5448</v>
      </c>
      <c r="B2681" s="1" t="str">
        <f>"9781847422286"</f>
        <v>9781847422286</v>
      </c>
      <c r="C2681" s="1" t="s">
        <v>5446</v>
      </c>
      <c r="D2681" s="2">
        <v>39092</v>
      </c>
      <c r="E2681" s="1" t="s">
        <v>5449</v>
      </c>
      <c r="F2681" s="1" t="s">
        <v>205</v>
      </c>
    </row>
    <row r="2682" spans="1:6" ht="30" customHeight="1" x14ac:dyDescent="0.25">
      <c r="A2682" s="1" t="s">
        <v>5450</v>
      </c>
      <c r="B2682" s="1" t="str">
        <f>"9781847423405"</f>
        <v>9781847423405</v>
      </c>
      <c r="C2682" s="1" t="s">
        <v>5446</v>
      </c>
      <c r="D2682" s="2">
        <v>39547</v>
      </c>
      <c r="E2682" s="1" t="s">
        <v>5451</v>
      </c>
      <c r="F2682" s="1" t="s">
        <v>30</v>
      </c>
    </row>
    <row r="2683" spans="1:6" ht="30" customHeight="1" x14ac:dyDescent="0.25">
      <c r="A2683" s="1" t="s">
        <v>5452</v>
      </c>
      <c r="B2683" s="1" t="str">
        <f>"9781847422347"</f>
        <v>9781847422347</v>
      </c>
      <c r="C2683" s="1" t="s">
        <v>5446</v>
      </c>
      <c r="D2683" s="2">
        <v>39176</v>
      </c>
      <c r="E2683" s="1" t="s">
        <v>5453</v>
      </c>
      <c r="F2683" s="1" t="s">
        <v>33</v>
      </c>
    </row>
    <row r="2684" spans="1:6" ht="30" customHeight="1" x14ac:dyDescent="0.25">
      <c r="A2684" s="1" t="s">
        <v>5454</v>
      </c>
      <c r="B2684" s="1" t="str">
        <f>"9789048501243"</f>
        <v>9789048501243</v>
      </c>
      <c r="C2684" s="1" t="s">
        <v>5455</v>
      </c>
      <c r="D2684" s="2">
        <v>39083</v>
      </c>
      <c r="E2684" s="1" t="s">
        <v>5456</v>
      </c>
      <c r="F2684" s="1" t="s">
        <v>13</v>
      </c>
    </row>
    <row r="2685" spans="1:6" ht="30" customHeight="1" x14ac:dyDescent="0.25">
      <c r="A2685" s="1" t="s">
        <v>5457</v>
      </c>
      <c r="B2685" s="1" t="str">
        <f>"9789048501076"</f>
        <v>9789048501076</v>
      </c>
      <c r="C2685" s="1" t="s">
        <v>5455</v>
      </c>
      <c r="D2685" s="2">
        <v>39448</v>
      </c>
      <c r="E2685" s="1" t="s">
        <v>5458</v>
      </c>
      <c r="F2685" s="1" t="s">
        <v>176</v>
      </c>
    </row>
    <row r="2686" spans="1:6" ht="30" customHeight="1" x14ac:dyDescent="0.25">
      <c r="A2686" s="1" t="s">
        <v>5459</v>
      </c>
      <c r="B2686" s="1" t="str">
        <f>"9789048507573"</f>
        <v>9789048507573</v>
      </c>
      <c r="C2686" s="1" t="s">
        <v>5455</v>
      </c>
      <c r="D2686" s="2">
        <v>39083</v>
      </c>
      <c r="E2686" s="1" t="s">
        <v>5460</v>
      </c>
      <c r="F2686" s="1" t="s">
        <v>5461</v>
      </c>
    </row>
    <row r="2687" spans="1:6" ht="30" customHeight="1" x14ac:dyDescent="0.25">
      <c r="A2687" s="1" t="s">
        <v>5462</v>
      </c>
      <c r="B2687" s="1" t="str">
        <f>"9789048505074"</f>
        <v>9789048505074</v>
      </c>
      <c r="C2687" s="1" t="s">
        <v>5455</v>
      </c>
      <c r="D2687" s="2">
        <v>37622</v>
      </c>
      <c r="E2687" s="1" t="s">
        <v>5463</v>
      </c>
      <c r="F2687" s="1" t="s">
        <v>82</v>
      </c>
    </row>
    <row r="2688" spans="1:6" ht="30" customHeight="1" x14ac:dyDescent="0.25">
      <c r="A2688" s="1" t="s">
        <v>5464</v>
      </c>
      <c r="B2688" s="1" t="str">
        <f>"9789048505593"</f>
        <v>9789048505593</v>
      </c>
      <c r="C2688" s="1" t="s">
        <v>5455</v>
      </c>
      <c r="D2688" s="2">
        <v>38353</v>
      </c>
      <c r="E2688" s="1" t="s">
        <v>5465</v>
      </c>
      <c r="F2688" s="1" t="s">
        <v>5466</v>
      </c>
    </row>
    <row r="2689" spans="1:6" ht="30" customHeight="1" x14ac:dyDescent="0.25">
      <c r="A2689" s="1" t="s">
        <v>5467</v>
      </c>
      <c r="B2689" s="1" t="str">
        <f>"9789048501977"</f>
        <v>9789048501977</v>
      </c>
      <c r="C2689" s="1" t="s">
        <v>5455</v>
      </c>
      <c r="D2689" s="2">
        <v>39083</v>
      </c>
      <c r="E2689" s="1" t="s">
        <v>5468</v>
      </c>
      <c r="F2689" s="1" t="s">
        <v>13</v>
      </c>
    </row>
    <row r="2690" spans="1:6" ht="30" customHeight="1" x14ac:dyDescent="0.25">
      <c r="A2690" s="1" t="s">
        <v>5469</v>
      </c>
      <c r="B2690" s="1" t="str">
        <f>"9789048508549"</f>
        <v>9789048508549</v>
      </c>
      <c r="C2690" s="1" t="s">
        <v>5455</v>
      </c>
      <c r="D2690" s="2">
        <v>39448</v>
      </c>
      <c r="E2690" s="1" t="s">
        <v>5470</v>
      </c>
      <c r="F2690" s="1" t="s">
        <v>13</v>
      </c>
    </row>
    <row r="2691" spans="1:6" ht="30" customHeight="1" x14ac:dyDescent="0.25">
      <c r="A2691" s="1" t="s">
        <v>5471</v>
      </c>
      <c r="B2691" s="1" t="str">
        <f>"9789048503919"</f>
        <v>9789048503919</v>
      </c>
      <c r="C2691" s="1" t="s">
        <v>5455</v>
      </c>
      <c r="D2691" s="2">
        <v>38353</v>
      </c>
      <c r="E2691" s="1" t="s">
        <v>5472</v>
      </c>
      <c r="F2691" s="1" t="s">
        <v>13</v>
      </c>
    </row>
    <row r="2692" spans="1:6" ht="30" customHeight="1" x14ac:dyDescent="0.25">
      <c r="A2692" s="1" t="s">
        <v>5473</v>
      </c>
      <c r="B2692" s="1" t="str">
        <f>"9789048504251"</f>
        <v>9789048504251</v>
      </c>
      <c r="C2692" s="1" t="s">
        <v>5455</v>
      </c>
      <c r="D2692" s="2">
        <v>38718</v>
      </c>
      <c r="E2692" s="1" t="s">
        <v>5474</v>
      </c>
      <c r="F2692" s="1" t="s">
        <v>95</v>
      </c>
    </row>
    <row r="2693" spans="1:6" ht="30" customHeight="1" x14ac:dyDescent="0.25">
      <c r="A2693" s="1" t="s">
        <v>5475</v>
      </c>
      <c r="B2693" s="1" t="str">
        <f>"9789048503735"</f>
        <v>9789048503735</v>
      </c>
      <c r="C2693" s="1" t="s">
        <v>5455</v>
      </c>
      <c r="D2693" s="2">
        <v>37622</v>
      </c>
      <c r="E2693" s="1" t="s">
        <v>5476</v>
      </c>
      <c r="F2693" s="1" t="s">
        <v>5477</v>
      </c>
    </row>
    <row r="2694" spans="1:6" ht="30" customHeight="1" x14ac:dyDescent="0.25">
      <c r="A2694" s="1" t="s">
        <v>5478</v>
      </c>
      <c r="B2694" s="1" t="str">
        <f>"9789048503704"</f>
        <v>9789048503704</v>
      </c>
      <c r="C2694" s="1" t="s">
        <v>5455</v>
      </c>
      <c r="D2694" s="2">
        <v>37622</v>
      </c>
      <c r="E2694" s="1" t="s">
        <v>5479</v>
      </c>
      <c r="F2694" s="1" t="s">
        <v>13</v>
      </c>
    </row>
    <row r="2695" spans="1:6" ht="30" customHeight="1" x14ac:dyDescent="0.25">
      <c r="A2695" s="1" t="s">
        <v>5480</v>
      </c>
      <c r="B2695" s="1" t="str">
        <f>"9780335237531"</f>
        <v>9780335237531</v>
      </c>
      <c r="C2695" s="1" t="s">
        <v>2247</v>
      </c>
      <c r="D2695" s="2">
        <v>39783</v>
      </c>
      <c r="E2695" s="1" t="s">
        <v>5481</v>
      </c>
      <c r="F2695" s="1" t="s">
        <v>95</v>
      </c>
    </row>
    <row r="2696" spans="1:6" ht="30" customHeight="1" x14ac:dyDescent="0.25">
      <c r="A2696" s="1" t="s">
        <v>5482</v>
      </c>
      <c r="B2696" s="1" t="str">
        <f>"9780335237593"</f>
        <v>9780335237593</v>
      </c>
      <c r="C2696" s="1" t="s">
        <v>2247</v>
      </c>
      <c r="D2696" s="2">
        <v>39783</v>
      </c>
      <c r="E2696" s="1" t="s">
        <v>5483</v>
      </c>
      <c r="F2696" s="1" t="s">
        <v>5484</v>
      </c>
    </row>
    <row r="2697" spans="1:6" ht="30" customHeight="1" x14ac:dyDescent="0.25">
      <c r="A2697" s="1" t="s">
        <v>5485</v>
      </c>
      <c r="B2697" s="1" t="str">
        <f>"9780813546520"</f>
        <v>9780813546520</v>
      </c>
      <c r="C2697" s="1" t="s">
        <v>3656</v>
      </c>
      <c r="D2697" s="2">
        <v>41773</v>
      </c>
      <c r="E2697" s="1" t="s">
        <v>5486</v>
      </c>
      <c r="F2697" s="1" t="s">
        <v>13</v>
      </c>
    </row>
    <row r="2698" spans="1:6" ht="30" customHeight="1" x14ac:dyDescent="0.25">
      <c r="A2698" s="1" t="s">
        <v>5487</v>
      </c>
      <c r="B2698" s="1" t="str">
        <f>"9781849202275"</f>
        <v>9781849202275</v>
      </c>
      <c r="C2698" s="1" t="s">
        <v>1228</v>
      </c>
      <c r="D2698" s="2">
        <v>39868</v>
      </c>
      <c r="E2698" s="1" t="s">
        <v>4093</v>
      </c>
      <c r="F2698" s="1" t="s">
        <v>599</v>
      </c>
    </row>
    <row r="2699" spans="1:6" ht="30" customHeight="1" x14ac:dyDescent="0.25">
      <c r="A2699" s="1" t="s">
        <v>5488</v>
      </c>
      <c r="B2699" s="1" t="str">
        <f>"9781849202442"</f>
        <v>9781849202442</v>
      </c>
      <c r="C2699" s="1" t="s">
        <v>1228</v>
      </c>
      <c r="D2699" s="2">
        <v>39868</v>
      </c>
      <c r="E2699" s="1" t="s">
        <v>5489</v>
      </c>
      <c r="F2699" s="1" t="s">
        <v>95</v>
      </c>
    </row>
    <row r="2700" spans="1:6" ht="30" customHeight="1" x14ac:dyDescent="0.25">
      <c r="A2700" s="1" t="s">
        <v>5490</v>
      </c>
      <c r="B2700" s="1" t="str">
        <f>"9781849202503"</f>
        <v>9781849202503</v>
      </c>
      <c r="C2700" s="1" t="s">
        <v>1228</v>
      </c>
      <c r="D2700" s="2">
        <v>39868</v>
      </c>
      <c r="E2700" s="1" t="s">
        <v>5491</v>
      </c>
      <c r="F2700" s="1" t="s">
        <v>30</v>
      </c>
    </row>
    <row r="2701" spans="1:6" ht="30" customHeight="1" x14ac:dyDescent="0.25">
      <c r="A2701" s="1" t="s">
        <v>5492</v>
      </c>
      <c r="B2701" s="1" t="str">
        <f>"9781849202893"</f>
        <v>9781849202893</v>
      </c>
      <c r="C2701" s="1" t="s">
        <v>1228</v>
      </c>
      <c r="D2701" s="2">
        <v>38678</v>
      </c>
      <c r="E2701" s="1" t="s">
        <v>5009</v>
      </c>
      <c r="F2701" s="1" t="s">
        <v>13</v>
      </c>
    </row>
    <row r="2702" spans="1:6" ht="30" customHeight="1" x14ac:dyDescent="0.25">
      <c r="A2702" s="1" t="s">
        <v>5493</v>
      </c>
      <c r="B2702" s="1" t="str">
        <f>"9781849202428"</f>
        <v>9781849202428</v>
      </c>
      <c r="C2702" s="1" t="s">
        <v>1228</v>
      </c>
      <c r="D2702" s="2">
        <v>39379</v>
      </c>
      <c r="E2702" s="1" t="s">
        <v>5494</v>
      </c>
      <c r="F2702" s="1" t="s">
        <v>2443</v>
      </c>
    </row>
    <row r="2703" spans="1:6" ht="30" customHeight="1" x14ac:dyDescent="0.25">
      <c r="A2703" s="1" t="s">
        <v>5495</v>
      </c>
      <c r="B2703" s="1" t="str">
        <f>"9781847876553"</f>
        <v>9781847876553</v>
      </c>
      <c r="C2703" s="1" t="s">
        <v>1228</v>
      </c>
      <c r="D2703" s="2">
        <v>36551</v>
      </c>
      <c r="E2703" s="1" t="s">
        <v>5496</v>
      </c>
      <c r="F2703" s="1" t="s">
        <v>13</v>
      </c>
    </row>
    <row r="2704" spans="1:6" ht="30" customHeight="1" x14ac:dyDescent="0.25">
      <c r="A2704" s="1" t="s">
        <v>5497</v>
      </c>
      <c r="B2704" s="1" t="str">
        <f>"9781849202701"</f>
        <v>9781849202701</v>
      </c>
      <c r="C2704" s="1" t="s">
        <v>1228</v>
      </c>
      <c r="D2704" s="2">
        <v>38595</v>
      </c>
      <c r="E2704" s="1" t="s">
        <v>5498</v>
      </c>
      <c r="F2704" s="1" t="s">
        <v>13</v>
      </c>
    </row>
    <row r="2705" spans="1:6" ht="30" customHeight="1" x14ac:dyDescent="0.25">
      <c r="A2705" s="1" t="s">
        <v>5499</v>
      </c>
      <c r="B2705" s="1" t="str">
        <f>"9789240683587"</f>
        <v>9789240683587</v>
      </c>
      <c r="C2705" s="1" t="s">
        <v>1981</v>
      </c>
      <c r="D2705" s="2">
        <v>39637</v>
      </c>
      <c r="E2705" s="1" t="s">
        <v>3256</v>
      </c>
      <c r="F2705" s="1" t="s">
        <v>3803</v>
      </c>
    </row>
    <row r="2706" spans="1:6" ht="30" customHeight="1" x14ac:dyDescent="0.25">
      <c r="A2706" s="1" t="s">
        <v>5500</v>
      </c>
      <c r="B2706" s="1" t="str">
        <f>"9789240683518"</f>
        <v>9789240683518</v>
      </c>
      <c r="C2706" s="1" t="s">
        <v>1981</v>
      </c>
      <c r="D2706" s="2">
        <v>38650</v>
      </c>
      <c r="E2706" s="1" t="s">
        <v>5501</v>
      </c>
      <c r="F2706" s="1" t="s">
        <v>13</v>
      </c>
    </row>
    <row r="2707" spans="1:6" ht="30" customHeight="1" x14ac:dyDescent="0.25">
      <c r="A2707" s="1" t="s">
        <v>5502</v>
      </c>
      <c r="B2707" s="1" t="str">
        <f>"9789240683525"</f>
        <v>9789240683525</v>
      </c>
      <c r="C2707" s="1" t="s">
        <v>1981</v>
      </c>
      <c r="D2707" s="2">
        <v>38734</v>
      </c>
      <c r="E2707" s="1" t="s">
        <v>3256</v>
      </c>
      <c r="F2707" s="1" t="s">
        <v>5503</v>
      </c>
    </row>
    <row r="2708" spans="1:6" ht="30" customHeight="1" x14ac:dyDescent="0.25">
      <c r="A2708" s="1" t="s">
        <v>5504</v>
      </c>
      <c r="B2708" s="1" t="str">
        <f>"9789240683532"</f>
        <v>9789240683532</v>
      </c>
      <c r="C2708" s="1" t="s">
        <v>1981</v>
      </c>
      <c r="D2708" s="2">
        <v>39688</v>
      </c>
      <c r="E2708" s="1" t="s">
        <v>5505</v>
      </c>
      <c r="F2708" s="1" t="s">
        <v>70</v>
      </c>
    </row>
    <row r="2709" spans="1:6" ht="30" customHeight="1" x14ac:dyDescent="0.25">
      <c r="A2709" s="1" t="s">
        <v>5506</v>
      </c>
      <c r="B2709" s="1" t="str">
        <f>"9789240683549"</f>
        <v>9789240683549</v>
      </c>
      <c r="C2709" s="1" t="s">
        <v>1981</v>
      </c>
      <c r="D2709" s="2">
        <v>39259</v>
      </c>
      <c r="E2709" s="1" t="s">
        <v>3256</v>
      </c>
      <c r="F2709" s="1" t="s">
        <v>13</v>
      </c>
    </row>
    <row r="2710" spans="1:6" ht="30" customHeight="1" x14ac:dyDescent="0.25">
      <c r="A2710" s="1" t="s">
        <v>5507</v>
      </c>
      <c r="B2710" s="1" t="str">
        <f>"9789240683563"</f>
        <v>9789240683563</v>
      </c>
      <c r="C2710" s="1" t="s">
        <v>1981</v>
      </c>
      <c r="D2710" s="2">
        <v>39497</v>
      </c>
      <c r="E2710" s="1" t="s">
        <v>5508</v>
      </c>
      <c r="F2710" s="1" t="s">
        <v>13</v>
      </c>
    </row>
    <row r="2711" spans="1:6" ht="30" customHeight="1" x14ac:dyDescent="0.25">
      <c r="A2711" s="1" t="s">
        <v>5509</v>
      </c>
      <c r="B2711" s="1" t="str">
        <f>"9789289071987"</f>
        <v>9789289071987</v>
      </c>
      <c r="C2711" s="1" t="s">
        <v>1981</v>
      </c>
      <c r="D2711" s="2">
        <v>39657</v>
      </c>
      <c r="E2711" s="1" t="s">
        <v>5510</v>
      </c>
      <c r="F2711" s="1" t="s">
        <v>356</v>
      </c>
    </row>
    <row r="2712" spans="1:6" ht="30" customHeight="1" x14ac:dyDescent="0.25">
      <c r="A2712" s="1" t="s">
        <v>5511</v>
      </c>
      <c r="B2712" s="1" t="str">
        <f>"9780080920863"</f>
        <v>9780080920863</v>
      </c>
      <c r="C2712" s="1" t="s">
        <v>900</v>
      </c>
      <c r="D2712" s="2">
        <v>39889</v>
      </c>
      <c r="E2712" s="1" t="s">
        <v>5512</v>
      </c>
      <c r="F2712" s="1" t="s">
        <v>13</v>
      </c>
    </row>
    <row r="2713" spans="1:6" ht="30" customHeight="1" x14ac:dyDescent="0.25">
      <c r="A2713" s="1" t="s">
        <v>5513</v>
      </c>
      <c r="B2713" s="1" t="str">
        <f>"9781742230399"</f>
        <v>9781742230399</v>
      </c>
      <c r="C2713" s="1" t="s">
        <v>5514</v>
      </c>
      <c r="D2713" s="2">
        <v>39508</v>
      </c>
      <c r="E2713" s="1" t="s">
        <v>5515</v>
      </c>
      <c r="F2713" s="1" t="s">
        <v>599</v>
      </c>
    </row>
    <row r="2714" spans="1:6" ht="30" customHeight="1" x14ac:dyDescent="0.25">
      <c r="A2714" s="1" t="s">
        <v>5516</v>
      </c>
      <c r="B2714" s="1" t="str">
        <f>"9781742230412"</f>
        <v>9781742230412</v>
      </c>
      <c r="C2714" s="1" t="s">
        <v>5514</v>
      </c>
      <c r="D2714" s="2">
        <v>39356</v>
      </c>
      <c r="E2714" s="1" t="s">
        <v>5517</v>
      </c>
      <c r="F2714" s="1" t="s">
        <v>30</v>
      </c>
    </row>
    <row r="2715" spans="1:6" ht="30" customHeight="1" x14ac:dyDescent="0.25">
      <c r="A2715" s="1" t="s">
        <v>5518</v>
      </c>
      <c r="B2715" s="1" t="str">
        <f>"9780198038719"</f>
        <v>9780198038719</v>
      </c>
      <c r="C2715" s="1" t="s">
        <v>1120</v>
      </c>
      <c r="D2715" s="2">
        <v>38547</v>
      </c>
      <c r="E2715" s="1" t="s">
        <v>5519</v>
      </c>
      <c r="F2715" s="1" t="s">
        <v>13</v>
      </c>
    </row>
    <row r="2716" spans="1:6" ht="30" customHeight="1" x14ac:dyDescent="0.25">
      <c r="A2716" s="1" t="s">
        <v>5520</v>
      </c>
      <c r="B2716" s="1" t="str">
        <f>"9780195348620"</f>
        <v>9780195348620</v>
      </c>
      <c r="C2716" s="1" t="s">
        <v>1123</v>
      </c>
      <c r="D2716" s="2">
        <v>37525</v>
      </c>
      <c r="E2716" s="1" t="s">
        <v>5521</v>
      </c>
      <c r="F2716" s="1" t="s">
        <v>158</v>
      </c>
    </row>
    <row r="2717" spans="1:6" ht="30" customHeight="1" x14ac:dyDescent="0.25">
      <c r="A2717" s="1" t="s">
        <v>5522</v>
      </c>
      <c r="B2717" s="1" t="str">
        <f>"9780191516047"</f>
        <v>9780191516047</v>
      </c>
      <c r="C2717" s="1" t="s">
        <v>1117</v>
      </c>
      <c r="D2717" s="2">
        <v>38631</v>
      </c>
      <c r="E2717" s="1" t="s">
        <v>5523</v>
      </c>
      <c r="F2717" s="1" t="s">
        <v>13</v>
      </c>
    </row>
    <row r="2718" spans="1:6" ht="30" customHeight="1" x14ac:dyDescent="0.25">
      <c r="A2718" s="1" t="s">
        <v>5524</v>
      </c>
      <c r="B2718" s="1" t="str">
        <f>"9780191513459"</f>
        <v>9780191513459</v>
      </c>
      <c r="C2718" s="1" t="s">
        <v>1117</v>
      </c>
      <c r="D2718" s="2">
        <v>38155</v>
      </c>
      <c r="E2718" s="1" t="s">
        <v>5525</v>
      </c>
      <c r="F2718" s="1" t="s">
        <v>70</v>
      </c>
    </row>
    <row r="2719" spans="1:6" ht="30" customHeight="1" x14ac:dyDescent="0.25">
      <c r="A2719" s="1" t="s">
        <v>5526</v>
      </c>
      <c r="B2719" s="1" t="str">
        <f>"9780198038641"</f>
        <v>9780198038641</v>
      </c>
      <c r="C2719" s="1" t="s">
        <v>1120</v>
      </c>
      <c r="D2719" s="2">
        <v>38547</v>
      </c>
      <c r="E2719" s="1" t="s">
        <v>5527</v>
      </c>
      <c r="F2719" s="1" t="s">
        <v>13</v>
      </c>
    </row>
    <row r="2720" spans="1:6" ht="30" customHeight="1" x14ac:dyDescent="0.25">
      <c r="A2720" s="1" t="s">
        <v>5528</v>
      </c>
      <c r="B2720" s="1" t="str">
        <f>"9780191513817"</f>
        <v>9780191513817</v>
      </c>
      <c r="C2720" s="1" t="s">
        <v>1117</v>
      </c>
      <c r="D2720" s="2">
        <v>38561</v>
      </c>
      <c r="E2720" s="1" t="s">
        <v>5529</v>
      </c>
      <c r="F2720" s="1" t="s">
        <v>13</v>
      </c>
    </row>
    <row r="2721" spans="1:6" ht="30" customHeight="1" x14ac:dyDescent="0.25">
      <c r="A2721" s="1" t="s">
        <v>5530</v>
      </c>
      <c r="B2721" s="1" t="str">
        <f>"9780198039167"</f>
        <v>9780198039167</v>
      </c>
      <c r="C2721" s="1" t="s">
        <v>1120</v>
      </c>
      <c r="D2721" s="2">
        <v>38274</v>
      </c>
      <c r="E2721" s="1" t="s">
        <v>5531</v>
      </c>
      <c r="F2721" s="1" t="s">
        <v>5532</v>
      </c>
    </row>
    <row r="2722" spans="1:6" ht="30" customHeight="1" x14ac:dyDescent="0.25">
      <c r="A2722" s="1" t="s">
        <v>5533</v>
      </c>
      <c r="B2722" s="1" t="str">
        <f>"9780195346459"</f>
        <v>9780195346459</v>
      </c>
      <c r="C2722" s="1" t="s">
        <v>1123</v>
      </c>
      <c r="D2722" s="2">
        <v>38463</v>
      </c>
      <c r="E2722" s="1" t="s">
        <v>5534</v>
      </c>
      <c r="F2722" s="1" t="s">
        <v>1333</v>
      </c>
    </row>
    <row r="2723" spans="1:6" ht="30" customHeight="1" x14ac:dyDescent="0.25">
      <c r="A2723" s="1" t="s">
        <v>5535</v>
      </c>
      <c r="B2723" s="1" t="str">
        <f>"9780191514975"</f>
        <v>9780191514975</v>
      </c>
      <c r="C2723" s="1" t="s">
        <v>1117</v>
      </c>
      <c r="D2723" s="2">
        <v>38386</v>
      </c>
      <c r="E2723" s="1" t="s">
        <v>5536</v>
      </c>
      <c r="F2723" s="1" t="s">
        <v>286</v>
      </c>
    </row>
    <row r="2724" spans="1:6" ht="30" customHeight="1" x14ac:dyDescent="0.25">
      <c r="A2724" s="1" t="s">
        <v>5537</v>
      </c>
      <c r="B2724" s="1" t="str">
        <f>"9780191517358"</f>
        <v>9780191517358</v>
      </c>
      <c r="C2724" s="1" t="s">
        <v>1117</v>
      </c>
      <c r="D2724" s="2">
        <v>38687</v>
      </c>
      <c r="E2724" s="1" t="s">
        <v>1749</v>
      </c>
      <c r="F2724" s="1" t="s">
        <v>5538</v>
      </c>
    </row>
    <row r="2725" spans="1:6" ht="30" customHeight="1" x14ac:dyDescent="0.25">
      <c r="A2725" s="1" t="s">
        <v>5539</v>
      </c>
      <c r="B2725" s="1" t="str">
        <f>"9780198039242"</f>
        <v>9780198039242</v>
      </c>
      <c r="C2725" s="1" t="s">
        <v>1123</v>
      </c>
      <c r="D2725" s="2">
        <v>38540</v>
      </c>
      <c r="E2725" s="1" t="s">
        <v>5540</v>
      </c>
      <c r="F2725" s="1" t="s">
        <v>13</v>
      </c>
    </row>
    <row r="2726" spans="1:6" ht="30" customHeight="1" x14ac:dyDescent="0.25">
      <c r="A2726" s="1" t="s">
        <v>5541</v>
      </c>
      <c r="B2726" s="1" t="str">
        <f>"9780191537486"</f>
        <v>9780191537486</v>
      </c>
      <c r="C2726" s="1" t="s">
        <v>1120</v>
      </c>
      <c r="D2726" s="2">
        <v>38771</v>
      </c>
      <c r="E2726" s="1" t="s">
        <v>5542</v>
      </c>
      <c r="F2726" s="1" t="s">
        <v>13</v>
      </c>
    </row>
    <row r="2727" spans="1:6" ht="30" customHeight="1" x14ac:dyDescent="0.25">
      <c r="A2727" s="1" t="s">
        <v>5543</v>
      </c>
      <c r="B2727" s="1" t="str">
        <f>"9780198030430"</f>
        <v>9780198030430</v>
      </c>
      <c r="C2727" s="1" t="s">
        <v>1120</v>
      </c>
      <c r="D2727" s="2">
        <v>37350</v>
      </c>
      <c r="E2727" s="1" t="s">
        <v>5544</v>
      </c>
      <c r="F2727" s="1" t="s">
        <v>54</v>
      </c>
    </row>
    <row r="2728" spans="1:6" ht="30" customHeight="1" x14ac:dyDescent="0.25">
      <c r="A2728" s="1" t="s">
        <v>5545</v>
      </c>
      <c r="B2728" s="1" t="str">
        <f>"9780191516627"</f>
        <v>9780191516627</v>
      </c>
      <c r="C2728" s="1" t="s">
        <v>1117</v>
      </c>
      <c r="D2728" s="2">
        <v>38253</v>
      </c>
      <c r="E2728" s="1" t="s">
        <v>5546</v>
      </c>
      <c r="F2728" s="1" t="s">
        <v>205</v>
      </c>
    </row>
    <row r="2729" spans="1:6" ht="30" customHeight="1" x14ac:dyDescent="0.25">
      <c r="A2729" s="1" t="s">
        <v>5547</v>
      </c>
      <c r="B2729" s="1" t="str">
        <f>"9780191513909"</f>
        <v>9780191513909</v>
      </c>
      <c r="C2729" s="1" t="s">
        <v>1117</v>
      </c>
      <c r="D2729" s="2">
        <v>38652</v>
      </c>
      <c r="E2729" s="1" t="s">
        <v>5548</v>
      </c>
      <c r="F2729" s="1" t="s">
        <v>760</v>
      </c>
    </row>
    <row r="2730" spans="1:6" ht="30" customHeight="1" x14ac:dyDescent="0.25">
      <c r="A2730" s="1" t="s">
        <v>5549</v>
      </c>
      <c r="B2730" s="1" t="str">
        <f>"9780198038528"</f>
        <v>9780198038528</v>
      </c>
      <c r="C2730" s="1" t="s">
        <v>1123</v>
      </c>
      <c r="D2730" s="2">
        <v>38680</v>
      </c>
      <c r="E2730" s="1" t="s">
        <v>5550</v>
      </c>
      <c r="F2730" s="1" t="s">
        <v>13</v>
      </c>
    </row>
    <row r="2731" spans="1:6" ht="30" customHeight="1" x14ac:dyDescent="0.25">
      <c r="A2731" s="1" t="s">
        <v>5551</v>
      </c>
      <c r="B2731" s="1" t="str">
        <f>"9780198038856"</f>
        <v>9780198038856</v>
      </c>
      <c r="C2731" s="1" t="s">
        <v>1123</v>
      </c>
      <c r="D2731" s="2">
        <v>38652</v>
      </c>
      <c r="E2731" s="1" t="s">
        <v>5552</v>
      </c>
      <c r="F2731" s="1" t="s">
        <v>13</v>
      </c>
    </row>
    <row r="2732" spans="1:6" ht="30" customHeight="1" x14ac:dyDescent="0.25">
      <c r="A2732" s="1" t="s">
        <v>5553</v>
      </c>
      <c r="B2732" s="1" t="str">
        <f>"9780198039198"</f>
        <v>9780198039198</v>
      </c>
      <c r="C2732" s="1" t="s">
        <v>1123</v>
      </c>
      <c r="D2732" s="2">
        <v>38631</v>
      </c>
      <c r="E2732" s="1" t="s">
        <v>5554</v>
      </c>
      <c r="F2732" s="1" t="s">
        <v>13</v>
      </c>
    </row>
    <row r="2733" spans="1:6" ht="30" customHeight="1" x14ac:dyDescent="0.25">
      <c r="A2733" s="1" t="s">
        <v>5555</v>
      </c>
      <c r="B2733" s="1" t="str">
        <f>"9780191513947"</f>
        <v>9780191513947</v>
      </c>
      <c r="C2733" s="1" t="s">
        <v>1117</v>
      </c>
      <c r="D2733" s="2">
        <v>39030</v>
      </c>
      <c r="E2733" s="1" t="s">
        <v>5556</v>
      </c>
      <c r="F2733" s="1" t="s">
        <v>87</v>
      </c>
    </row>
    <row r="2734" spans="1:6" ht="30" customHeight="1" x14ac:dyDescent="0.25">
      <c r="A2734" s="1" t="s">
        <v>5557</v>
      </c>
      <c r="B2734" s="1" t="str">
        <f>"9780191514227"</f>
        <v>9780191514227</v>
      </c>
      <c r="C2734" s="1" t="s">
        <v>1117</v>
      </c>
      <c r="D2734" s="2">
        <v>39114</v>
      </c>
      <c r="E2734" s="1" t="s">
        <v>5558</v>
      </c>
      <c r="F2734" s="1" t="s">
        <v>13</v>
      </c>
    </row>
    <row r="2735" spans="1:6" ht="30" customHeight="1" x14ac:dyDescent="0.25">
      <c r="A2735" s="1" t="s">
        <v>5559</v>
      </c>
      <c r="B2735" s="1" t="str">
        <f>"9781742191164"</f>
        <v>9781742191164</v>
      </c>
      <c r="C2735" s="1" t="s">
        <v>5151</v>
      </c>
      <c r="D2735" s="2">
        <v>37865</v>
      </c>
      <c r="E2735" s="1" t="s">
        <v>5560</v>
      </c>
      <c r="F2735" s="1" t="s">
        <v>237</v>
      </c>
    </row>
    <row r="2736" spans="1:6" ht="30" customHeight="1" x14ac:dyDescent="0.25">
      <c r="A2736" s="1" t="s">
        <v>5561</v>
      </c>
      <c r="B2736" s="1" t="str">
        <f>"9780826101259"</f>
        <v>9780826101259</v>
      </c>
      <c r="C2736" s="1" t="s">
        <v>2339</v>
      </c>
      <c r="D2736" s="2">
        <v>39783</v>
      </c>
      <c r="E2736" s="1" t="s">
        <v>5562</v>
      </c>
      <c r="F2736" s="1" t="s">
        <v>176</v>
      </c>
    </row>
    <row r="2737" spans="1:6" ht="30" customHeight="1" x14ac:dyDescent="0.25">
      <c r="A2737" s="1" t="s">
        <v>5563</v>
      </c>
      <c r="B2737" s="1" t="str">
        <f>"9780826125576"</f>
        <v>9780826125576</v>
      </c>
      <c r="C2737" s="1" t="s">
        <v>2339</v>
      </c>
      <c r="D2737" s="2">
        <v>38401</v>
      </c>
      <c r="E2737" s="1" t="s">
        <v>5564</v>
      </c>
      <c r="F2737" s="1" t="s">
        <v>126</v>
      </c>
    </row>
    <row r="2738" spans="1:6" ht="30" customHeight="1" x14ac:dyDescent="0.25">
      <c r="A2738" s="1" t="s">
        <v>5565</v>
      </c>
      <c r="B2738" s="1" t="str">
        <f>"9780826129482"</f>
        <v>9780826129482</v>
      </c>
      <c r="C2738" s="1" t="s">
        <v>2339</v>
      </c>
      <c r="D2738" s="2">
        <v>38678</v>
      </c>
      <c r="E2738" s="1" t="s">
        <v>5566</v>
      </c>
      <c r="F2738" s="1" t="s">
        <v>95</v>
      </c>
    </row>
    <row r="2739" spans="1:6" ht="30" customHeight="1" x14ac:dyDescent="0.25">
      <c r="A2739" s="1" t="s">
        <v>5567</v>
      </c>
      <c r="B2739" s="1" t="str">
        <f>"9780826115737"</f>
        <v>9780826115737</v>
      </c>
      <c r="C2739" s="1" t="s">
        <v>2339</v>
      </c>
      <c r="D2739" s="2">
        <v>37681</v>
      </c>
      <c r="E2739" s="1" t="s">
        <v>5568</v>
      </c>
      <c r="F2739" s="1" t="s">
        <v>13</v>
      </c>
    </row>
    <row r="2740" spans="1:6" ht="30" customHeight="1" x14ac:dyDescent="0.25">
      <c r="A2740" s="1" t="s">
        <v>5569</v>
      </c>
      <c r="B2740" s="1" t="str">
        <f>"9780826196972"</f>
        <v>9780826196972</v>
      </c>
      <c r="C2740" s="1" t="s">
        <v>2339</v>
      </c>
      <c r="D2740" s="2">
        <v>36053</v>
      </c>
      <c r="E2740" s="1" t="s">
        <v>5570</v>
      </c>
      <c r="F2740" s="1" t="s">
        <v>148</v>
      </c>
    </row>
    <row r="2741" spans="1:6" ht="30" customHeight="1" x14ac:dyDescent="0.25">
      <c r="A2741" s="1" t="s">
        <v>5571</v>
      </c>
      <c r="B2741" s="1" t="str">
        <f>"9780826104946"</f>
        <v>9780826104946</v>
      </c>
      <c r="C2741" s="1" t="s">
        <v>2339</v>
      </c>
      <c r="D2741" s="2">
        <v>38882</v>
      </c>
      <c r="E2741" s="1" t="s">
        <v>5572</v>
      </c>
      <c r="F2741" s="1" t="s">
        <v>126</v>
      </c>
    </row>
    <row r="2742" spans="1:6" ht="30" customHeight="1" x14ac:dyDescent="0.25">
      <c r="A2742" s="1" t="s">
        <v>5573</v>
      </c>
      <c r="B2742" s="1" t="str">
        <f>"9780826165039"</f>
        <v>9780826165039</v>
      </c>
      <c r="C2742" s="1" t="s">
        <v>2339</v>
      </c>
      <c r="D2742" s="2">
        <v>36501</v>
      </c>
      <c r="E2742" s="1" t="s">
        <v>5574</v>
      </c>
      <c r="F2742" s="1" t="s">
        <v>599</v>
      </c>
    </row>
    <row r="2743" spans="1:6" ht="30" customHeight="1" x14ac:dyDescent="0.25">
      <c r="A2743" s="1" t="s">
        <v>5575</v>
      </c>
      <c r="B2743" s="1" t="str">
        <f>"9780826124647"</f>
        <v>9780826124647</v>
      </c>
      <c r="C2743" s="1" t="s">
        <v>2339</v>
      </c>
      <c r="D2743" s="2">
        <v>38191</v>
      </c>
      <c r="E2743" s="1" t="s">
        <v>5576</v>
      </c>
      <c r="F2743" s="1" t="s">
        <v>13</v>
      </c>
    </row>
    <row r="2744" spans="1:6" ht="30" customHeight="1" x14ac:dyDescent="0.25">
      <c r="A2744" s="1" t="s">
        <v>5577</v>
      </c>
      <c r="B2744" s="1" t="str">
        <f>"9780826103741"</f>
        <v>9780826103741</v>
      </c>
      <c r="C2744" s="1" t="s">
        <v>2339</v>
      </c>
      <c r="D2744" s="2">
        <v>38961</v>
      </c>
      <c r="E2744" s="1" t="s">
        <v>5578</v>
      </c>
      <c r="F2744" s="1" t="s">
        <v>126</v>
      </c>
    </row>
    <row r="2745" spans="1:6" ht="30" customHeight="1" x14ac:dyDescent="0.25">
      <c r="A2745" s="1" t="s">
        <v>5579</v>
      </c>
      <c r="B2745" s="1" t="str">
        <f>"9780826116321"</f>
        <v>9780826116321</v>
      </c>
      <c r="C2745" s="1" t="s">
        <v>2339</v>
      </c>
      <c r="D2745" s="2">
        <v>36878</v>
      </c>
      <c r="E2745" s="1" t="s">
        <v>5580</v>
      </c>
      <c r="F2745" s="1" t="s">
        <v>126</v>
      </c>
    </row>
    <row r="2746" spans="1:6" ht="30" customHeight="1" x14ac:dyDescent="0.25">
      <c r="A2746" s="1" t="s">
        <v>5581</v>
      </c>
      <c r="B2746" s="1" t="str">
        <f>"9780826122261"</f>
        <v>9780826122261</v>
      </c>
      <c r="C2746" s="1" t="s">
        <v>2339</v>
      </c>
      <c r="D2746" s="2">
        <v>38322</v>
      </c>
      <c r="E2746" s="1" t="s">
        <v>5582</v>
      </c>
      <c r="F2746" s="1" t="s">
        <v>13</v>
      </c>
    </row>
    <row r="2747" spans="1:6" ht="30" customHeight="1" x14ac:dyDescent="0.25">
      <c r="A2747" s="1" t="s">
        <v>5583</v>
      </c>
      <c r="B2747" s="1" t="str">
        <f>"9780826116598"</f>
        <v>9780826116598</v>
      </c>
      <c r="C2747" s="1" t="s">
        <v>2339</v>
      </c>
      <c r="D2747" s="2">
        <v>36642</v>
      </c>
      <c r="E2747" s="1" t="s">
        <v>5584</v>
      </c>
      <c r="F2747" s="1" t="s">
        <v>33</v>
      </c>
    </row>
    <row r="2748" spans="1:6" ht="30" customHeight="1" x14ac:dyDescent="0.25">
      <c r="A2748" s="1" t="s">
        <v>5585</v>
      </c>
      <c r="B2748" s="1" t="str">
        <f>"9780826116932"</f>
        <v>9780826116932</v>
      </c>
      <c r="C2748" s="1" t="s">
        <v>2339</v>
      </c>
      <c r="D2748" s="2">
        <v>37987</v>
      </c>
      <c r="E2748" s="1" t="s">
        <v>5586</v>
      </c>
      <c r="F2748" s="1" t="s">
        <v>95</v>
      </c>
    </row>
    <row r="2749" spans="1:6" ht="30" customHeight="1" x14ac:dyDescent="0.25">
      <c r="A2749" s="1" t="s">
        <v>5587</v>
      </c>
      <c r="B2749" s="1" t="str">
        <f>"9780826119100"</f>
        <v>9780826119100</v>
      </c>
      <c r="C2749" s="1" t="s">
        <v>2339</v>
      </c>
      <c r="D2749" s="2">
        <v>39022</v>
      </c>
      <c r="E2749" s="1" t="s">
        <v>5588</v>
      </c>
      <c r="F2749" s="1" t="s">
        <v>13</v>
      </c>
    </row>
    <row r="2750" spans="1:6" ht="30" customHeight="1" x14ac:dyDescent="0.25">
      <c r="A2750" s="1" t="s">
        <v>5589</v>
      </c>
      <c r="B2750" s="1" t="str">
        <f>"9780826197238"</f>
        <v>9780826197238</v>
      </c>
      <c r="C2750" s="1" t="s">
        <v>2339</v>
      </c>
      <c r="D2750" s="2">
        <v>37266</v>
      </c>
      <c r="E2750" s="1" t="s">
        <v>5590</v>
      </c>
      <c r="F2750" s="1" t="s">
        <v>176</v>
      </c>
    </row>
    <row r="2751" spans="1:6" ht="30" customHeight="1" x14ac:dyDescent="0.25">
      <c r="A2751" s="1" t="s">
        <v>5591</v>
      </c>
      <c r="B2751" s="1" t="str">
        <f>"9780826116246"</f>
        <v>9780826116246</v>
      </c>
      <c r="C2751" s="1" t="s">
        <v>2339</v>
      </c>
      <c r="D2751" s="2">
        <v>36955</v>
      </c>
      <c r="E2751" s="1" t="s">
        <v>5592</v>
      </c>
      <c r="F2751" s="1" t="s">
        <v>13</v>
      </c>
    </row>
    <row r="2752" spans="1:6" ht="30" customHeight="1" x14ac:dyDescent="0.25">
      <c r="A2752" s="1" t="s">
        <v>5593</v>
      </c>
      <c r="B2752" s="1" t="str">
        <f>"9780826123985"</f>
        <v>9780826123985</v>
      </c>
      <c r="C2752" s="1" t="s">
        <v>2339</v>
      </c>
      <c r="D2752" s="2">
        <v>38153</v>
      </c>
      <c r="E2752" s="1" t="s">
        <v>5594</v>
      </c>
      <c r="F2752" s="1" t="s">
        <v>1879</v>
      </c>
    </row>
    <row r="2753" spans="1:6" ht="30" customHeight="1" x14ac:dyDescent="0.25">
      <c r="A2753" s="1" t="s">
        <v>5595</v>
      </c>
      <c r="B2753" s="1" t="str">
        <f>"9780826125453"</f>
        <v>9780826125453</v>
      </c>
      <c r="C2753" s="1" t="s">
        <v>2339</v>
      </c>
      <c r="D2753" s="2">
        <v>40148</v>
      </c>
      <c r="E2753" s="1" t="s">
        <v>5596</v>
      </c>
      <c r="F2753" s="1" t="s">
        <v>126</v>
      </c>
    </row>
    <row r="2754" spans="1:6" ht="30" customHeight="1" x14ac:dyDescent="0.25">
      <c r="A2754" s="1" t="s">
        <v>5597</v>
      </c>
      <c r="B2754" s="1" t="str">
        <f>"9780826121950"</f>
        <v>9780826121950</v>
      </c>
      <c r="C2754" s="1" t="s">
        <v>2339</v>
      </c>
      <c r="D2754" s="2">
        <v>37653</v>
      </c>
      <c r="E2754" s="1" t="s">
        <v>5598</v>
      </c>
      <c r="F2754" s="1" t="s">
        <v>95</v>
      </c>
    </row>
    <row r="2755" spans="1:6" ht="30" customHeight="1" x14ac:dyDescent="0.25">
      <c r="A2755" s="1" t="s">
        <v>5599</v>
      </c>
      <c r="B2755" s="1" t="str">
        <f>"9780826147462"</f>
        <v>9780826147462</v>
      </c>
      <c r="C2755" s="1" t="s">
        <v>2339</v>
      </c>
      <c r="D2755" s="2">
        <v>37978</v>
      </c>
      <c r="E2755" s="1" t="s">
        <v>5600</v>
      </c>
      <c r="F2755" s="1" t="s">
        <v>13</v>
      </c>
    </row>
    <row r="2756" spans="1:6" ht="30" customHeight="1" x14ac:dyDescent="0.25">
      <c r="A2756" s="1" t="s">
        <v>5601</v>
      </c>
      <c r="B2756" s="1" t="str">
        <f>"9780826144126"</f>
        <v>9780826144126</v>
      </c>
      <c r="C2756" s="1" t="s">
        <v>2339</v>
      </c>
      <c r="D2756" s="2">
        <v>39814</v>
      </c>
      <c r="E2756" s="1" t="s">
        <v>5602</v>
      </c>
      <c r="F2756" s="1" t="s">
        <v>13</v>
      </c>
    </row>
    <row r="2757" spans="1:6" ht="30" customHeight="1" x14ac:dyDescent="0.25">
      <c r="A2757" s="1" t="s">
        <v>5603</v>
      </c>
      <c r="B2757" s="1" t="str">
        <f>"9780826122568"</f>
        <v>9780826122568</v>
      </c>
      <c r="C2757" s="1" t="s">
        <v>2339</v>
      </c>
      <c r="D2757" s="2">
        <v>38093</v>
      </c>
      <c r="E2757" s="1" t="s">
        <v>5604</v>
      </c>
      <c r="F2757" s="1" t="s">
        <v>291</v>
      </c>
    </row>
    <row r="2758" spans="1:6" ht="30" customHeight="1" x14ac:dyDescent="0.25">
      <c r="A2758" s="1" t="s">
        <v>5605</v>
      </c>
      <c r="B2758" s="1" t="str">
        <f>"9780826118363"</f>
        <v>9780826118363</v>
      </c>
      <c r="C2758" s="1" t="s">
        <v>2339</v>
      </c>
      <c r="D2758" s="2">
        <v>39814</v>
      </c>
      <c r="E2758" s="1" t="s">
        <v>5606</v>
      </c>
      <c r="F2758" s="1" t="s">
        <v>126</v>
      </c>
    </row>
    <row r="2759" spans="1:6" ht="30" customHeight="1" x14ac:dyDescent="0.25">
      <c r="A2759" s="1" t="s">
        <v>5607</v>
      </c>
      <c r="B2759" s="1" t="str">
        <f>"9780826116895"</f>
        <v>9780826116895</v>
      </c>
      <c r="C2759" s="1" t="s">
        <v>2339</v>
      </c>
      <c r="D2759" s="2">
        <v>36523</v>
      </c>
      <c r="E2759" s="1" t="s">
        <v>5608</v>
      </c>
      <c r="F2759" s="1" t="s">
        <v>95</v>
      </c>
    </row>
    <row r="2760" spans="1:6" ht="30" customHeight="1" x14ac:dyDescent="0.25">
      <c r="A2760" s="1" t="s">
        <v>5609</v>
      </c>
      <c r="B2760" s="1" t="str">
        <f>"9780826117298"</f>
        <v>9780826117298</v>
      </c>
      <c r="C2760" s="1" t="s">
        <v>2339</v>
      </c>
      <c r="D2760" s="2">
        <v>35810</v>
      </c>
      <c r="E2760" s="1" t="s">
        <v>5610</v>
      </c>
      <c r="F2760" s="1" t="s">
        <v>13</v>
      </c>
    </row>
    <row r="2761" spans="1:6" ht="30" customHeight="1" x14ac:dyDescent="0.25">
      <c r="A2761" s="1" t="s">
        <v>5611</v>
      </c>
      <c r="B2761" s="1" t="str">
        <f>"9780826145963"</f>
        <v>9780826145963</v>
      </c>
      <c r="C2761" s="1" t="s">
        <v>2339</v>
      </c>
      <c r="D2761" s="2">
        <v>37901</v>
      </c>
      <c r="E2761" s="1" t="s">
        <v>5612</v>
      </c>
      <c r="F2761" s="1" t="s">
        <v>13</v>
      </c>
    </row>
    <row r="2762" spans="1:6" ht="30" customHeight="1" x14ac:dyDescent="0.25">
      <c r="A2762" s="1" t="s">
        <v>5613</v>
      </c>
      <c r="B2762" s="1" t="str">
        <f>"9780826117427"</f>
        <v>9780826117427</v>
      </c>
      <c r="C2762" s="1" t="s">
        <v>2339</v>
      </c>
      <c r="D2762" s="2">
        <v>37987</v>
      </c>
      <c r="E2762" s="1" t="s">
        <v>5614</v>
      </c>
      <c r="F2762" s="1" t="s">
        <v>126</v>
      </c>
    </row>
    <row r="2763" spans="1:6" ht="30" customHeight="1" x14ac:dyDescent="0.25">
      <c r="A2763" s="1" t="s">
        <v>5615</v>
      </c>
      <c r="B2763" s="1" t="str">
        <f>"9780826117229"</f>
        <v>9780826117229</v>
      </c>
      <c r="C2763" s="1" t="s">
        <v>2339</v>
      </c>
      <c r="D2763" s="2">
        <v>36161</v>
      </c>
      <c r="E2763" s="1" t="s">
        <v>5616</v>
      </c>
      <c r="F2763" s="1" t="s">
        <v>13</v>
      </c>
    </row>
    <row r="2764" spans="1:6" ht="30" customHeight="1" x14ac:dyDescent="0.25">
      <c r="A2764" s="1" t="s">
        <v>5617</v>
      </c>
      <c r="B2764" s="1" t="str">
        <f>"9780826197641"</f>
        <v>9780826197641</v>
      </c>
      <c r="C2764" s="1" t="s">
        <v>2339</v>
      </c>
      <c r="D2764" s="2">
        <v>37257</v>
      </c>
      <c r="E2764" s="1" t="s">
        <v>5618</v>
      </c>
      <c r="F2764" s="1" t="s">
        <v>33</v>
      </c>
    </row>
    <row r="2765" spans="1:6" ht="30" customHeight="1" x14ac:dyDescent="0.25">
      <c r="A2765" s="1" t="s">
        <v>5619</v>
      </c>
      <c r="B2765" s="1" t="str">
        <f>"9780826157690"</f>
        <v>9780826157690</v>
      </c>
      <c r="C2765" s="1" t="s">
        <v>2339</v>
      </c>
      <c r="D2765" s="2">
        <v>38471</v>
      </c>
      <c r="E2765" s="1" t="s">
        <v>5620</v>
      </c>
      <c r="F2765" s="1" t="s">
        <v>13</v>
      </c>
    </row>
    <row r="2766" spans="1:6" ht="30" customHeight="1" x14ac:dyDescent="0.25">
      <c r="A2766" s="1" t="s">
        <v>5621</v>
      </c>
      <c r="B2766" s="1" t="str">
        <f>"9780826164896"</f>
        <v>9780826164896</v>
      </c>
      <c r="C2766" s="1" t="s">
        <v>2339</v>
      </c>
      <c r="D2766" s="2">
        <v>33923</v>
      </c>
      <c r="E2766" s="1" t="s">
        <v>5622</v>
      </c>
      <c r="F2766" s="1" t="s">
        <v>599</v>
      </c>
    </row>
    <row r="2767" spans="1:6" ht="30" customHeight="1" x14ac:dyDescent="0.25">
      <c r="A2767" s="1" t="s">
        <v>5623</v>
      </c>
      <c r="B2767" s="1" t="str">
        <f>"9780826197788"</f>
        <v>9780826197788</v>
      </c>
      <c r="C2767" s="1" t="s">
        <v>2339</v>
      </c>
      <c r="D2767" s="2">
        <v>35019</v>
      </c>
      <c r="E2767" s="1" t="s">
        <v>5624</v>
      </c>
      <c r="F2767" s="1" t="s">
        <v>599</v>
      </c>
    </row>
    <row r="2768" spans="1:6" ht="30" customHeight="1" x14ac:dyDescent="0.25">
      <c r="A2768" s="1" t="s">
        <v>5625</v>
      </c>
      <c r="B2768" s="1" t="str">
        <f>"9780826165053"</f>
        <v>9780826165053</v>
      </c>
      <c r="C2768" s="1" t="s">
        <v>2339</v>
      </c>
      <c r="D2768" s="2">
        <v>35384</v>
      </c>
      <c r="E2768" s="1" t="s">
        <v>5626</v>
      </c>
      <c r="F2768" s="1" t="s">
        <v>599</v>
      </c>
    </row>
    <row r="2769" spans="1:6" ht="30" customHeight="1" x14ac:dyDescent="0.25">
      <c r="A2769" s="1" t="s">
        <v>5627</v>
      </c>
      <c r="B2769" s="1" t="str">
        <f>"9780826122865"</f>
        <v>9780826122865</v>
      </c>
      <c r="C2769" s="1" t="s">
        <v>2339</v>
      </c>
      <c r="D2769" s="2">
        <v>38061</v>
      </c>
      <c r="E2769" s="1" t="s">
        <v>5628</v>
      </c>
      <c r="F2769" s="1" t="s">
        <v>13</v>
      </c>
    </row>
    <row r="2770" spans="1:6" ht="30" customHeight="1" x14ac:dyDescent="0.25">
      <c r="A2770" s="1" t="s">
        <v>5629</v>
      </c>
      <c r="B2770" s="1" t="str">
        <f>"9780826148360"</f>
        <v>9780826148360</v>
      </c>
      <c r="C2770" s="1" t="s">
        <v>2339</v>
      </c>
      <c r="D2770" s="2">
        <v>37987</v>
      </c>
      <c r="E2770" s="1" t="s">
        <v>2999</v>
      </c>
      <c r="F2770" s="1" t="s">
        <v>13</v>
      </c>
    </row>
    <row r="2771" spans="1:6" ht="30" customHeight="1" x14ac:dyDescent="0.25">
      <c r="A2771" s="1" t="s">
        <v>5630</v>
      </c>
      <c r="B2771" s="1" t="str">
        <f>"9780826168368"</f>
        <v>9780826168368</v>
      </c>
      <c r="C2771" s="1" t="s">
        <v>2339</v>
      </c>
      <c r="D2771" s="2">
        <v>35065</v>
      </c>
      <c r="E2771" s="1" t="s">
        <v>5631</v>
      </c>
      <c r="F2771" s="1" t="s">
        <v>30</v>
      </c>
    </row>
    <row r="2772" spans="1:6" ht="30" customHeight="1" x14ac:dyDescent="0.25">
      <c r="A2772" s="1" t="s">
        <v>5632</v>
      </c>
      <c r="B2772" s="1" t="str">
        <f>"9780826128751"</f>
        <v>9780826128751</v>
      </c>
      <c r="C2772" s="1" t="s">
        <v>2339</v>
      </c>
      <c r="D2772" s="2">
        <v>39580</v>
      </c>
      <c r="E2772" s="1" t="s">
        <v>5633</v>
      </c>
      <c r="F2772" s="1" t="s">
        <v>13</v>
      </c>
    </row>
    <row r="2773" spans="1:6" ht="30" customHeight="1" x14ac:dyDescent="0.25">
      <c r="A2773" s="1" t="s">
        <v>5634</v>
      </c>
      <c r="B2773" s="1" t="str">
        <f>"9780826197559"</f>
        <v>9780826197559</v>
      </c>
      <c r="C2773" s="1" t="s">
        <v>2339</v>
      </c>
      <c r="D2773" s="2">
        <v>38285</v>
      </c>
      <c r="E2773" s="1" t="s">
        <v>5635</v>
      </c>
      <c r="F2773" s="1" t="s">
        <v>95</v>
      </c>
    </row>
    <row r="2774" spans="1:6" ht="30" customHeight="1" x14ac:dyDescent="0.25">
      <c r="A2774" s="1" t="s">
        <v>5636</v>
      </c>
      <c r="B2774" s="1" t="str">
        <f>"9780826117335"</f>
        <v>9780826117335</v>
      </c>
      <c r="C2774" s="1" t="s">
        <v>2339</v>
      </c>
      <c r="D2774" s="2">
        <v>39706</v>
      </c>
      <c r="E2774" s="1" t="s">
        <v>5637</v>
      </c>
      <c r="F2774" s="1" t="s">
        <v>126</v>
      </c>
    </row>
    <row r="2775" spans="1:6" ht="30" customHeight="1" x14ac:dyDescent="0.25">
      <c r="A2775" s="1" t="s">
        <v>5638</v>
      </c>
      <c r="B2775" s="1" t="str">
        <f>"9780826126542"</f>
        <v>9780826126542</v>
      </c>
      <c r="C2775" s="1" t="s">
        <v>2339</v>
      </c>
      <c r="D2775" s="2">
        <v>37987</v>
      </c>
      <c r="E2775" s="1" t="s">
        <v>5639</v>
      </c>
      <c r="F2775" s="1" t="s">
        <v>87</v>
      </c>
    </row>
    <row r="2776" spans="1:6" ht="30" customHeight="1" x14ac:dyDescent="0.25">
      <c r="A2776" s="1" t="s">
        <v>5640</v>
      </c>
      <c r="B2776" s="1" t="str">
        <f>"9780826198037"</f>
        <v>9780826198037</v>
      </c>
      <c r="C2776" s="1" t="s">
        <v>2339</v>
      </c>
      <c r="D2776" s="2">
        <v>38117</v>
      </c>
      <c r="E2776" s="1" t="s">
        <v>5641</v>
      </c>
      <c r="F2776" s="1" t="s">
        <v>126</v>
      </c>
    </row>
    <row r="2777" spans="1:6" ht="30" customHeight="1" x14ac:dyDescent="0.25">
      <c r="A2777" s="1" t="s">
        <v>5642</v>
      </c>
      <c r="B2777" s="1" t="str">
        <f>"9780826119261"</f>
        <v>9780826119261</v>
      </c>
      <c r="C2777" s="1" t="s">
        <v>2339</v>
      </c>
      <c r="D2777" s="2">
        <v>37740</v>
      </c>
      <c r="E2777" s="1" t="s">
        <v>5643</v>
      </c>
      <c r="F2777" s="1" t="s">
        <v>33</v>
      </c>
    </row>
    <row r="2778" spans="1:6" ht="30" customHeight="1" x14ac:dyDescent="0.25">
      <c r="A2778" s="1" t="s">
        <v>5644</v>
      </c>
      <c r="B2778" s="1" t="str">
        <f>"9780826117519"</f>
        <v>9780826117519</v>
      </c>
      <c r="C2778" s="1" t="s">
        <v>2339</v>
      </c>
      <c r="D2778" s="2">
        <v>40148</v>
      </c>
      <c r="E2778" s="1" t="s">
        <v>5645</v>
      </c>
      <c r="F2778" s="1" t="s">
        <v>95</v>
      </c>
    </row>
    <row r="2779" spans="1:6" ht="30" customHeight="1" x14ac:dyDescent="0.25">
      <c r="A2779" s="1" t="s">
        <v>5646</v>
      </c>
      <c r="B2779" s="1" t="str">
        <f>"9780826122698"</f>
        <v>9780826122698</v>
      </c>
      <c r="C2779" s="1" t="s">
        <v>2339</v>
      </c>
      <c r="D2779" s="2">
        <v>39814</v>
      </c>
      <c r="E2779" s="1" t="s">
        <v>5647</v>
      </c>
      <c r="F2779" s="1" t="s">
        <v>13</v>
      </c>
    </row>
    <row r="2780" spans="1:6" ht="30" customHeight="1" x14ac:dyDescent="0.25">
      <c r="A2780" s="1" t="s">
        <v>5648</v>
      </c>
      <c r="B2780" s="1" t="str">
        <f>"9780826103352"</f>
        <v>9780826103352</v>
      </c>
      <c r="C2780" s="1" t="s">
        <v>2339</v>
      </c>
      <c r="D2780" s="2">
        <v>38954</v>
      </c>
      <c r="E2780" s="1" t="s">
        <v>5649</v>
      </c>
      <c r="F2780" s="1" t="s">
        <v>599</v>
      </c>
    </row>
    <row r="2781" spans="1:6" ht="30" customHeight="1" x14ac:dyDescent="0.25">
      <c r="A2781" s="1" t="s">
        <v>5650</v>
      </c>
      <c r="B2781" s="1" t="str">
        <f>"9780826141293"</f>
        <v>9780826141293</v>
      </c>
      <c r="C2781" s="1" t="s">
        <v>2339</v>
      </c>
      <c r="D2781" s="2">
        <v>38642</v>
      </c>
      <c r="E2781" s="1" t="s">
        <v>5651</v>
      </c>
      <c r="F2781" s="1" t="s">
        <v>126</v>
      </c>
    </row>
    <row r="2782" spans="1:6" ht="30" customHeight="1" x14ac:dyDescent="0.25">
      <c r="A2782" s="1" t="s">
        <v>5652</v>
      </c>
      <c r="B2782" s="1" t="str">
        <f>"9780826119766"</f>
        <v>9780826119766</v>
      </c>
      <c r="C2782" s="1" t="s">
        <v>2339</v>
      </c>
      <c r="D2782" s="2">
        <v>37747</v>
      </c>
      <c r="E2782" s="1" t="s">
        <v>5653</v>
      </c>
      <c r="F2782" s="1" t="s">
        <v>30</v>
      </c>
    </row>
    <row r="2783" spans="1:6" ht="30" customHeight="1" x14ac:dyDescent="0.25">
      <c r="A2783" s="1" t="s">
        <v>5654</v>
      </c>
      <c r="B2783" s="1" t="str">
        <f>"9780826148025"</f>
        <v>9780826148025</v>
      </c>
      <c r="C2783" s="1" t="s">
        <v>2339</v>
      </c>
      <c r="D2783" s="2">
        <v>37560</v>
      </c>
      <c r="E2783" s="1" t="s">
        <v>5655</v>
      </c>
      <c r="F2783" s="1" t="s">
        <v>70</v>
      </c>
    </row>
    <row r="2784" spans="1:6" ht="30" customHeight="1" x14ac:dyDescent="0.25">
      <c r="A2784" s="1" t="s">
        <v>5656</v>
      </c>
      <c r="B2784" s="1" t="str">
        <f>"9780826196835"</f>
        <v>9780826196835</v>
      </c>
      <c r="C2784" s="1" t="s">
        <v>2339</v>
      </c>
      <c r="D2784" s="2">
        <v>35065</v>
      </c>
      <c r="E2784" s="1" t="s">
        <v>5657</v>
      </c>
      <c r="F2784" s="1" t="s">
        <v>13</v>
      </c>
    </row>
    <row r="2785" spans="1:6" ht="30" customHeight="1" x14ac:dyDescent="0.25">
      <c r="A2785" s="1" t="s">
        <v>5658</v>
      </c>
      <c r="B2785" s="1" t="str">
        <f>"9780826197993"</f>
        <v>9780826197993</v>
      </c>
      <c r="C2785" s="1" t="s">
        <v>2339</v>
      </c>
      <c r="D2785" s="2">
        <v>37257</v>
      </c>
      <c r="E2785" s="1" t="s">
        <v>5618</v>
      </c>
      <c r="F2785" s="1" t="s">
        <v>13</v>
      </c>
    </row>
    <row r="2786" spans="1:6" ht="30" customHeight="1" x14ac:dyDescent="0.25">
      <c r="A2786" s="1" t="s">
        <v>5659</v>
      </c>
      <c r="B2786" s="1" t="str">
        <f>"9780826141385"</f>
        <v>9780826141385</v>
      </c>
      <c r="C2786" s="1" t="s">
        <v>2339</v>
      </c>
      <c r="D2786" s="2">
        <v>38943</v>
      </c>
      <c r="E2786" s="1" t="s">
        <v>5660</v>
      </c>
      <c r="F2786" s="1" t="s">
        <v>126</v>
      </c>
    </row>
    <row r="2787" spans="1:6" ht="30" customHeight="1" x14ac:dyDescent="0.25">
      <c r="A2787" s="1" t="s">
        <v>5661</v>
      </c>
      <c r="B2787" s="1" t="str">
        <f>"9780826197436"</f>
        <v>9780826197436</v>
      </c>
      <c r="C2787" s="1" t="s">
        <v>2339</v>
      </c>
      <c r="D2787" s="2">
        <v>37560</v>
      </c>
      <c r="E2787" s="1" t="s">
        <v>5662</v>
      </c>
      <c r="F2787" s="1" t="s">
        <v>33</v>
      </c>
    </row>
    <row r="2788" spans="1:6" ht="30" customHeight="1" x14ac:dyDescent="0.25">
      <c r="A2788" s="1" t="s">
        <v>5663</v>
      </c>
      <c r="B2788" s="1" t="str">
        <f>"9780826119353"</f>
        <v>9780826119353</v>
      </c>
      <c r="C2788" s="1" t="s">
        <v>2339</v>
      </c>
      <c r="D2788" s="2">
        <v>37771</v>
      </c>
      <c r="E2788" s="1" t="s">
        <v>5664</v>
      </c>
      <c r="F2788" s="1" t="s">
        <v>132</v>
      </c>
    </row>
    <row r="2789" spans="1:6" ht="30" customHeight="1" x14ac:dyDescent="0.25">
      <c r="A2789" s="1" t="s">
        <v>5665</v>
      </c>
      <c r="B2789" s="1" t="str">
        <f>"9780826116093"</f>
        <v>9780826116093</v>
      </c>
      <c r="C2789" s="1" t="s">
        <v>2339</v>
      </c>
      <c r="D2789" s="2">
        <v>37209</v>
      </c>
      <c r="E2789" s="1" t="s">
        <v>5666</v>
      </c>
      <c r="F2789" s="1" t="s">
        <v>304</v>
      </c>
    </row>
    <row r="2790" spans="1:6" ht="30" customHeight="1" x14ac:dyDescent="0.25">
      <c r="A2790" s="1" t="s">
        <v>5667</v>
      </c>
      <c r="B2790" s="1" t="str">
        <f>"9780826196941"</f>
        <v>9780826196941</v>
      </c>
      <c r="C2790" s="1" t="s">
        <v>2339</v>
      </c>
      <c r="D2790" s="2">
        <v>35854</v>
      </c>
      <c r="E2790" s="1" t="s">
        <v>5668</v>
      </c>
      <c r="F2790" s="1" t="s">
        <v>13</v>
      </c>
    </row>
    <row r="2791" spans="1:6" ht="30" customHeight="1" x14ac:dyDescent="0.25">
      <c r="A2791" s="1" t="s">
        <v>5669</v>
      </c>
      <c r="B2791" s="1" t="str">
        <f>"9780826116086"</f>
        <v>9780826116086</v>
      </c>
      <c r="C2791" s="1" t="s">
        <v>2339</v>
      </c>
      <c r="D2791" s="2">
        <v>37253</v>
      </c>
      <c r="E2791" s="1" t="s">
        <v>5670</v>
      </c>
      <c r="F2791" s="1" t="s">
        <v>13</v>
      </c>
    </row>
    <row r="2792" spans="1:6" ht="30" customHeight="1" x14ac:dyDescent="0.25">
      <c r="A2792" s="1" t="s">
        <v>5671</v>
      </c>
      <c r="B2792" s="1" t="str">
        <f>"9780826116079"</f>
        <v>9780826116079</v>
      </c>
      <c r="C2792" s="1" t="s">
        <v>2339</v>
      </c>
      <c r="D2792" s="2">
        <v>36495</v>
      </c>
      <c r="E2792" s="1" t="s">
        <v>5672</v>
      </c>
      <c r="F2792" s="1" t="s">
        <v>126</v>
      </c>
    </row>
    <row r="2793" spans="1:6" ht="30" customHeight="1" x14ac:dyDescent="0.25">
      <c r="A2793" s="1" t="s">
        <v>5673</v>
      </c>
      <c r="B2793" s="1" t="str">
        <f>"9780826116734"</f>
        <v>9780826116734</v>
      </c>
      <c r="C2793" s="1" t="s">
        <v>2339</v>
      </c>
      <c r="D2793" s="2">
        <v>36861</v>
      </c>
      <c r="E2793" s="1" t="s">
        <v>5674</v>
      </c>
      <c r="F2793" s="1" t="s">
        <v>13</v>
      </c>
    </row>
    <row r="2794" spans="1:6" ht="30" customHeight="1" x14ac:dyDescent="0.25">
      <c r="A2794" s="1" t="s">
        <v>5675</v>
      </c>
      <c r="B2794" s="1" t="str">
        <f>"9780826196996"</f>
        <v>9780826196996</v>
      </c>
      <c r="C2794" s="1" t="s">
        <v>2339</v>
      </c>
      <c r="D2794" s="2">
        <v>36269</v>
      </c>
      <c r="E2794" s="1" t="s">
        <v>5676</v>
      </c>
      <c r="F2794" s="1" t="s">
        <v>95</v>
      </c>
    </row>
    <row r="2795" spans="1:6" ht="30" customHeight="1" x14ac:dyDescent="0.25">
      <c r="A2795" s="1" t="s">
        <v>5677</v>
      </c>
      <c r="B2795" s="1" t="str">
        <f>"9780826155825"</f>
        <v>9780826155825</v>
      </c>
      <c r="C2795" s="1" t="s">
        <v>2339</v>
      </c>
      <c r="D2795" s="2">
        <v>38188</v>
      </c>
      <c r="E2795" s="1" t="s">
        <v>5678</v>
      </c>
      <c r="F2795" s="1" t="s">
        <v>158</v>
      </c>
    </row>
    <row r="2796" spans="1:6" ht="30" customHeight="1" x14ac:dyDescent="0.25">
      <c r="A2796" s="1" t="s">
        <v>5679</v>
      </c>
      <c r="B2796" s="1" t="str">
        <f>"9780826116642"</f>
        <v>9780826116642</v>
      </c>
      <c r="C2796" s="1" t="s">
        <v>2339</v>
      </c>
      <c r="D2796" s="2">
        <v>36815</v>
      </c>
      <c r="E2796" s="1" t="s">
        <v>5680</v>
      </c>
      <c r="F2796" s="1" t="s">
        <v>973</v>
      </c>
    </row>
    <row r="2797" spans="1:6" ht="30" customHeight="1" x14ac:dyDescent="0.25">
      <c r="A2797" s="1" t="s">
        <v>5681</v>
      </c>
      <c r="B2797" s="1" t="str">
        <f>"9780826116130"</f>
        <v>9780826116130</v>
      </c>
      <c r="C2797" s="1" t="s">
        <v>2339</v>
      </c>
      <c r="D2797" s="2">
        <v>37956</v>
      </c>
      <c r="E2797" s="1" t="s">
        <v>5682</v>
      </c>
      <c r="F2797" s="1" t="s">
        <v>126</v>
      </c>
    </row>
    <row r="2798" spans="1:6" ht="30" customHeight="1" x14ac:dyDescent="0.25">
      <c r="A2798" s="1" t="s">
        <v>5683</v>
      </c>
      <c r="B2798" s="1" t="str">
        <f>"9780826117960"</f>
        <v>9780826117960</v>
      </c>
      <c r="C2798" s="1" t="s">
        <v>2339</v>
      </c>
      <c r="D2798" s="2">
        <v>37648</v>
      </c>
      <c r="E2798" s="1" t="s">
        <v>5684</v>
      </c>
      <c r="F2798" s="1" t="s">
        <v>126</v>
      </c>
    </row>
    <row r="2799" spans="1:6" ht="30" customHeight="1" x14ac:dyDescent="0.25">
      <c r="A2799" s="1" t="s">
        <v>5685</v>
      </c>
      <c r="B2799" s="1" t="str">
        <f>"9780826123077"</f>
        <v>9780826123077</v>
      </c>
      <c r="C2799" s="1" t="s">
        <v>2339</v>
      </c>
      <c r="D2799" s="2">
        <v>37350</v>
      </c>
      <c r="E2799" s="1" t="s">
        <v>5686</v>
      </c>
      <c r="F2799" s="1" t="s">
        <v>13</v>
      </c>
    </row>
    <row r="2800" spans="1:6" ht="30" customHeight="1" x14ac:dyDescent="0.25">
      <c r="A2800" s="1" t="s">
        <v>5687</v>
      </c>
      <c r="B2800" s="1" t="str">
        <f>"9780826133342"</f>
        <v>9780826133342</v>
      </c>
      <c r="C2800" s="1" t="s">
        <v>2339</v>
      </c>
      <c r="D2800" s="2">
        <v>39674</v>
      </c>
      <c r="E2800" s="1" t="s">
        <v>5688</v>
      </c>
      <c r="F2800" s="1" t="s">
        <v>126</v>
      </c>
    </row>
    <row r="2801" spans="1:6" ht="30" customHeight="1" x14ac:dyDescent="0.25">
      <c r="A2801" s="1" t="s">
        <v>5689</v>
      </c>
      <c r="B2801" s="1" t="str">
        <f>"9780826197757"</f>
        <v>9780826197757</v>
      </c>
      <c r="C2801" s="1" t="s">
        <v>2339</v>
      </c>
      <c r="D2801" s="2">
        <v>32096</v>
      </c>
      <c r="E2801" s="1" t="s">
        <v>5690</v>
      </c>
      <c r="F2801" s="1" t="s">
        <v>13</v>
      </c>
    </row>
    <row r="2802" spans="1:6" ht="30" customHeight="1" x14ac:dyDescent="0.25">
      <c r="A2802" s="1" t="s">
        <v>5691</v>
      </c>
      <c r="B2802" s="1" t="str">
        <f>"9780826127075"</f>
        <v>9780826127075</v>
      </c>
      <c r="C2802" s="1" t="s">
        <v>2339</v>
      </c>
      <c r="D2802" s="2">
        <v>38327</v>
      </c>
      <c r="E2802" s="1" t="s">
        <v>5692</v>
      </c>
      <c r="F2802" s="1" t="s">
        <v>13</v>
      </c>
    </row>
    <row r="2803" spans="1:6" ht="30" customHeight="1" x14ac:dyDescent="0.25">
      <c r="A2803" s="1" t="s">
        <v>5693</v>
      </c>
      <c r="B2803" s="1" t="str">
        <f>"9780826198440"</f>
        <v>9780826198440</v>
      </c>
      <c r="C2803" s="1" t="s">
        <v>2339</v>
      </c>
      <c r="D2803" s="2">
        <v>37956</v>
      </c>
      <c r="E2803" s="1" t="s">
        <v>5694</v>
      </c>
      <c r="F2803" s="1" t="s">
        <v>13</v>
      </c>
    </row>
    <row r="2804" spans="1:6" ht="30" customHeight="1" x14ac:dyDescent="0.25">
      <c r="A2804" s="1" t="s">
        <v>5695</v>
      </c>
      <c r="B2804" s="1" t="str">
        <f>"9780826103550"</f>
        <v>9780826103550</v>
      </c>
      <c r="C2804" s="1" t="s">
        <v>2339</v>
      </c>
      <c r="D2804" s="2">
        <v>39622</v>
      </c>
      <c r="E2804" s="1" t="s">
        <v>5696</v>
      </c>
      <c r="F2804" s="1" t="s">
        <v>5697</v>
      </c>
    </row>
    <row r="2805" spans="1:6" ht="30" customHeight="1" x14ac:dyDescent="0.25">
      <c r="A2805" s="1" t="s">
        <v>5698</v>
      </c>
      <c r="B2805" s="1" t="str">
        <f>"9780826117397"</f>
        <v>9780826117397</v>
      </c>
      <c r="C2805" s="1" t="s">
        <v>2339</v>
      </c>
      <c r="D2805" s="2">
        <v>38674</v>
      </c>
      <c r="E2805" s="1" t="s">
        <v>5699</v>
      </c>
      <c r="F2805" s="1" t="s">
        <v>599</v>
      </c>
    </row>
    <row r="2806" spans="1:6" ht="30" customHeight="1" x14ac:dyDescent="0.25">
      <c r="A2806" s="1" t="s">
        <v>5700</v>
      </c>
      <c r="B2806" s="1" t="str">
        <f>"9780826159946"</f>
        <v>9780826159946</v>
      </c>
      <c r="C2806" s="1" t="s">
        <v>2339</v>
      </c>
      <c r="D2806" s="2">
        <v>39556</v>
      </c>
      <c r="E2806" s="1" t="s">
        <v>5701</v>
      </c>
      <c r="F2806" s="1" t="s">
        <v>13</v>
      </c>
    </row>
    <row r="2807" spans="1:6" ht="30" customHeight="1" x14ac:dyDescent="0.25">
      <c r="A2807" s="1" t="s">
        <v>5702</v>
      </c>
      <c r="B2807" s="1" t="str">
        <f>"9780826197573"</f>
        <v>9780826197573</v>
      </c>
      <c r="C2807" s="1" t="s">
        <v>2339</v>
      </c>
      <c r="D2807" s="2">
        <v>38460</v>
      </c>
      <c r="E2807" s="1" t="s">
        <v>5703</v>
      </c>
      <c r="F2807" s="1" t="s">
        <v>132</v>
      </c>
    </row>
    <row r="2808" spans="1:6" ht="30" customHeight="1" x14ac:dyDescent="0.25">
      <c r="A2808" s="1" t="s">
        <v>5704</v>
      </c>
      <c r="B2808" s="1" t="str">
        <f>"9780826101150"</f>
        <v>9780826101150</v>
      </c>
      <c r="C2808" s="1" t="s">
        <v>2339</v>
      </c>
      <c r="D2808" s="2">
        <v>39631</v>
      </c>
      <c r="E2808" s="1" t="s">
        <v>5705</v>
      </c>
      <c r="F2808" s="1" t="s">
        <v>82</v>
      </c>
    </row>
    <row r="2809" spans="1:6" ht="30" customHeight="1" x14ac:dyDescent="0.25">
      <c r="A2809" s="1" t="s">
        <v>5706</v>
      </c>
      <c r="B2809" s="1" t="str">
        <f>"9780826125149"</f>
        <v>9780826125149</v>
      </c>
      <c r="C2809" s="1" t="s">
        <v>2339</v>
      </c>
      <c r="D2809" s="2">
        <v>38295</v>
      </c>
      <c r="E2809" s="1" t="s">
        <v>5707</v>
      </c>
      <c r="F2809" s="1" t="s">
        <v>126</v>
      </c>
    </row>
    <row r="2810" spans="1:6" ht="30" customHeight="1" x14ac:dyDescent="0.25">
      <c r="A2810" s="1" t="s">
        <v>5708</v>
      </c>
      <c r="B2810" s="1" t="str">
        <f>"9780826118158"</f>
        <v>9780826118158</v>
      </c>
      <c r="C2810" s="1" t="s">
        <v>2339</v>
      </c>
      <c r="D2810" s="2">
        <v>37818</v>
      </c>
      <c r="E2810" s="1" t="s">
        <v>5709</v>
      </c>
      <c r="F2810" s="1" t="s">
        <v>176</v>
      </c>
    </row>
    <row r="2811" spans="1:6" ht="30" customHeight="1" x14ac:dyDescent="0.25">
      <c r="A2811" s="1" t="s">
        <v>5710</v>
      </c>
      <c r="B2811" s="1" t="str">
        <f>"9780826197146"</f>
        <v>9780826197146</v>
      </c>
      <c r="C2811" s="1" t="s">
        <v>2339</v>
      </c>
      <c r="D2811" s="2">
        <v>36860</v>
      </c>
      <c r="E2811" s="1" t="s">
        <v>5711</v>
      </c>
      <c r="F2811" s="1" t="s">
        <v>95</v>
      </c>
    </row>
    <row r="2812" spans="1:6" ht="30" customHeight="1" x14ac:dyDescent="0.25">
      <c r="A2812" s="1" t="s">
        <v>5712</v>
      </c>
      <c r="B2812" s="1" t="str">
        <f>"9780826197245"</f>
        <v>9780826197245</v>
      </c>
      <c r="C2812" s="1" t="s">
        <v>2339</v>
      </c>
      <c r="D2812" s="2">
        <v>37773</v>
      </c>
      <c r="E2812" s="1" t="s">
        <v>5713</v>
      </c>
      <c r="F2812" s="1" t="s">
        <v>87</v>
      </c>
    </row>
    <row r="2813" spans="1:6" ht="30" customHeight="1" x14ac:dyDescent="0.25">
      <c r="A2813" s="1" t="s">
        <v>5714</v>
      </c>
      <c r="B2813" s="1" t="str">
        <f>"9780826118837"</f>
        <v>9780826118837</v>
      </c>
      <c r="C2813" s="1" t="s">
        <v>2339</v>
      </c>
      <c r="D2813" s="2">
        <v>37844</v>
      </c>
      <c r="E2813" s="1" t="s">
        <v>5715</v>
      </c>
      <c r="F2813" s="1" t="s">
        <v>158</v>
      </c>
    </row>
    <row r="2814" spans="1:6" ht="30" customHeight="1" x14ac:dyDescent="0.25">
      <c r="A2814" s="1" t="s">
        <v>5716</v>
      </c>
      <c r="B2814" s="1" t="str">
        <f>"9780826144720"</f>
        <v>9780826144720</v>
      </c>
      <c r="C2814" s="1" t="s">
        <v>2339</v>
      </c>
      <c r="D2814" s="2">
        <v>39783</v>
      </c>
      <c r="E2814" s="1" t="s">
        <v>5717</v>
      </c>
      <c r="F2814" s="1" t="s">
        <v>13</v>
      </c>
    </row>
    <row r="2815" spans="1:6" ht="30" customHeight="1" x14ac:dyDescent="0.25">
      <c r="A2815" s="1" t="s">
        <v>5718</v>
      </c>
      <c r="B2815" s="1" t="str">
        <f>"9780826120335"</f>
        <v>9780826120335</v>
      </c>
      <c r="C2815" s="1" t="s">
        <v>2339</v>
      </c>
      <c r="D2815" s="2">
        <v>37622</v>
      </c>
      <c r="E2815" s="1" t="s">
        <v>5719</v>
      </c>
      <c r="F2815" s="1" t="s">
        <v>13</v>
      </c>
    </row>
    <row r="2816" spans="1:6" ht="30" customHeight="1" x14ac:dyDescent="0.25">
      <c r="A2816" s="1" t="s">
        <v>5720</v>
      </c>
      <c r="B2816" s="1" t="str">
        <f>"9780826132567"</f>
        <v>9780826132567</v>
      </c>
      <c r="C2816" s="1" t="s">
        <v>2339</v>
      </c>
      <c r="D2816" s="2">
        <v>38903</v>
      </c>
      <c r="E2816" s="1" t="s">
        <v>5721</v>
      </c>
      <c r="F2816" s="1" t="s">
        <v>158</v>
      </c>
    </row>
    <row r="2817" spans="1:6" ht="30" customHeight="1" x14ac:dyDescent="0.25">
      <c r="A2817" s="1" t="s">
        <v>5722</v>
      </c>
      <c r="B2817" s="1" t="str">
        <f>"9780826104816"</f>
        <v>9780826104816</v>
      </c>
      <c r="C2817" s="1" t="s">
        <v>2339</v>
      </c>
      <c r="D2817" s="2">
        <v>39029</v>
      </c>
      <c r="E2817" s="1" t="s">
        <v>5723</v>
      </c>
      <c r="F2817" s="1" t="s">
        <v>126</v>
      </c>
    </row>
    <row r="2818" spans="1:6" ht="30" customHeight="1" x14ac:dyDescent="0.25">
      <c r="A2818" s="1" t="s">
        <v>5724</v>
      </c>
      <c r="B2818" s="1" t="str">
        <f>"9780826124432"</f>
        <v>9780826124432</v>
      </c>
      <c r="C2818" s="1" t="s">
        <v>2339</v>
      </c>
      <c r="D2818" s="2">
        <v>37676</v>
      </c>
      <c r="E2818" s="1" t="s">
        <v>5723</v>
      </c>
      <c r="F2818" s="1" t="s">
        <v>126</v>
      </c>
    </row>
    <row r="2819" spans="1:6" ht="30" customHeight="1" x14ac:dyDescent="0.25">
      <c r="A2819" s="1" t="s">
        <v>5725</v>
      </c>
      <c r="B2819" s="1" t="str">
        <f>"9780826103390"</f>
        <v>9780826103390</v>
      </c>
      <c r="C2819" s="1" t="s">
        <v>2339</v>
      </c>
      <c r="D2819" s="2">
        <v>38718</v>
      </c>
      <c r="E2819" s="1" t="s">
        <v>5726</v>
      </c>
      <c r="F2819" s="1" t="s">
        <v>342</v>
      </c>
    </row>
    <row r="2820" spans="1:6" ht="30" customHeight="1" x14ac:dyDescent="0.25">
      <c r="A2820" s="1" t="s">
        <v>5727</v>
      </c>
      <c r="B2820" s="1" t="str">
        <f>"9780826104915"</f>
        <v>9780826104915</v>
      </c>
      <c r="C2820" s="1" t="s">
        <v>2339</v>
      </c>
      <c r="D2820" s="2">
        <v>38840</v>
      </c>
      <c r="E2820" s="1" t="s">
        <v>5728</v>
      </c>
      <c r="F2820" s="1" t="s">
        <v>30</v>
      </c>
    </row>
    <row r="2821" spans="1:6" ht="30" customHeight="1" x14ac:dyDescent="0.25">
      <c r="A2821" s="1" t="s">
        <v>5729</v>
      </c>
      <c r="B2821" s="1" t="str">
        <f>"9780826117410"</f>
        <v>9780826117410</v>
      </c>
      <c r="C2821" s="1" t="s">
        <v>2339</v>
      </c>
      <c r="D2821" s="2">
        <v>37987</v>
      </c>
      <c r="E2821" s="1" t="s">
        <v>5730</v>
      </c>
      <c r="F2821" s="1" t="s">
        <v>70</v>
      </c>
    </row>
    <row r="2822" spans="1:6" ht="30" customHeight="1" x14ac:dyDescent="0.25">
      <c r="A2822" s="1" t="s">
        <v>5731</v>
      </c>
      <c r="B2822" s="1" t="str">
        <f>"9780826193322"</f>
        <v>9780826193322</v>
      </c>
      <c r="C2822" s="1" t="s">
        <v>2339</v>
      </c>
      <c r="D2822" s="2">
        <v>35065</v>
      </c>
      <c r="E2822" s="1" t="s">
        <v>5732</v>
      </c>
      <c r="F2822" s="1" t="s">
        <v>13</v>
      </c>
    </row>
    <row r="2823" spans="1:6" ht="30" customHeight="1" x14ac:dyDescent="0.25">
      <c r="A2823" s="1" t="s">
        <v>5733</v>
      </c>
      <c r="B2823" s="1" t="str">
        <f>"9780826197184"</f>
        <v>9780826197184</v>
      </c>
      <c r="C2823" s="1" t="s">
        <v>2339</v>
      </c>
      <c r="D2823" s="2">
        <v>37125</v>
      </c>
      <c r="E2823" s="1" t="s">
        <v>5732</v>
      </c>
      <c r="F2823" s="1" t="s">
        <v>13</v>
      </c>
    </row>
    <row r="2824" spans="1:6" ht="30" customHeight="1" x14ac:dyDescent="0.25">
      <c r="A2824" s="1" t="s">
        <v>5734</v>
      </c>
      <c r="B2824" s="1" t="str">
        <f>"9780826197924"</f>
        <v>9780826197924</v>
      </c>
      <c r="C2824" s="1" t="s">
        <v>2339</v>
      </c>
      <c r="D2824" s="2">
        <v>33923</v>
      </c>
      <c r="E2824" s="1" t="s">
        <v>5732</v>
      </c>
      <c r="F2824" s="1" t="s">
        <v>13</v>
      </c>
    </row>
    <row r="2825" spans="1:6" ht="30" customHeight="1" x14ac:dyDescent="0.25">
      <c r="A2825" s="1" t="s">
        <v>5735</v>
      </c>
      <c r="B2825" s="1" t="str">
        <f>"9780826116185"</f>
        <v>9780826116185</v>
      </c>
      <c r="C2825" s="1" t="s">
        <v>2339</v>
      </c>
      <c r="D2825" s="2">
        <v>37226</v>
      </c>
      <c r="E2825" s="1" t="s">
        <v>5736</v>
      </c>
      <c r="F2825" s="1" t="s">
        <v>126</v>
      </c>
    </row>
    <row r="2826" spans="1:6" ht="30" customHeight="1" x14ac:dyDescent="0.25">
      <c r="A2826" s="1" t="s">
        <v>5737</v>
      </c>
      <c r="B2826" s="1" t="str">
        <f>"9780826197986"</f>
        <v>9780826197986</v>
      </c>
      <c r="C2826" s="1" t="s">
        <v>2339</v>
      </c>
      <c r="D2826" s="2">
        <v>37109</v>
      </c>
      <c r="E2826" s="1" t="s">
        <v>5738</v>
      </c>
      <c r="F2826" s="1" t="s">
        <v>13</v>
      </c>
    </row>
    <row r="2827" spans="1:6" ht="30" customHeight="1" x14ac:dyDescent="0.25">
      <c r="A2827" s="1" t="s">
        <v>5739</v>
      </c>
      <c r="B2827" s="1" t="str">
        <f>"9780826103253"</f>
        <v>9780826103253</v>
      </c>
      <c r="C2827" s="1" t="s">
        <v>2339</v>
      </c>
      <c r="D2827" s="2">
        <v>39014</v>
      </c>
      <c r="E2827" s="1" t="s">
        <v>5740</v>
      </c>
      <c r="F2827" s="1" t="s">
        <v>126</v>
      </c>
    </row>
    <row r="2828" spans="1:6" ht="30" customHeight="1" x14ac:dyDescent="0.25">
      <c r="A2828" s="1" t="s">
        <v>5741</v>
      </c>
      <c r="B2828" s="1" t="str">
        <f>"9780826132369"</f>
        <v>9780826132369</v>
      </c>
      <c r="C2828" s="1" t="s">
        <v>2339</v>
      </c>
      <c r="D2828" s="2">
        <v>38353</v>
      </c>
      <c r="E2828" s="1" t="s">
        <v>5742</v>
      </c>
      <c r="F2828" s="1" t="s">
        <v>126</v>
      </c>
    </row>
    <row r="2829" spans="1:6" ht="30" customHeight="1" x14ac:dyDescent="0.25">
      <c r="A2829" s="1" t="s">
        <v>5743</v>
      </c>
      <c r="B2829" s="1" t="str">
        <f>"9780826117731"</f>
        <v>9780826117731</v>
      </c>
      <c r="C2829" s="1" t="s">
        <v>2339</v>
      </c>
      <c r="D2829" s="2">
        <v>38561</v>
      </c>
      <c r="E2829" s="1" t="s">
        <v>5744</v>
      </c>
      <c r="F2829" s="1" t="s">
        <v>126</v>
      </c>
    </row>
    <row r="2830" spans="1:6" ht="30" customHeight="1" x14ac:dyDescent="0.25">
      <c r="A2830" s="1" t="s">
        <v>5745</v>
      </c>
      <c r="B2830" s="1" t="str">
        <f>"9780826120458"</f>
        <v>9780826120458</v>
      </c>
      <c r="C2830" s="1" t="s">
        <v>2339</v>
      </c>
      <c r="D2830" s="2">
        <v>38042</v>
      </c>
      <c r="E2830" s="1" t="s">
        <v>5746</v>
      </c>
      <c r="F2830" s="1" t="s">
        <v>126</v>
      </c>
    </row>
    <row r="2831" spans="1:6" ht="30" customHeight="1" x14ac:dyDescent="0.25">
      <c r="A2831" s="1" t="s">
        <v>5747</v>
      </c>
      <c r="B2831" s="1" t="str">
        <f>"9780826165060"</f>
        <v>9780826165060</v>
      </c>
      <c r="C2831" s="1" t="s">
        <v>2339</v>
      </c>
      <c r="D2831" s="2">
        <v>34264</v>
      </c>
      <c r="E2831" s="1" t="s">
        <v>5748</v>
      </c>
      <c r="F2831" s="1" t="s">
        <v>599</v>
      </c>
    </row>
    <row r="2832" spans="1:6" ht="30" customHeight="1" x14ac:dyDescent="0.25">
      <c r="A2832" s="1" t="s">
        <v>5749</v>
      </c>
      <c r="B2832" s="1" t="str">
        <f>"9780826164872"</f>
        <v>9780826164872</v>
      </c>
      <c r="C2832" s="1" t="s">
        <v>2339</v>
      </c>
      <c r="D2832" s="2">
        <v>32462</v>
      </c>
      <c r="E2832" s="1" t="s">
        <v>5750</v>
      </c>
      <c r="F2832" s="1" t="s">
        <v>599</v>
      </c>
    </row>
    <row r="2833" spans="1:6" ht="30" customHeight="1" x14ac:dyDescent="0.25">
      <c r="A2833" s="1" t="s">
        <v>5751</v>
      </c>
      <c r="B2833" s="1" t="str">
        <f>"9780826165046"</f>
        <v>9780826165046</v>
      </c>
      <c r="C2833" s="1" t="s">
        <v>2339</v>
      </c>
      <c r="D2833" s="2">
        <v>35744</v>
      </c>
      <c r="E2833" s="1" t="s">
        <v>5752</v>
      </c>
      <c r="F2833" s="1" t="s">
        <v>304</v>
      </c>
    </row>
    <row r="2834" spans="1:6" ht="30" customHeight="1" x14ac:dyDescent="0.25">
      <c r="A2834" s="1" t="s">
        <v>5753</v>
      </c>
      <c r="B2834" s="1" t="str">
        <f>"9780826116727"</f>
        <v>9780826116727</v>
      </c>
      <c r="C2834" s="1" t="s">
        <v>2339</v>
      </c>
      <c r="D2834" s="2">
        <v>36526</v>
      </c>
      <c r="E2834" s="1" t="s">
        <v>5754</v>
      </c>
      <c r="F2834" s="1" t="s">
        <v>301</v>
      </c>
    </row>
    <row r="2835" spans="1:6" ht="30" customHeight="1" x14ac:dyDescent="0.25">
      <c r="A2835" s="1" t="s">
        <v>5755</v>
      </c>
      <c r="B2835" s="1" t="str">
        <f>"9780826142832"</f>
        <v>9780826142832</v>
      </c>
      <c r="C2835" s="1" t="s">
        <v>2339</v>
      </c>
      <c r="D2835" s="2">
        <v>37574</v>
      </c>
      <c r="E2835" s="1" t="s">
        <v>5756</v>
      </c>
      <c r="F2835" s="1" t="s">
        <v>70</v>
      </c>
    </row>
    <row r="2836" spans="1:6" ht="30" customHeight="1" x14ac:dyDescent="0.25">
      <c r="A2836" s="1" t="s">
        <v>5757</v>
      </c>
      <c r="B2836" s="1" t="str">
        <f>"9780826132741"</f>
        <v>9780826132741</v>
      </c>
      <c r="C2836" s="1" t="s">
        <v>2339</v>
      </c>
      <c r="D2836" s="2">
        <v>39783</v>
      </c>
      <c r="E2836" s="1" t="s">
        <v>5758</v>
      </c>
      <c r="F2836" s="1" t="s">
        <v>87</v>
      </c>
    </row>
    <row r="2837" spans="1:6" ht="30" customHeight="1" x14ac:dyDescent="0.25">
      <c r="A2837" s="1" t="s">
        <v>5759</v>
      </c>
      <c r="B2837" s="1" t="str">
        <f>"9780826197665"</f>
        <v>9780826197665</v>
      </c>
      <c r="C2837" s="1" t="s">
        <v>2339</v>
      </c>
      <c r="D2837" s="2">
        <v>38665</v>
      </c>
      <c r="E2837" s="1" t="s">
        <v>5760</v>
      </c>
      <c r="F2837" s="1" t="s">
        <v>148</v>
      </c>
    </row>
    <row r="2838" spans="1:6" ht="30" customHeight="1" x14ac:dyDescent="0.25">
      <c r="A2838" s="1" t="s">
        <v>5761</v>
      </c>
      <c r="B2838" s="1" t="str">
        <f>"9780826197283"</f>
        <v>9780826197283</v>
      </c>
      <c r="C2838" s="1" t="s">
        <v>2339</v>
      </c>
      <c r="D2838" s="2">
        <v>37956</v>
      </c>
      <c r="E2838" s="1" t="s">
        <v>5762</v>
      </c>
      <c r="F2838" s="1" t="s">
        <v>13</v>
      </c>
    </row>
    <row r="2839" spans="1:6" ht="30" customHeight="1" x14ac:dyDescent="0.25">
      <c r="A2839" s="1" t="s">
        <v>5763</v>
      </c>
      <c r="B2839" s="1" t="str">
        <f>"9780826123633"</f>
        <v>9780826123633</v>
      </c>
      <c r="C2839" s="1" t="s">
        <v>2339</v>
      </c>
      <c r="D2839" s="2">
        <v>37525</v>
      </c>
      <c r="E2839" s="1" t="s">
        <v>5764</v>
      </c>
      <c r="F2839" s="1" t="s">
        <v>13</v>
      </c>
    </row>
    <row r="2840" spans="1:6" ht="30" customHeight="1" x14ac:dyDescent="0.25">
      <c r="A2840" s="1" t="s">
        <v>5765</v>
      </c>
      <c r="B2840" s="1" t="str">
        <f>"9780826101174"</f>
        <v>9780826101174</v>
      </c>
      <c r="C2840" s="1" t="s">
        <v>2339</v>
      </c>
      <c r="D2840" s="2">
        <v>39580</v>
      </c>
      <c r="E2840" s="1" t="s">
        <v>5766</v>
      </c>
      <c r="F2840" s="1" t="s">
        <v>13</v>
      </c>
    </row>
    <row r="2841" spans="1:6" ht="30" customHeight="1" x14ac:dyDescent="0.25">
      <c r="A2841" s="1" t="s">
        <v>5767</v>
      </c>
      <c r="B2841" s="1" t="str">
        <f>"9780826122988"</f>
        <v>9780826122988</v>
      </c>
      <c r="C2841" s="1" t="s">
        <v>2339</v>
      </c>
      <c r="D2841" s="2">
        <v>36892</v>
      </c>
      <c r="E2841" s="1" t="s">
        <v>5768</v>
      </c>
      <c r="F2841" s="1" t="s">
        <v>205</v>
      </c>
    </row>
    <row r="2842" spans="1:6" ht="30" customHeight="1" x14ac:dyDescent="0.25">
      <c r="A2842" s="1" t="s">
        <v>5769</v>
      </c>
      <c r="B2842" s="1" t="str">
        <f>"9780826125057"</f>
        <v>9780826125057</v>
      </c>
      <c r="C2842" s="1" t="s">
        <v>2339</v>
      </c>
      <c r="D2842" s="2">
        <v>38936</v>
      </c>
      <c r="E2842" s="1" t="s">
        <v>5770</v>
      </c>
      <c r="F2842" s="1" t="s">
        <v>294</v>
      </c>
    </row>
    <row r="2843" spans="1:6" ht="30" customHeight="1" x14ac:dyDescent="0.25">
      <c r="A2843" s="1" t="s">
        <v>5771</v>
      </c>
      <c r="B2843" s="1" t="str">
        <f>"9780826116222"</f>
        <v>9780826116222</v>
      </c>
      <c r="C2843" s="1" t="s">
        <v>2339</v>
      </c>
      <c r="D2843" s="2">
        <v>37048</v>
      </c>
      <c r="E2843" s="1" t="s">
        <v>5772</v>
      </c>
      <c r="F2843" s="1" t="s">
        <v>126</v>
      </c>
    </row>
    <row r="2844" spans="1:6" ht="30" customHeight="1" x14ac:dyDescent="0.25">
      <c r="A2844" s="1" t="s">
        <v>5773</v>
      </c>
      <c r="B2844" s="1" t="str">
        <f>"9780826115348"</f>
        <v>9780826115348</v>
      </c>
      <c r="C2844" s="1" t="s">
        <v>2339</v>
      </c>
      <c r="D2844" s="2">
        <v>37259</v>
      </c>
      <c r="E2844" s="1" t="s">
        <v>5774</v>
      </c>
      <c r="F2844" s="1" t="s">
        <v>13</v>
      </c>
    </row>
    <row r="2845" spans="1:6" ht="30" customHeight="1" x14ac:dyDescent="0.25">
      <c r="A2845" s="1" t="s">
        <v>5775</v>
      </c>
      <c r="B2845" s="1" t="str">
        <f>"9780826117281"</f>
        <v>9780826117281</v>
      </c>
      <c r="C2845" s="1" t="s">
        <v>2339</v>
      </c>
      <c r="D2845" s="2">
        <v>35854</v>
      </c>
      <c r="E2845" s="1" t="s">
        <v>5776</v>
      </c>
      <c r="F2845" s="1" t="s">
        <v>126</v>
      </c>
    </row>
    <row r="2846" spans="1:6" ht="30" customHeight="1" x14ac:dyDescent="0.25">
      <c r="A2846" s="1" t="s">
        <v>5777</v>
      </c>
      <c r="B2846" s="1" t="str">
        <f>"9780826111067"</f>
        <v>9780826111067</v>
      </c>
      <c r="C2846" s="1" t="s">
        <v>2339</v>
      </c>
      <c r="D2846" s="2">
        <v>39517</v>
      </c>
      <c r="E2846" s="1" t="s">
        <v>5778</v>
      </c>
      <c r="F2846" s="1" t="s">
        <v>283</v>
      </c>
    </row>
    <row r="2847" spans="1:6" ht="30" customHeight="1" x14ac:dyDescent="0.25">
      <c r="A2847" s="1" t="s">
        <v>5779</v>
      </c>
      <c r="B2847" s="1" t="str">
        <f>"9780826196958"</f>
        <v>9780826196958</v>
      </c>
      <c r="C2847" s="1" t="s">
        <v>2339</v>
      </c>
      <c r="D2847" s="2">
        <v>35855</v>
      </c>
      <c r="E2847" s="1" t="s">
        <v>5780</v>
      </c>
      <c r="F2847" s="1" t="s">
        <v>95</v>
      </c>
    </row>
    <row r="2848" spans="1:6" ht="30" customHeight="1" x14ac:dyDescent="0.25">
      <c r="A2848" s="1" t="s">
        <v>5781</v>
      </c>
      <c r="B2848" s="1" t="str">
        <f>"9780826119179"</f>
        <v>9780826119179</v>
      </c>
      <c r="C2848" s="1" t="s">
        <v>2339</v>
      </c>
      <c r="D2848" s="2">
        <v>39783</v>
      </c>
      <c r="E2848" s="1" t="s">
        <v>5782</v>
      </c>
      <c r="F2848" s="1" t="s">
        <v>126</v>
      </c>
    </row>
    <row r="2849" spans="1:6" ht="30" customHeight="1" x14ac:dyDescent="0.25">
      <c r="A2849" s="1" t="s">
        <v>5783</v>
      </c>
      <c r="B2849" s="1" t="str">
        <f>"9780826117168"</f>
        <v>9780826117168</v>
      </c>
      <c r="C2849" s="1" t="s">
        <v>2339</v>
      </c>
      <c r="D2849" s="2">
        <v>37226</v>
      </c>
      <c r="E2849" s="1" t="s">
        <v>5784</v>
      </c>
      <c r="F2849" s="1" t="s">
        <v>13</v>
      </c>
    </row>
    <row r="2850" spans="1:6" ht="30" customHeight="1" x14ac:dyDescent="0.25">
      <c r="A2850" s="1" t="s">
        <v>5785</v>
      </c>
      <c r="B2850" s="1" t="str">
        <f>"9780826197191"</f>
        <v>9780826197191</v>
      </c>
      <c r="C2850" s="1" t="s">
        <v>2339</v>
      </c>
      <c r="D2850" s="2">
        <v>36892</v>
      </c>
      <c r="E2850" s="1" t="s">
        <v>5786</v>
      </c>
      <c r="F2850" s="1" t="s">
        <v>126</v>
      </c>
    </row>
    <row r="2851" spans="1:6" ht="30" customHeight="1" x14ac:dyDescent="0.25">
      <c r="A2851" s="1" t="s">
        <v>5787</v>
      </c>
      <c r="B2851" s="1" t="str">
        <f>"9780826187468"</f>
        <v>9780826187468</v>
      </c>
      <c r="C2851" s="1" t="s">
        <v>2339</v>
      </c>
      <c r="D2851" s="2">
        <v>37368</v>
      </c>
      <c r="E2851" s="1" t="s">
        <v>5788</v>
      </c>
      <c r="F2851" s="1" t="s">
        <v>13</v>
      </c>
    </row>
    <row r="2852" spans="1:6" ht="30" customHeight="1" x14ac:dyDescent="0.25">
      <c r="A2852" s="1" t="s">
        <v>5789</v>
      </c>
      <c r="B2852" s="1" t="str">
        <f>"9780826197566"</f>
        <v>9780826197566</v>
      </c>
      <c r="C2852" s="1" t="s">
        <v>2339</v>
      </c>
      <c r="D2852" s="2">
        <v>38489</v>
      </c>
      <c r="E2852" s="1" t="s">
        <v>5790</v>
      </c>
      <c r="F2852" s="1" t="s">
        <v>95</v>
      </c>
    </row>
    <row r="2853" spans="1:6" ht="30" customHeight="1" x14ac:dyDescent="0.25">
      <c r="A2853" s="1" t="s">
        <v>5791</v>
      </c>
      <c r="B2853" s="1" t="str">
        <f>"9780826126467"</f>
        <v>9780826126467</v>
      </c>
      <c r="C2853" s="1" t="s">
        <v>2339</v>
      </c>
      <c r="D2853" s="2">
        <v>38454</v>
      </c>
      <c r="E2853" s="1" t="s">
        <v>5792</v>
      </c>
      <c r="F2853" s="1" t="s">
        <v>5793</v>
      </c>
    </row>
    <row r="2854" spans="1:6" ht="30" customHeight="1" x14ac:dyDescent="0.25">
      <c r="A2854" s="1" t="s">
        <v>5794</v>
      </c>
      <c r="B2854" s="1" t="str">
        <f>"9780826125095"</f>
        <v>9780826125095</v>
      </c>
      <c r="C2854" s="1" t="s">
        <v>2339</v>
      </c>
      <c r="D2854" s="2">
        <v>39622</v>
      </c>
      <c r="E2854" s="1" t="s">
        <v>5795</v>
      </c>
      <c r="F2854" s="1" t="s">
        <v>304</v>
      </c>
    </row>
    <row r="2855" spans="1:6" ht="30" customHeight="1" x14ac:dyDescent="0.25">
      <c r="A2855" s="1" t="s">
        <v>5796</v>
      </c>
      <c r="B2855" s="1" t="str">
        <f>"9780826116697"</f>
        <v>9780826116697</v>
      </c>
      <c r="C2855" s="1" t="s">
        <v>2339</v>
      </c>
      <c r="D2855" s="2">
        <v>37591</v>
      </c>
      <c r="E2855" s="1" t="s">
        <v>5797</v>
      </c>
      <c r="F2855" s="1" t="s">
        <v>95</v>
      </c>
    </row>
    <row r="2856" spans="1:6" ht="30" customHeight="1" x14ac:dyDescent="0.25">
      <c r="A2856" s="1" t="s">
        <v>5798</v>
      </c>
      <c r="B2856" s="1" t="str">
        <f>"9780826197894"</f>
        <v>9780826197894</v>
      </c>
      <c r="C2856" s="1" t="s">
        <v>2339</v>
      </c>
      <c r="D2856" s="2">
        <v>39052</v>
      </c>
      <c r="E2856" s="1" t="s">
        <v>5799</v>
      </c>
      <c r="F2856" s="1" t="s">
        <v>13</v>
      </c>
    </row>
    <row r="2857" spans="1:6" ht="30" customHeight="1" x14ac:dyDescent="0.25">
      <c r="A2857" s="1" t="s">
        <v>5800</v>
      </c>
      <c r="B2857" s="1" t="str">
        <f>"9780826117472"</f>
        <v>9780826117472</v>
      </c>
      <c r="C2857" s="1" t="s">
        <v>2339</v>
      </c>
      <c r="D2857" s="2">
        <v>37987</v>
      </c>
      <c r="E2857" s="1" t="s">
        <v>5801</v>
      </c>
      <c r="F2857" s="1" t="s">
        <v>126</v>
      </c>
    </row>
    <row r="2858" spans="1:6" ht="30" customHeight="1" x14ac:dyDescent="0.25">
      <c r="A2858" s="1" t="s">
        <v>5802</v>
      </c>
      <c r="B2858" s="1" t="str">
        <f>"9780826111180"</f>
        <v>9780826111180</v>
      </c>
      <c r="C2858" s="1" t="s">
        <v>2339</v>
      </c>
      <c r="D2858" s="2">
        <v>39615</v>
      </c>
      <c r="E2858" s="1" t="s">
        <v>5803</v>
      </c>
      <c r="F2858" s="1" t="s">
        <v>13</v>
      </c>
    </row>
    <row r="2859" spans="1:6" ht="30" customHeight="1" x14ac:dyDescent="0.25">
      <c r="A2859" s="1" t="s">
        <v>5804</v>
      </c>
      <c r="B2859" s="1" t="str">
        <f>"9780826113986"</f>
        <v>9780826113986</v>
      </c>
      <c r="C2859" s="1" t="s">
        <v>2339</v>
      </c>
      <c r="D2859" s="2">
        <v>37628</v>
      </c>
      <c r="E2859" s="1" t="s">
        <v>5805</v>
      </c>
      <c r="F2859" s="1" t="s">
        <v>599</v>
      </c>
    </row>
    <row r="2860" spans="1:6" ht="30" customHeight="1" x14ac:dyDescent="0.25">
      <c r="A2860" s="1" t="s">
        <v>5806</v>
      </c>
      <c r="B2860" s="1" t="str">
        <f>"9780826157935"</f>
        <v>9780826157935</v>
      </c>
      <c r="C2860" s="1" t="s">
        <v>2339</v>
      </c>
      <c r="D2860" s="2">
        <v>38686</v>
      </c>
      <c r="E2860" s="1" t="s">
        <v>5807</v>
      </c>
      <c r="F2860" s="1" t="s">
        <v>234</v>
      </c>
    </row>
    <row r="2861" spans="1:6" ht="30" customHeight="1" x14ac:dyDescent="0.25">
      <c r="A2861" s="1" t="s">
        <v>5808</v>
      </c>
      <c r="B2861" s="1" t="str">
        <f>"9780826115591"</f>
        <v>9780826115591</v>
      </c>
      <c r="C2861" s="1" t="s">
        <v>2339</v>
      </c>
      <c r="D2861" s="2">
        <v>37350</v>
      </c>
      <c r="E2861" s="1" t="s">
        <v>5809</v>
      </c>
      <c r="F2861" s="1" t="s">
        <v>126</v>
      </c>
    </row>
    <row r="2862" spans="1:6" ht="30" customHeight="1" x14ac:dyDescent="0.25">
      <c r="A2862" s="1" t="s">
        <v>5810</v>
      </c>
      <c r="B2862" s="1" t="str">
        <f>"9780826132260"</f>
        <v>9780826132260</v>
      </c>
      <c r="C2862" s="1" t="s">
        <v>2339</v>
      </c>
      <c r="D2862" s="2">
        <v>38674</v>
      </c>
      <c r="E2862" s="1" t="s">
        <v>5811</v>
      </c>
      <c r="F2862" s="1" t="s">
        <v>13</v>
      </c>
    </row>
    <row r="2863" spans="1:6" ht="30" customHeight="1" x14ac:dyDescent="0.25">
      <c r="A2863" s="1" t="s">
        <v>5812</v>
      </c>
      <c r="B2863" s="1" t="str">
        <f>"9780826124494"</f>
        <v>9780826124494</v>
      </c>
      <c r="C2863" s="1" t="s">
        <v>2339</v>
      </c>
      <c r="D2863" s="2">
        <v>38698</v>
      </c>
      <c r="E2863" s="1" t="s">
        <v>5723</v>
      </c>
      <c r="F2863" s="1" t="s">
        <v>126</v>
      </c>
    </row>
    <row r="2864" spans="1:6" ht="30" customHeight="1" x14ac:dyDescent="0.25">
      <c r="A2864" s="1" t="s">
        <v>5813</v>
      </c>
      <c r="B2864" s="1" t="str">
        <f>"9780826197481"</f>
        <v>9780826197481</v>
      </c>
      <c r="C2864" s="1" t="s">
        <v>2339</v>
      </c>
      <c r="D2864" s="2">
        <v>38401</v>
      </c>
      <c r="E2864" s="1" t="s">
        <v>5723</v>
      </c>
      <c r="F2864" s="1" t="s">
        <v>126</v>
      </c>
    </row>
    <row r="2865" spans="1:6" ht="30" customHeight="1" x14ac:dyDescent="0.25">
      <c r="A2865" s="1" t="s">
        <v>5814</v>
      </c>
      <c r="B2865" s="1" t="str">
        <f>"9780826176929"</f>
        <v>9780826176929</v>
      </c>
      <c r="C2865" s="1" t="s">
        <v>2339</v>
      </c>
      <c r="D2865" s="2">
        <v>37956</v>
      </c>
      <c r="E2865" s="1" t="s">
        <v>5815</v>
      </c>
      <c r="F2865" s="1" t="s">
        <v>13</v>
      </c>
    </row>
    <row r="2866" spans="1:6" ht="30" customHeight="1" x14ac:dyDescent="0.25">
      <c r="A2866" s="1" t="s">
        <v>5816</v>
      </c>
      <c r="B2866" s="1" t="str">
        <f>"9780826128423"</f>
        <v>9780826128423</v>
      </c>
      <c r="C2866" s="1" t="s">
        <v>2339</v>
      </c>
      <c r="D2866" s="2">
        <v>29295</v>
      </c>
      <c r="E2866" s="1" t="s">
        <v>5817</v>
      </c>
      <c r="F2866" s="1" t="s">
        <v>13</v>
      </c>
    </row>
    <row r="2867" spans="1:6" ht="30" customHeight="1" x14ac:dyDescent="0.25">
      <c r="A2867" s="1" t="s">
        <v>5818</v>
      </c>
      <c r="B2867" s="1" t="str">
        <f>"9780826117267"</f>
        <v>9780826117267</v>
      </c>
      <c r="C2867" s="1" t="s">
        <v>2339</v>
      </c>
      <c r="D2867" s="2">
        <v>37699</v>
      </c>
      <c r="E2867" s="1" t="s">
        <v>5819</v>
      </c>
      <c r="F2867" s="1" t="s">
        <v>126</v>
      </c>
    </row>
    <row r="2868" spans="1:6" ht="30" customHeight="1" x14ac:dyDescent="0.25">
      <c r="A2868" s="1" t="s">
        <v>5820</v>
      </c>
      <c r="B2868" s="1" t="str">
        <f>"9780826198051"</f>
        <v>9780826198051</v>
      </c>
      <c r="C2868" s="1" t="s">
        <v>2339</v>
      </c>
      <c r="D2868" s="2">
        <v>34637</v>
      </c>
      <c r="E2868" s="1" t="s">
        <v>5821</v>
      </c>
      <c r="F2868" s="1" t="s">
        <v>599</v>
      </c>
    </row>
    <row r="2869" spans="1:6" ht="30" customHeight="1" x14ac:dyDescent="0.25">
      <c r="A2869" s="1" t="s">
        <v>5822</v>
      </c>
      <c r="B2869" s="1" t="str">
        <f>"9780826197214"</f>
        <v>9780826197214</v>
      </c>
      <c r="C2869" s="1" t="s">
        <v>2339</v>
      </c>
      <c r="D2869" s="2">
        <v>37252</v>
      </c>
      <c r="E2869" s="1" t="s">
        <v>5823</v>
      </c>
      <c r="F2869" s="1" t="s">
        <v>95</v>
      </c>
    </row>
    <row r="2870" spans="1:6" ht="30" customHeight="1" x14ac:dyDescent="0.25">
      <c r="A2870" s="1" t="s">
        <v>5824</v>
      </c>
      <c r="B2870" s="1" t="str">
        <f>"9780826138293"</f>
        <v>9780826138293</v>
      </c>
      <c r="C2870" s="1" t="s">
        <v>2339</v>
      </c>
      <c r="D2870" s="2">
        <v>39713</v>
      </c>
      <c r="E2870" s="1" t="s">
        <v>2853</v>
      </c>
      <c r="F2870" s="1" t="s">
        <v>126</v>
      </c>
    </row>
    <row r="2871" spans="1:6" ht="30" customHeight="1" x14ac:dyDescent="0.25">
      <c r="A2871" s="1" t="s">
        <v>5825</v>
      </c>
      <c r="B2871" s="1" t="str">
        <f>"9780826119551"</f>
        <v>9780826119551</v>
      </c>
      <c r="C2871" s="1" t="s">
        <v>2339</v>
      </c>
      <c r="D2871" s="2">
        <v>37782</v>
      </c>
      <c r="E2871" s="1" t="s">
        <v>5826</v>
      </c>
      <c r="F2871" s="1" t="s">
        <v>4434</v>
      </c>
    </row>
    <row r="2872" spans="1:6" ht="30" customHeight="1" x14ac:dyDescent="0.25">
      <c r="A2872" s="1" t="s">
        <v>5827</v>
      </c>
      <c r="B2872" s="1" t="str">
        <f>"9780826133472"</f>
        <v>9780826133472</v>
      </c>
      <c r="C2872" s="1" t="s">
        <v>2339</v>
      </c>
      <c r="D2872" s="2">
        <v>38141</v>
      </c>
      <c r="E2872" s="1" t="s">
        <v>5828</v>
      </c>
      <c r="F2872" s="1" t="s">
        <v>13</v>
      </c>
    </row>
    <row r="2873" spans="1:6" ht="30" customHeight="1" x14ac:dyDescent="0.25">
      <c r="A2873" s="1" t="s">
        <v>5829</v>
      </c>
      <c r="B2873" s="1" t="str">
        <f>"9780826148988"</f>
        <v>9780826148988</v>
      </c>
      <c r="C2873" s="1" t="s">
        <v>2339</v>
      </c>
      <c r="D2873" s="2">
        <v>37428</v>
      </c>
      <c r="E2873" s="1" t="s">
        <v>5830</v>
      </c>
      <c r="F2873" s="1" t="s">
        <v>13</v>
      </c>
    </row>
    <row r="2874" spans="1:6" ht="30" customHeight="1" x14ac:dyDescent="0.25">
      <c r="A2874" s="1" t="s">
        <v>5831</v>
      </c>
      <c r="B2874" s="1" t="str">
        <f>"9780826104922"</f>
        <v>9780826104922</v>
      </c>
      <c r="C2874" s="1" t="s">
        <v>2339</v>
      </c>
      <c r="D2874" s="2">
        <v>39015</v>
      </c>
      <c r="E2874" s="1" t="s">
        <v>3829</v>
      </c>
      <c r="F2874" s="1" t="s">
        <v>3261</v>
      </c>
    </row>
    <row r="2875" spans="1:6" ht="30" customHeight="1" x14ac:dyDescent="0.25">
      <c r="A2875" s="1" t="s">
        <v>5832</v>
      </c>
      <c r="B2875" s="1" t="str">
        <f>"9780826104793"</f>
        <v>9780826104793</v>
      </c>
      <c r="C2875" s="1" t="s">
        <v>2339</v>
      </c>
      <c r="D2875" s="2">
        <v>39028</v>
      </c>
      <c r="E2875" s="1" t="s">
        <v>5833</v>
      </c>
      <c r="F2875" s="1" t="s">
        <v>95</v>
      </c>
    </row>
    <row r="2876" spans="1:6" ht="30" customHeight="1" x14ac:dyDescent="0.25">
      <c r="A2876" s="1" t="s">
        <v>5834</v>
      </c>
      <c r="B2876" s="1" t="str">
        <f>"9780826199041"</f>
        <v>9780826199041</v>
      </c>
      <c r="C2876" s="1" t="s">
        <v>2339</v>
      </c>
      <c r="D2876" s="2">
        <v>39814</v>
      </c>
      <c r="E2876" s="1" t="s">
        <v>5835</v>
      </c>
      <c r="F2876" s="1" t="s">
        <v>158</v>
      </c>
    </row>
    <row r="2877" spans="1:6" ht="30" customHeight="1" x14ac:dyDescent="0.25">
      <c r="A2877" s="1" t="s">
        <v>5836</v>
      </c>
      <c r="B2877" s="1" t="str">
        <f>"9780826132154"</f>
        <v>9780826132154</v>
      </c>
      <c r="C2877" s="1" t="s">
        <v>2339</v>
      </c>
      <c r="D2877" s="2">
        <v>38595</v>
      </c>
      <c r="E2877" s="1" t="s">
        <v>5837</v>
      </c>
      <c r="F2877" s="1" t="s">
        <v>5838</v>
      </c>
    </row>
    <row r="2878" spans="1:6" ht="30" customHeight="1" x14ac:dyDescent="0.25">
      <c r="A2878" s="1" t="s">
        <v>5839</v>
      </c>
      <c r="B2878" s="1" t="str">
        <f>"9780826121868"</f>
        <v>9780826121868</v>
      </c>
      <c r="C2878" s="1" t="s">
        <v>2339</v>
      </c>
      <c r="D2878" s="2">
        <v>37832</v>
      </c>
      <c r="E2878" s="1" t="s">
        <v>5840</v>
      </c>
      <c r="F2878" s="1" t="s">
        <v>87</v>
      </c>
    </row>
    <row r="2879" spans="1:6" ht="30" customHeight="1" x14ac:dyDescent="0.25">
      <c r="A2879" s="1" t="s">
        <v>5841</v>
      </c>
      <c r="B2879" s="1" t="str">
        <f>"9780826191830"</f>
        <v>9780826191830</v>
      </c>
      <c r="C2879" s="1" t="s">
        <v>2339</v>
      </c>
      <c r="D2879" s="2">
        <v>38718</v>
      </c>
      <c r="E2879" s="1" t="s">
        <v>5842</v>
      </c>
      <c r="F2879" s="1" t="s">
        <v>126</v>
      </c>
    </row>
    <row r="2880" spans="1:6" ht="30" customHeight="1" x14ac:dyDescent="0.25">
      <c r="A2880" s="1" t="s">
        <v>5843</v>
      </c>
      <c r="B2880" s="1" t="str">
        <f>"9780826127266"</f>
        <v>9780826127266</v>
      </c>
      <c r="C2880" s="1" t="s">
        <v>2339</v>
      </c>
      <c r="D2880" s="2">
        <v>38650</v>
      </c>
      <c r="E2880" s="1" t="s">
        <v>5844</v>
      </c>
      <c r="F2880" s="1" t="s">
        <v>13</v>
      </c>
    </row>
    <row r="2881" spans="1:6" ht="30" customHeight="1" x14ac:dyDescent="0.25">
      <c r="A2881" s="1" t="s">
        <v>5845</v>
      </c>
      <c r="B2881" s="1" t="str">
        <f>"9780826175632"</f>
        <v>9780826175632</v>
      </c>
      <c r="C2881" s="1" t="s">
        <v>2339</v>
      </c>
      <c r="D2881" s="2">
        <v>36130</v>
      </c>
      <c r="E2881" s="1" t="s">
        <v>5846</v>
      </c>
      <c r="F2881" s="1" t="s">
        <v>13</v>
      </c>
    </row>
    <row r="2882" spans="1:6" ht="30" customHeight="1" x14ac:dyDescent="0.25">
      <c r="A2882" s="1" t="s">
        <v>5847</v>
      </c>
      <c r="B2882" s="1" t="str">
        <f>"9780826127136"</f>
        <v>9780826127136</v>
      </c>
      <c r="C2882" s="1" t="s">
        <v>2339</v>
      </c>
      <c r="D2882" s="2">
        <v>38252</v>
      </c>
      <c r="E2882" s="1" t="s">
        <v>5848</v>
      </c>
      <c r="F2882" s="1" t="s">
        <v>33</v>
      </c>
    </row>
    <row r="2883" spans="1:6" ht="30" customHeight="1" x14ac:dyDescent="0.25">
      <c r="A2883" s="1" t="s">
        <v>5849</v>
      </c>
      <c r="B2883" s="1" t="str">
        <f>"9780826103604"</f>
        <v>9780826103604</v>
      </c>
      <c r="C2883" s="1" t="s">
        <v>2339</v>
      </c>
      <c r="D2883" s="2">
        <v>38887</v>
      </c>
      <c r="E2883" s="1" t="s">
        <v>5850</v>
      </c>
      <c r="F2883" s="1" t="s">
        <v>95</v>
      </c>
    </row>
    <row r="2884" spans="1:6" ht="30" customHeight="1" x14ac:dyDescent="0.25">
      <c r="A2884" s="1" t="s">
        <v>5851</v>
      </c>
      <c r="B2884" s="1" t="str">
        <f>"9780826197658"</f>
        <v>9780826197658</v>
      </c>
      <c r="C2884" s="1" t="s">
        <v>2339</v>
      </c>
      <c r="D2884" s="2">
        <v>37257</v>
      </c>
      <c r="E2884" s="1" t="s">
        <v>5852</v>
      </c>
      <c r="F2884" s="1" t="s">
        <v>82</v>
      </c>
    </row>
    <row r="2885" spans="1:6" ht="30" customHeight="1" x14ac:dyDescent="0.25">
      <c r="A2885" s="1" t="s">
        <v>5853</v>
      </c>
      <c r="B2885" s="1" t="str">
        <f>"9780826124739"</f>
        <v>9780826124739</v>
      </c>
      <c r="C2885" s="1" t="s">
        <v>2339</v>
      </c>
      <c r="D2885" s="2">
        <v>39552</v>
      </c>
      <c r="E2885" s="1" t="s">
        <v>5854</v>
      </c>
      <c r="F2885" s="1" t="s">
        <v>13</v>
      </c>
    </row>
    <row r="2886" spans="1:6" ht="30" customHeight="1" x14ac:dyDescent="0.25">
      <c r="A2886" s="1" t="s">
        <v>5855</v>
      </c>
      <c r="B2886" s="1" t="str">
        <f>"9780826128850"</f>
        <v>9780826128850</v>
      </c>
      <c r="C2886" s="1" t="s">
        <v>2339</v>
      </c>
      <c r="D2886" s="2">
        <v>38586</v>
      </c>
      <c r="E2886" s="1" t="s">
        <v>5856</v>
      </c>
      <c r="F2886" s="1" t="s">
        <v>13</v>
      </c>
    </row>
    <row r="2887" spans="1:6" ht="30" customHeight="1" x14ac:dyDescent="0.25">
      <c r="A2887" s="1" t="s">
        <v>5857</v>
      </c>
      <c r="B2887" s="1" t="str">
        <f>"9780826159960"</f>
        <v>9780826159960</v>
      </c>
      <c r="C2887" s="1" t="s">
        <v>2339</v>
      </c>
      <c r="D2887" s="2">
        <v>39646</v>
      </c>
      <c r="E2887" s="1" t="s">
        <v>5858</v>
      </c>
      <c r="F2887" s="1" t="s">
        <v>13</v>
      </c>
    </row>
    <row r="2888" spans="1:6" ht="30" customHeight="1" x14ac:dyDescent="0.25">
      <c r="A2888" s="1" t="s">
        <v>5859</v>
      </c>
      <c r="B2888" s="1" t="str">
        <f>"9780826197290"</f>
        <v>9780826197290</v>
      </c>
      <c r="C2888" s="1" t="s">
        <v>2339</v>
      </c>
      <c r="D2888" s="2">
        <v>37787</v>
      </c>
      <c r="E2888" s="1" t="s">
        <v>5860</v>
      </c>
      <c r="F2888" s="1" t="s">
        <v>126</v>
      </c>
    </row>
    <row r="2889" spans="1:6" ht="30" customHeight="1" x14ac:dyDescent="0.25">
      <c r="A2889" s="1" t="s">
        <v>5861</v>
      </c>
      <c r="B2889" s="1" t="str">
        <f>"9780826116192"</f>
        <v>9780826116192</v>
      </c>
      <c r="C2889" s="1" t="s">
        <v>2339</v>
      </c>
      <c r="D2889" s="2">
        <v>37252</v>
      </c>
      <c r="E2889" s="1" t="s">
        <v>5862</v>
      </c>
      <c r="F2889" s="1" t="s">
        <v>30</v>
      </c>
    </row>
    <row r="2890" spans="1:6" ht="30" customHeight="1" x14ac:dyDescent="0.25">
      <c r="A2890" s="1" t="s">
        <v>5863</v>
      </c>
      <c r="B2890" s="1" t="str">
        <f>"9780826104595"</f>
        <v>9780826104595</v>
      </c>
      <c r="C2890" s="1" t="s">
        <v>2339</v>
      </c>
      <c r="D2890" s="2">
        <v>40148</v>
      </c>
      <c r="E2890" s="1" t="s">
        <v>5860</v>
      </c>
      <c r="F2890" s="1" t="s">
        <v>283</v>
      </c>
    </row>
    <row r="2891" spans="1:6" ht="30" customHeight="1" x14ac:dyDescent="0.25">
      <c r="A2891" s="1" t="s">
        <v>5864</v>
      </c>
      <c r="B2891" s="1" t="str">
        <f>"9780826197528"</f>
        <v>9780826197528</v>
      </c>
      <c r="C2891" s="1" t="s">
        <v>2339</v>
      </c>
      <c r="D2891" s="2">
        <v>38230</v>
      </c>
      <c r="E2891" s="1" t="s">
        <v>5862</v>
      </c>
      <c r="F2891" s="1" t="s">
        <v>126</v>
      </c>
    </row>
    <row r="2892" spans="1:6" ht="30" customHeight="1" x14ac:dyDescent="0.25">
      <c r="A2892" s="1" t="s">
        <v>5865</v>
      </c>
      <c r="B2892" s="1" t="str">
        <f>"9780826118967"</f>
        <v>9780826118967</v>
      </c>
      <c r="C2892" s="1" t="s">
        <v>2339</v>
      </c>
      <c r="D2892" s="2">
        <v>37929</v>
      </c>
      <c r="E2892" s="1" t="s">
        <v>5866</v>
      </c>
      <c r="F2892" s="1" t="s">
        <v>30</v>
      </c>
    </row>
    <row r="2893" spans="1:6" ht="30" customHeight="1" x14ac:dyDescent="0.25">
      <c r="A2893" s="1" t="s">
        <v>5867</v>
      </c>
      <c r="B2893" s="1" t="str">
        <f>"9780826126962"</f>
        <v>9780826126962</v>
      </c>
      <c r="C2893" s="1" t="s">
        <v>2339</v>
      </c>
      <c r="D2893" s="2">
        <v>38405</v>
      </c>
      <c r="E2893" s="1" t="s">
        <v>5868</v>
      </c>
      <c r="F2893" s="1" t="s">
        <v>30</v>
      </c>
    </row>
    <row r="2894" spans="1:6" ht="30" customHeight="1" x14ac:dyDescent="0.25">
      <c r="A2894" s="1" t="s">
        <v>5869</v>
      </c>
      <c r="B2894" s="1" t="str">
        <f>"9780826128058"</f>
        <v>9780826128058</v>
      </c>
      <c r="C2894" s="1" t="s">
        <v>2339</v>
      </c>
      <c r="D2894" s="2">
        <v>38314</v>
      </c>
      <c r="E2894" s="1" t="s">
        <v>3007</v>
      </c>
      <c r="F2894" s="1" t="s">
        <v>87</v>
      </c>
    </row>
    <row r="2895" spans="1:6" ht="30" customHeight="1" x14ac:dyDescent="0.25">
      <c r="A2895" s="1" t="s">
        <v>5870</v>
      </c>
      <c r="B2895" s="1" t="str">
        <f>"9780826164889"</f>
        <v>9780826164889</v>
      </c>
      <c r="C2895" s="1" t="s">
        <v>2339</v>
      </c>
      <c r="D2895" s="2">
        <v>33192</v>
      </c>
      <c r="E2895" s="1" t="s">
        <v>5871</v>
      </c>
      <c r="F2895" s="1" t="s">
        <v>599</v>
      </c>
    </row>
    <row r="2896" spans="1:6" ht="30" customHeight="1" x14ac:dyDescent="0.25">
      <c r="A2896" s="1" t="s">
        <v>5872</v>
      </c>
      <c r="B2896" s="1" t="str">
        <f>"9780826117328"</f>
        <v>9780826117328</v>
      </c>
      <c r="C2896" s="1" t="s">
        <v>2339</v>
      </c>
      <c r="D2896" s="2">
        <v>39706</v>
      </c>
      <c r="E2896" s="1" t="s">
        <v>5873</v>
      </c>
      <c r="F2896" s="1" t="s">
        <v>13</v>
      </c>
    </row>
    <row r="2897" spans="1:6" ht="30" customHeight="1" x14ac:dyDescent="0.25">
      <c r="A2897" s="1" t="s">
        <v>5874</v>
      </c>
      <c r="B2897" s="1" t="str">
        <f>"9780826116239"</f>
        <v>9780826116239</v>
      </c>
      <c r="C2897" s="1" t="s">
        <v>2339</v>
      </c>
      <c r="D2897" s="2">
        <v>37226</v>
      </c>
      <c r="E2897" s="1" t="s">
        <v>5875</v>
      </c>
      <c r="F2897" s="1" t="s">
        <v>87</v>
      </c>
    </row>
    <row r="2898" spans="1:6" ht="30" customHeight="1" x14ac:dyDescent="0.25">
      <c r="A2898" s="1" t="s">
        <v>5876</v>
      </c>
      <c r="B2898" s="1" t="str">
        <f>"9780826197696"</f>
        <v>9780826197696</v>
      </c>
      <c r="C2898" s="1" t="s">
        <v>2339</v>
      </c>
      <c r="D2898" s="2">
        <v>37987</v>
      </c>
      <c r="E2898" s="1" t="s">
        <v>5877</v>
      </c>
      <c r="F2898" s="1" t="s">
        <v>70</v>
      </c>
    </row>
    <row r="2899" spans="1:6" ht="30" customHeight="1" x14ac:dyDescent="0.25">
      <c r="A2899" s="1" t="s">
        <v>5878</v>
      </c>
      <c r="B2899" s="1" t="str">
        <f>"9780826104656"</f>
        <v>9780826104656</v>
      </c>
      <c r="C2899" s="1" t="s">
        <v>2339</v>
      </c>
      <c r="D2899" s="2">
        <v>40148</v>
      </c>
      <c r="E2899" s="1" t="s">
        <v>5879</v>
      </c>
      <c r="F2899" s="1" t="s">
        <v>126</v>
      </c>
    </row>
    <row r="2900" spans="1:6" ht="30" customHeight="1" x14ac:dyDescent="0.25">
      <c r="A2900" s="1" t="s">
        <v>5880</v>
      </c>
      <c r="B2900" s="1" t="str">
        <f>"9780826197115"</f>
        <v>9780826197115</v>
      </c>
      <c r="C2900" s="1" t="s">
        <v>2339</v>
      </c>
      <c r="D2900" s="2">
        <v>36776</v>
      </c>
      <c r="E2900" s="1" t="s">
        <v>5881</v>
      </c>
      <c r="F2900" s="1" t="s">
        <v>132</v>
      </c>
    </row>
    <row r="2901" spans="1:6" ht="30" customHeight="1" x14ac:dyDescent="0.25">
      <c r="A2901" s="1" t="s">
        <v>5882</v>
      </c>
      <c r="B2901" s="1" t="str">
        <f>"9780826121660"</f>
        <v>9780826121660</v>
      </c>
      <c r="C2901" s="1" t="s">
        <v>2339</v>
      </c>
      <c r="D2901" s="2">
        <v>37845</v>
      </c>
      <c r="E2901" s="1" t="s">
        <v>5883</v>
      </c>
      <c r="F2901" s="1" t="s">
        <v>5793</v>
      </c>
    </row>
    <row r="2902" spans="1:6" ht="30" customHeight="1" x14ac:dyDescent="0.25">
      <c r="A2902" s="1" t="s">
        <v>5884</v>
      </c>
      <c r="B2902" s="1" t="str">
        <f>"9780826182296"</f>
        <v>9780826182296</v>
      </c>
      <c r="C2902" s="1" t="s">
        <v>2339</v>
      </c>
      <c r="D2902" s="2">
        <v>35930</v>
      </c>
      <c r="E2902" s="1" t="s">
        <v>5885</v>
      </c>
      <c r="F2902" s="1" t="s">
        <v>82</v>
      </c>
    </row>
    <row r="2903" spans="1:6" ht="30" customHeight="1" x14ac:dyDescent="0.25">
      <c r="A2903" s="1" t="s">
        <v>5886</v>
      </c>
      <c r="B2903" s="1" t="str">
        <f>"9780826120656"</f>
        <v>9780826120656</v>
      </c>
      <c r="C2903" s="1" t="s">
        <v>2339</v>
      </c>
      <c r="D2903" s="2">
        <v>37924</v>
      </c>
      <c r="E2903" s="1" t="s">
        <v>5887</v>
      </c>
      <c r="F2903" s="1" t="s">
        <v>158</v>
      </c>
    </row>
    <row r="2904" spans="1:6" ht="30" customHeight="1" x14ac:dyDescent="0.25">
      <c r="A2904" s="1" t="s">
        <v>5888</v>
      </c>
      <c r="B2904" s="1" t="str">
        <f>"9780826197399"</f>
        <v>9780826197399</v>
      </c>
      <c r="C2904" s="1" t="s">
        <v>2339</v>
      </c>
      <c r="D2904" s="2">
        <v>37622</v>
      </c>
      <c r="E2904" s="1" t="s">
        <v>5889</v>
      </c>
      <c r="F2904" s="1" t="s">
        <v>13</v>
      </c>
    </row>
    <row r="2905" spans="1:6" ht="30" customHeight="1" x14ac:dyDescent="0.25">
      <c r="A2905" s="1" t="s">
        <v>5890</v>
      </c>
      <c r="B2905" s="1" t="str">
        <f>"9780826124678"</f>
        <v>9780826124678</v>
      </c>
      <c r="C2905" s="1" t="s">
        <v>2339</v>
      </c>
      <c r="D2905" s="2">
        <v>38244</v>
      </c>
      <c r="E2905" s="1" t="s">
        <v>5891</v>
      </c>
      <c r="F2905" s="1" t="s">
        <v>148</v>
      </c>
    </row>
    <row r="2906" spans="1:6" ht="30" customHeight="1" x14ac:dyDescent="0.25">
      <c r="A2906" s="1" t="s">
        <v>5892</v>
      </c>
      <c r="B2906" s="1" t="str">
        <f>"9780826121882"</f>
        <v>9780826121882</v>
      </c>
      <c r="C2906" s="1" t="s">
        <v>2339</v>
      </c>
      <c r="D2906" s="2">
        <v>38169</v>
      </c>
      <c r="E2906" s="1" t="s">
        <v>5893</v>
      </c>
      <c r="F2906" s="1" t="s">
        <v>13</v>
      </c>
    </row>
    <row r="2907" spans="1:6" ht="30" customHeight="1" x14ac:dyDescent="0.25">
      <c r="A2907" s="1" t="s">
        <v>5894</v>
      </c>
      <c r="B2907" s="1" t="str">
        <f>"9780826118745"</f>
        <v>9780826118745</v>
      </c>
      <c r="C2907" s="1" t="s">
        <v>2339</v>
      </c>
      <c r="D2907" s="2">
        <v>37678</v>
      </c>
      <c r="E2907" s="1" t="s">
        <v>5895</v>
      </c>
      <c r="F2907" s="1" t="s">
        <v>751</v>
      </c>
    </row>
    <row r="2908" spans="1:6" ht="30" customHeight="1" x14ac:dyDescent="0.25">
      <c r="A2908" s="1" t="s">
        <v>5896</v>
      </c>
      <c r="B2908" s="1" t="str">
        <f>"9780826121363"</f>
        <v>9780826121363</v>
      </c>
      <c r="C2908" s="1" t="s">
        <v>2339</v>
      </c>
      <c r="D2908" s="2">
        <v>39615</v>
      </c>
      <c r="E2908" s="1" t="s">
        <v>5897</v>
      </c>
      <c r="F2908" s="1" t="s">
        <v>599</v>
      </c>
    </row>
    <row r="2909" spans="1:6" ht="30" customHeight="1" x14ac:dyDescent="0.25">
      <c r="A2909" s="1" t="s">
        <v>5898</v>
      </c>
      <c r="B2909" s="1" t="str">
        <f>"9780826103475"</f>
        <v>9780826103475</v>
      </c>
      <c r="C2909" s="1" t="s">
        <v>2339</v>
      </c>
      <c r="D2909" s="2">
        <v>38978</v>
      </c>
      <c r="E2909" s="1" t="s">
        <v>5899</v>
      </c>
      <c r="F2909" s="1" t="s">
        <v>13</v>
      </c>
    </row>
    <row r="2910" spans="1:6" ht="30" customHeight="1" x14ac:dyDescent="0.25">
      <c r="A2910" s="1" t="s">
        <v>5900</v>
      </c>
      <c r="B2910" s="1" t="str">
        <f>"9780826149435"</f>
        <v>9780826149435</v>
      </c>
      <c r="C2910" s="1" t="s">
        <v>2339</v>
      </c>
      <c r="D2910" s="2">
        <v>37414</v>
      </c>
      <c r="E2910" s="1" t="s">
        <v>5901</v>
      </c>
      <c r="F2910" s="1" t="s">
        <v>13</v>
      </c>
    </row>
    <row r="2911" spans="1:6" ht="30" customHeight="1" x14ac:dyDescent="0.25">
      <c r="A2911" s="1" t="s">
        <v>5902</v>
      </c>
      <c r="B2911" s="1" t="str">
        <f>"9780826115645"</f>
        <v>9780826115645</v>
      </c>
      <c r="C2911" s="1" t="s">
        <v>2339</v>
      </c>
      <c r="D2911" s="2">
        <v>39527</v>
      </c>
      <c r="E2911" s="1" t="s">
        <v>5903</v>
      </c>
      <c r="F2911" s="1" t="s">
        <v>13</v>
      </c>
    </row>
    <row r="2912" spans="1:6" ht="30" customHeight="1" x14ac:dyDescent="0.25">
      <c r="A2912" s="1" t="s">
        <v>5904</v>
      </c>
      <c r="B2912" s="1" t="str">
        <f>"9780826134462"</f>
        <v>9780826134462</v>
      </c>
      <c r="C2912" s="1" t="s">
        <v>2339</v>
      </c>
      <c r="D2912" s="2">
        <v>38131</v>
      </c>
      <c r="E2912" s="1" t="s">
        <v>2861</v>
      </c>
      <c r="F2912" s="1" t="s">
        <v>126</v>
      </c>
    </row>
    <row r="2913" spans="1:6" ht="30" customHeight="1" x14ac:dyDescent="0.25">
      <c r="A2913" s="1" t="s">
        <v>5905</v>
      </c>
      <c r="B2913" s="1" t="str">
        <f>"9780826116376"</f>
        <v>9780826116376</v>
      </c>
      <c r="C2913" s="1" t="s">
        <v>2339</v>
      </c>
      <c r="D2913" s="2">
        <v>37848</v>
      </c>
      <c r="E2913" s="1" t="s">
        <v>5906</v>
      </c>
      <c r="F2913" s="1" t="s">
        <v>95</v>
      </c>
    </row>
    <row r="2914" spans="1:6" ht="30" customHeight="1" x14ac:dyDescent="0.25">
      <c r="A2914" s="1" t="s">
        <v>5907</v>
      </c>
      <c r="B2914" s="1" t="str">
        <f>"9780826116536"</f>
        <v>9780826116536</v>
      </c>
      <c r="C2914" s="1" t="s">
        <v>2339</v>
      </c>
      <c r="D2914" s="2">
        <v>38596</v>
      </c>
      <c r="E2914" s="1" t="s">
        <v>5906</v>
      </c>
      <c r="F2914" s="1" t="s">
        <v>30</v>
      </c>
    </row>
    <row r="2915" spans="1:6" ht="30" customHeight="1" x14ac:dyDescent="0.25">
      <c r="A2915" s="1" t="s">
        <v>5908</v>
      </c>
      <c r="B2915" s="1" t="str">
        <f>"9780826115799"</f>
        <v>9780826115799</v>
      </c>
      <c r="C2915" s="1" t="s">
        <v>2339</v>
      </c>
      <c r="D2915" s="2">
        <v>37158</v>
      </c>
      <c r="E2915" s="1" t="s">
        <v>5906</v>
      </c>
      <c r="F2915" s="1" t="s">
        <v>95</v>
      </c>
    </row>
    <row r="2916" spans="1:6" ht="30" customHeight="1" x14ac:dyDescent="0.25">
      <c r="A2916" s="1" t="s">
        <v>5909</v>
      </c>
      <c r="B2916" s="1" t="str">
        <f>"9780826146618"</f>
        <v>9780826146618</v>
      </c>
      <c r="C2916" s="1" t="s">
        <v>2339</v>
      </c>
      <c r="D2916" s="2">
        <v>31305</v>
      </c>
      <c r="E2916" s="1" t="s">
        <v>5910</v>
      </c>
      <c r="F2916" s="1" t="s">
        <v>13</v>
      </c>
    </row>
    <row r="2917" spans="1:6" ht="30" customHeight="1" x14ac:dyDescent="0.25">
      <c r="A2917" s="1" t="s">
        <v>5911</v>
      </c>
      <c r="B2917" s="1" t="str">
        <f>"9780826115584"</f>
        <v>9780826115584</v>
      </c>
      <c r="C2917" s="1" t="s">
        <v>2339</v>
      </c>
      <c r="D2917" s="2">
        <v>39041</v>
      </c>
      <c r="E2917" s="1" t="s">
        <v>5912</v>
      </c>
      <c r="F2917" s="1" t="s">
        <v>87</v>
      </c>
    </row>
    <row r="2918" spans="1:6" ht="30" customHeight="1" x14ac:dyDescent="0.25">
      <c r="A2918" s="1" t="s">
        <v>5913</v>
      </c>
      <c r="B2918" s="1" t="str">
        <f>"9780826197887"</f>
        <v>9780826197887</v>
      </c>
      <c r="C2918" s="1" t="s">
        <v>2339</v>
      </c>
      <c r="D2918" s="2">
        <v>38666</v>
      </c>
      <c r="E2918" s="1" t="s">
        <v>5914</v>
      </c>
      <c r="F2918" s="1" t="s">
        <v>3294</v>
      </c>
    </row>
    <row r="2919" spans="1:6" ht="30" customHeight="1" x14ac:dyDescent="0.25">
      <c r="A2919" s="1" t="s">
        <v>5915</v>
      </c>
      <c r="B2919" s="1" t="str">
        <f>"9780826116611"</f>
        <v>9780826116611</v>
      </c>
      <c r="C2919" s="1" t="s">
        <v>2339</v>
      </c>
      <c r="D2919" s="2">
        <v>36824</v>
      </c>
      <c r="E2919" s="1" t="s">
        <v>5916</v>
      </c>
      <c r="F2919" s="1" t="s">
        <v>599</v>
      </c>
    </row>
    <row r="2920" spans="1:6" ht="30" customHeight="1" x14ac:dyDescent="0.25">
      <c r="A2920" s="1" t="s">
        <v>5917</v>
      </c>
      <c r="B2920" s="1" t="str">
        <f>"9780826150431"</f>
        <v>9780826150431</v>
      </c>
      <c r="C2920" s="1" t="s">
        <v>2339</v>
      </c>
      <c r="D2920" s="2">
        <v>37550</v>
      </c>
      <c r="E2920" s="1" t="s">
        <v>5918</v>
      </c>
      <c r="F2920" s="1" t="s">
        <v>1469</v>
      </c>
    </row>
    <row r="2921" spans="1:6" ht="30" customHeight="1" x14ac:dyDescent="0.25">
      <c r="A2921" s="1" t="s">
        <v>5919</v>
      </c>
      <c r="B2921" s="1" t="str">
        <f>"9780826122643"</f>
        <v>9780826122643</v>
      </c>
      <c r="C2921" s="1" t="s">
        <v>2339</v>
      </c>
      <c r="D2921" s="2">
        <v>37226</v>
      </c>
      <c r="E2921" s="1" t="s">
        <v>5920</v>
      </c>
      <c r="F2921" s="1" t="s">
        <v>13</v>
      </c>
    </row>
    <row r="2922" spans="1:6" ht="30" customHeight="1" x14ac:dyDescent="0.25">
      <c r="A2922" s="1" t="s">
        <v>5921</v>
      </c>
      <c r="B2922" s="1" t="str">
        <f>"9780826119537"</f>
        <v>9780826119537</v>
      </c>
      <c r="C2922" s="1" t="s">
        <v>2339</v>
      </c>
      <c r="D2922" s="2">
        <v>39643</v>
      </c>
      <c r="E2922" s="1" t="s">
        <v>5922</v>
      </c>
      <c r="F2922" s="1" t="s">
        <v>13</v>
      </c>
    </row>
    <row r="2923" spans="1:6" ht="30" customHeight="1" x14ac:dyDescent="0.25">
      <c r="A2923" s="1" t="s">
        <v>5923</v>
      </c>
      <c r="B2923" s="1" t="str">
        <f>"9780826197153"</f>
        <v>9780826197153</v>
      </c>
      <c r="C2923" s="1" t="s">
        <v>2339</v>
      </c>
      <c r="D2923" s="2">
        <v>36991</v>
      </c>
      <c r="E2923" s="1" t="s">
        <v>5924</v>
      </c>
      <c r="F2923" s="1" t="s">
        <v>126</v>
      </c>
    </row>
    <row r="2924" spans="1:6" ht="30" customHeight="1" x14ac:dyDescent="0.25">
      <c r="A2924" s="1" t="s">
        <v>5925</v>
      </c>
      <c r="B2924" s="1" t="str">
        <f>"9780826186126"</f>
        <v>9780826186126</v>
      </c>
      <c r="C2924" s="1" t="s">
        <v>2339</v>
      </c>
      <c r="D2924" s="2">
        <v>36526</v>
      </c>
      <c r="E2924" s="1" t="s">
        <v>5926</v>
      </c>
      <c r="F2924" s="1" t="s">
        <v>13</v>
      </c>
    </row>
    <row r="2925" spans="1:6" ht="30" customHeight="1" x14ac:dyDescent="0.25">
      <c r="A2925" s="1" t="s">
        <v>5927</v>
      </c>
      <c r="B2925" s="1" t="str">
        <f>"9780826123763"</f>
        <v>9780826123763</v>
      </c>
      <c r="C2925" s="1" t="s">
        <v>2339</v>
      </c>
      <c r="D2925" s="2">
        <v>38141</v>
      </c>
      <c r="E2925" s="1" t="s">
        <v>5928</v>
      </c>
      <c r="F2925" s="1" t="s">
        <v>13</v>
      </c>
    </row>
    <row r="2926" spans="1:6" ht="30" customHeight="1" x14ac:dyDescent="0.25">
      <c r="A2926" s="1" t="s">
        <v>5929</v>
      </c>
      <c r="B2926" s="1" t="str">
        <f>"9780826115294"</f>
        <v>9780826115294</v>
      </c>
      <c r="C2926" s="1" t="s">
        <v>2339</v>
      </c>
      <c r="D2926" s="2">
        <v>39528</v>
      </c>
      <c r="E2926" s="1" t="s">
        <v>5930</v>
      </c>
      <c r="F2926" s="1" t="s">
        <v>148</v>
      </c>
    </row>
    <row r="2927" spans="1:6" ht="30" customHeight="1" x14ac:dyDescent="0.25">
      <c r="A2927" s="1" t="s">
        <v>5931</v>
      </c>
      <c r="B2927" s="1" t="str">
        <f>"9780826118660"</f>
        <v>9780826118660</v>
      </c>
      <c r="C2927" s="1" t="s">
        <v>2339</v>
      </c>
      <c r="D2927" s="2">
        <v>38092</v>
      </c>
      <c r="E2927" s="1" t="s">
        <v>5932</v>
      </c>
      <c r="F2927" s="1" t="s">
        <v>13</v>
      </c>
    </row>
    <row r="2928" spans="1:6" ht="30" customHeight="1" x14ac:dyDescent="0.25">
      <c r="A2928" s="1" t="s">
        <v>5933</v>
      </c>
      <c r="B2928" s="1" t="str">
        <f>"9780826120052"</f>
        <v>9780826120052</v>
      </c>
      <c r="C2928" s="1" t="s">
        <v>2339</v>
      </c>
      <c r="D2928" s="2">
        <v>37875</v>
      </c>
      <c r="E2928" s="1" t="s">
        <v>5934</v>
      </c>
      <c r="F2928" s="1" t="s">
        <v>126</v>
      </c>
    </row>
    <row r="2929" spans="1:6" ht="30" customHeight="1" x14ac:dyDescent="0.25">
      <c r="A2929" s="1" t="s">
        <v>5935</v>
      </c>
      <c r="B2929" s="1" t="str">
        <f>"9780826103086"</f>
        <v>9780826103086</v>
      </c>
      <c r="C2929" s="1" t="s">
        <v>2339</v>
      </c>
      <c r="D2929" s="2">
        <v>39015</v>
      </c>
      <c r="E2929" s="1" t="s">
        <v>5936</v>
      </c>
      <c r="F2929" s="1" t="s">
        <v>13</v>
      </c>
    </row>
    <row r="2930" spans="1:6" ht="30" customHeight="1" x14ac:dyDescent="0.25">
      <c r="A2930" s="1" t="s">
        <v>5937</v>
      </c>
      <c r="B2930" s="1" t="str">
        <f>"9780826116529"</f>
        <v>9780826116529</v>
      </c>
      <c r="C2930" s="1" t="s">
        <v>2339</v>
      </c>
      <c r="D2930" s="2">
        <v>39531</v>
      </c>
      <c r="E2930" s="1" t="s">
        <v>5938</v>
      </c>
      <c r="F2930" s="1" t="s">
        <v>13</v>
      </c>
    </row>
    <row r="2931" spans="1:6" ht="30" customHeight="1" x14ac:dyDescent="0.25">
      <c r="A2931" s="1" t="s">
        <v>5939</v>
      </c>
      <c r="B2931" s="1" t="str">
        <f>"9780826103901"</f>
        <v>9780826103901</v>
      </c>
      <c r="C2931" s="1" t="s">
        <v>2339</v>
      </c>
      <c r="D2931" s="2">
        <v>40148</v>
      </c>
      <c r="E2931" s="1" t="s">
        <v>5940</v>
      </c>
      <c r="F2931" s="1" t="s">
        <v>30</v>
      </c>
    </row>
    <row r="2932" spans="1:6" ht="30" customHeight="1" x14ac:dyDescent="0.25">
      <c r="A2932" s="1" t="s">
        <v>5941</v>
      </c>
      <c r="B2932" s="1" t="str">
        <f>"9780826104830"</f>
        <v>9780826104830</v>
      </c>
      <c r="C2932" s="1" t="s">
        <v>2339</v>
      </c>
      <c r="D2932" s="2">
        <v>39066</v>
      </c>
      <c r="E2932" s="1" t="s">
        <v>5942</v>
      </c>
      <c r="F2932" s="1" t="s">
        <v>13</v>
      </c>
    </row>
    <row r="2933" spans="1:6" ht="30" customHeight="1" x14ac:dyDescent="0.25">
      <c r="A2933" s="1" t="s">
        <v>5943</v>
      </c>
      <c r="B2933" s="1" t="str">
        <f>"9780826197863"</f>
        <v>9780826197863</v>
      </c>
      <c r="C2933" s="1" t="s">
        <v>2339</v>
      </c>
      <c r="D2933" s="2">
        <v>37987</v>
      </c>
      <c r="E2933" s="1" t="s">
        <v>5944</v>
      </c>
      <c r="F2933" s="1" t="s">
        <v>126</v>
      </c>
    </row>
    <row r="2934" spans="1:6" ht="30" customHeight="1" x14ac:dyDescent="0.25">
      <c r="A2934" s="1" t="s">
        <v>5945</v>
      </c>
      <c r="B2934" s="1" t="str">
        <f>"9780826119650"</f>
        <v>9780826119650</v>
      </c>
      <c r="C2934" s="1" t="s">
        <v>2339</v>
      </c>
      <c r="D2934" s="2">
        <v>37987</v>
      </c>
      <c r="E2934" s="1" t="s">
        <v>5946</v>
      </c>
      <c r="F2934" s="1" t="s">
        <v>70</v>
      </c>
    </row>
    <row r="2935" spans="1:6" ht="30" customHeight="1" x14ac:dyDescent="0.25">
      <c r="A2935" s="1" t="s">
        <v>5947</v>
      </c>
      <c r="B2935" s="1" t="str">
        <f>"9780826128539"</f>
        <v>9780826128539</v>
      </c>
      <c r="C2935" s="1" t="s">
        <v>2339</v>
      </c>
      <c r="D2935" s="2">
        <v>39608</v>
      </c>
      <c r="E2935" s="1" t="s">
        <v>5948</v>
      </c>
      <c r="F2935" s="1" t="s">
        <v>95</v>
      </c>
    </row>
    <row r="2936" spans="1:6" ht="30" customHeight="1" x14ac:dyDescent="0.25">
      <c r="A2936" s="1" t="s">
        <v>5949</v>
      </c>
      <c r="B2936" s="1" t="str">
        <f>"9780826155665"</f>
        <v>9780826155665</v>
      </c>
      <c r="C2936" s="1" t="s">
        <v>2339</v>
      </c>
      <c r="D2936" s="2">
        <v>39020</v>
      </c>
      <c r="E2936" s="1" t="s">
        <v>5950</v>
      </c>
      <c r="F2936" s="1" t="s">
        <v>87</v>
      </c>
    </row>
    <row r="2937" spans="1:6" ht="30" customHeight="1" x14ac:dyDescent="0.25">
      <c r="A2937" s="1" t="s">
        <v>5951</v>
      </c>
      <c r="B2937" s="1" t="str">
        <f>"9780826103420"</f>
        <v>9780826103420</v>
      </c>
      <c r="C2937" s="1" t="s">
        <v>2339</v>
      </c>
      <c r="D2937" s="2">
        <v>38930</v>
      </c>
      <c r="E2937" s="1" t="s">
        <v>5952</v>
      </c>
      <c r="F2937" s="1" t="s">
        <v>13</v>
      </c>
    </row>
    <row r="2938" spans="1:6" ht="30" customHeight="1" x14ac:dyDescent="0.25">
      <c r="A2938" s="1" t="s">
        <v>5953</v>
      </c>
      <c r="B2938" s="1" t="str">
        <f>"9780826127365"</f>
        <v>9780826127365</v>
      </c>
      <c r="C2938" s="1" t="s">
        <v>2339</v>
      </c>
      <c r="D2938" s="2">
        <v>38240</v>
      </c>
      <c r="E2938" s="1" t="s">
        <v>5017</v>
      </c>
      <c r="F2938" s="1" t="s">
        <v>13</v>
      </c>
    </row>
    <row r="2939" spans="1:6" ht="30" customHeight="1" x14ac:dyDescent="0.25">
      <c r="A2939" s="1" t="s">
        <v>5954</v>
      </c>
      <c r="B2939" s="1" t="str">
        <f>"9780826197276"</f>
        <v>9780826197276</v>
      </c>
      <c r="C2939" s="1" t="s">
        <v>2339</v>
      </c>
      <c r="D2939" s="2">
        <v>37978</v>
      </c>
      <c r="E2939" s="1" t="s">
        <v>5955</v>
      </c>
      <c r="F2939" s="1" t="s">
        <v>13</v>
      </c>
    </row>
    <row r="2940" spans="1:6" ht="30" customHeight="1" x14ac:dyDescent="0.25">
      <c r="A2940" s="1" t="s">
        <v>5956</v>
      </c>
      <c r="B2940" s="1" t="str">
        <f>"9780826197542"</f>
        <v>9780826197542</v>
      </c>
      <c r="C2940" s="1" t="s">
        <v>2339</v>
      </c>
      <c r="D2940" s="2">
        <v>38687</v>
      </c>
      <c r="E2940" s="1" t="s">
        <v>5957</v>
      </c>
      <c r="F2940" s="1" t="s">
        <v>5958</v>
      </c>
    </row>
    <row r="2941" spans="1:6" ht="30" customHeight="1" x14ac:dyDescent="0.25">
      <c r="A2941" s="1" t="s">
        <v>5959</v>
      </c>
      <c r="B2941" s="1" t="str">
        <f>"9780826101198"</f>
        <v>9780826101198</v>
      </c>
      <c r="C2941" s="1" t="s">
        <v>2339</v>
      </c>
      <c r="D2941" s="2">
        <v>39580</v>
      </c>
      <c r="E2941" s="1" t="s">
        <v>5960</v>
      </c>
      <c r="F2941" s="1" t="s">
        <v>13</v>
      </c>
    </row>
    <row r="2942" spans="1:6" ht="30" customHeight="1" x14ac:dyDescent="0.25">
      <c r="A2942" s="1" t="s">
        <v>5961</v>
      </c>
      <c r="B2942" s="1" t="str">
        <f>"9780826101327"</f>
        <v>9780826101327</v>
      </c>
      <c r="C2942" s="1" t="s">
        <v>2339</v>
      </c>
      <c r="D2942" s="2">
        <v>39071</v>
      </c>
      <c r="E2942" s="1" t="s">
        <v>5960</v>
      </c>
      <c r="F2942" s="1" t="s">
        <v>13</v>
      </c>
    </row>
    <row r="2943" spans="1:6" ht="30" customHeight="1" x14ac:dyDescent="0.25">
      <c r="A2943" s="1" t="s">
        <v>5962</v>
      </c>
      <c r="B2943" s="1" t="str">
        <f>"9780826103543"</f>
        <v>9780826103543</v>
      </c>
      <c r="C2943" s="1" t="s">
        <v>2339</v>
      </c>
      <c r="D2943" s="2">
        <v>38999</v>
      </c>
      <c r="E2943" s="1" t="s">
        <v>5963</v>
      </c>
      <c r="F2943" s="1" t="s">
        <v>5964</v>
      </c>
    </row>
    <row r="2944" spans="1:6" ht="30" customHeight="1" x14ac:dyDescent="0.25">
      <c r="A2944" s="1" t="s">
        <v>5965</v>
      </c>
      <c r="B2944" s="1" t="str">
        <f>"9780826122742"</f>
        <v>9780826122742</v>
      </c>
      <c r="C2944" s="1" t="s">
        <v>2339</v>
      </c>
      <c r="D2944" s="2">
        <v>38100</v>
      </c>
      <c r="E2944" s="1" t="s">
        <v>5966</v>
      </c>
      <c r="F2944" s="1" t="s">
        <v>158</v>
      </c>
    </row>
    <row r="2945" spans="1:6" ht="30" customHeight="1" x14ac:dyDescent="0.25">
      <c r="A2945" s="1" t="s">
        <v>5967</v>
      </c>
      <c r="B2945" s="1" t="str">
        <f>"9780826197412"</f>
        <v>9780826197412</v>
      </c>
      <c r="C2945" s="1" t="s">
        <v>2339</v>
      </c>
      <c r="D2945" s="2">
        <v>37987</v>
      </c>
      <c r="E2945" s="1" t="s">
        <v>5966</v>
      </c>
      <c r="F2945" s="1" t="s">
        <v>13</v>
      </c>
    </row>
    <row r="2946" spans="1:6" ht="30" customHeight="1" x14ac:dyDescent="0.25">
      <c r="A2946" s="1" t="s">
        <v>5968</v>
      </c>
      <c r="B2946" s="1" t="str">
        <f>"9780826115270"</f>
        <v>9780826115270</v>
      </c>
      <c r="C2946" s="1" t="s">
        <v>2339</v>
      </c>
      <c r="D2946" s="2">
        <v>38718</v>
      </c>
      <c r="E2946" s="1" t="s">
        <v>5969</v>
      </c>
      <c r="F2946" s="1" t="s">
        <v>13</v>
      </c>
    </row>
    <row r="2947" spans="1:6" ht="30" customHeight="1" x14ac:dyDescent="0.25">
      <c r="A2947" s="1" t="s">
        <v>5970</v>
      </c>
      <c r="B2947" s="1" t="str">
        <f>"9780826149480"</f>
        <v>9780826149480</v>
      </c>
      <c r="C2947" s="1" t="s">
        <v>2339</v>
      </c>
      <c r="D2947" s="2">
        <v>37481</v>
      </c>
      <c r="E2947" s="1" t="s">
        <v>5971</v>
      </c>
      <c r="F2947" s="1" t="s">
        <v>742</v>
      </c>
    </row>
    <row r="2948" spans="1:6" ht="30" customHeight="1" x14ac:dyDescent="0.25">
      <c r="A2948" s="1" t="s">
        <v>5972</v>
      </c>
      <c r="B2948" s="1" t="str">
        <f>"9780826129963"</f>
        <v>9780826129963</v>
      </c>
      <c r="C2948" s="1" t="s">
        <v>2339</v>
      </c>
      <c r="D2948" s="2">
        <v>38602</v>
      </c>
      <c r="E2948" s="1" t="s">
        <v>5973</v>
      </c>
      <c r="F2948" s="1" t="s">
        <v>13</v>
      </c>
    </row>
    <row r="2949" spans="1:6" ht="30" customHeight="1" x14ac:dyDescent="0.25">
      <c r="A2949" s="1" t="s">
        <v>5974</v>
      </c>
      <c r="B2949" s="1" t="str">
        <f>"9780826189615"</f>
        <v>9780826189615</v>
      </c>
      <c r="C2949" s="1" t="s">
        <v>2339</v>
      </c>
      <c r="D2949" s="2">
        <v>34969</v>
      </c>
      <c r="E2949" s="1" t="s">
        <v>5975</v>
      </c>
      <c r="F2949" s="1" t="s">
        <v>13</v>
      </c>
    </row>
    <row r="2950" spans="1:6" ht="30" customHeight="1" x14ac:dyDescent="0.25">
      <c r="A2950" s="1" t="s">
        <v>5976</v>
      </c>
      <c r="B2950" s="1" t="str">
        <f>"9780826120489"</f>
        <v>9780826120489</v>
      </c>
      <c r="C2950" s="1" t="s">
        <v>2339</v>
      </c>
      <c r="D2950" s="2">
        <v>38191</v>
      </c>
      <c r="E2950" s="1" t="s">
        <v>5977</v>
      </c>
      <c r="F2950" s="1" t="s">
        <v>13</v>
      </c>
    </row>
    <row r="2951" spans="1:6" ht="30" customHeight="1" x14ac:dyDescent="0.25">
      <c r="A2951" s="1" t="s">
        <v>5978</v>
      </c>
      <c r="B2951" s="1" t="str">
        <f>"9780826125439"</f>
        <v>9780826125439</v>
      </c>
      <c r="C2951" s="1" t="s">
        <v>2339</v>
      </c>
      <c r="D2951" s="2">
        <v>40148</v>
      </c>
      <c r="E2951" s="1" t="s">
        <v>5979</v>
      </c>
      <c r="F2951" s="1" t="s">
        <v>126</v>
      </c>
    </row>
    <row r="2952" spans="1:6" ht="30" customHeight="1" x14ac:dyDescent="0.25">
      <c r="A2952" s="1" t="s">
        <v>5980</v>
      </c>
      <c r="B2952" s="1" t="str">
        <f>"9780826128966"</f>
        <v>9780826128966</v>
      </c>
      <c r="C2952" s="1" t="s">
        <v>2339</v>
      </c>
      <c r="D2952" s="2">
        <v>38047</v>
      </c>
      <c r="E2952" s="1" t="s">
        <v>5981</v>
      </c>
      <c r="F2952" s="1" t="s">
        <v>126</v>
      </c>
    </row>
    <row r="2953" spans="1:6" ht="30" customHeight="1" x14ac:dyDescent="0.25">
      <c r="A2953" s="1" t="s">
        <v>5982</v>
      </c>
      <c r="B2953" s="1" t="str">
        <f>"9780826152930"</f>
        <v>9780826152930</v>
      </c>
      <c r="C2953" s="1" t="s">
        <v>2339</v>
      </c>
      <c r="D2953" s="2">
        <v>35765</v>
      </c>
      <c r="E2953" s="1" t="s">
        <v>5983</v>
      </c>
      <c r="F2953" s="1" t="s">
        <v>356</v>
      </c>
    </row>
    <row r="2954" spans="1:6" ht="30" customHeight="1" x14ac:dyDescent="0.25">
      <c r="A2954" s="1" t="s">
        <v>5984</v>
      </c>
      <c r="B2954" s="1" t="str">
        <f>"9780826103444"</f>
        <v>9780826103444</v>
      </c>
      <c r="C2954" s="1" t="s">
        <v>2339</v>
      </c>
      <c r="D2954" s="2">
        <v>38988</v>
      </c>
      <c r="E2954" s="1" t="s">
        <v>5985</v>
      </c>
      <c r="F2954" s="1" t="s">
        <v>234</v>
      </c>
    </row>
    <row r="2955" spans="1:6" ht="30" customHeight="1" x14ac:dyDescent="0.25">
      <c r="A2955" s="1" t="s">
        <v>5986</v>
      </c>
      <c r="B2955" s="1" t="str">
        <f>"9780826121974"</f>
        <v>9780826121974</v>
      </c>
      <c r="C2955" s="1" t="s">
        <v>2339</v>
      </c>
      <c r="D2955" s="2">
        <v>40148</v>
      </c>
      <c r="E2955" s="1" t="s">
        <v>5987</v>
      </c>
      <c r="F2955" s="1" t="s">
        <v>126</v>
      </c>
    </row>
    <row r="2956" spans="1:6" ht="30" customHeight="1" x14ac:dyDescent="0.25">
      <c r="A2956" s="1" t="s">
        <v>5988</v>
      </c>
      <c r="B2956" s="1" t="str">
        <f>"9780826101211"</f>
        <v>9780826101211</v>
      </c>
      <c r="C2956" s="1" t="s">
        <v>2339</v>
      </c>
      <c r="D2956" s="2">
        <v>39671</v>
      </c>
      <c r="E2956" s="1" t="s">
        <v>5989</v>
      </c>
      <c r="F2956" s="1" t="s">
        <v>13</v>
      </c>
    </row>
    <row r="2957" spans="1:6" ht="30" customHeight="1" x14ac:dyDescent="0.25">
      <c r="A2957" s="1" t="s">
        <v>5990</v>
      </c>
      <c r="B2957" s="1" t="str">
        <f>"9788122426496"</f>
        <v>9788122426496</v>
      </c>
      <c r="C2957" s="1" t="s">
        <v>4001</v>
      </c>
      <c r="D2957" s="2">
        <v>39448</v>
      </c>
      <c r="E2957" s="1" t="s">
        <v>5991</v>
      </c>
      <c r="F2957" s="1" t="s">
        <v>5992</v>
      </c>
    </row>
    <row r="2958" spans="1:6" ht="30" customHeight="1" x14ac:dyDescent="0.25">
      <c r="A2958" s="1" t="s">
        <v>5993</v>
      </c>
      <c r="B2958" s="1" t="str">
        <f>"9781574413779"</f>
        <v>9781574413779</v>
      </c>
      <c r="C2958" s="1" t="s">
        <v>3602</v>
      </c>
      <c r="D2958" s="2">
        <v>39522</v>
      </c>
      <c r="E2958" s="1" t="s">
        <v>5994</v>
      </c>
      <c r="F2958" s="1" t="s">
        <v>1795</v>
      </c>
    </row>
    <row r="2959" spans="1:6" ht="30" customHeight="1" x14ac:dyDescent="0.25">
      <c r="A2959" s="1" t="s">
        <v>5995</v>
      </c>
      <c r="B2959" s="1" t="str">
        <f>"9780511504631"</f>
        <v>9780511504631</v>
      </c>
      <c r="C2959" s="1" t="s">
        <v>25</v>
      </c>
      <c r="D2959" s="2">
        <v>39814</v>
      </c>
      <c r="E2959" s="1" t="s">
        <v>5996</v>
      </c>
      <c r="F2959" s="1" t="s">
        <v>13</v>
      </c>
    </row>
    <row r="2960" spans="1:6" ht="30" customHeight="1" x14ac:dyDescent="0.25">
      <c r="A2960" s="1" t="s">
        <v>5997</v>
      </c>
      <c r="B2960" s="1" t="str">
        <f>"9780511504556"</f>
        <v>9780511504556</v>
      </c>
      <c r="C2960" s="1" t="s">
        <v>25</v>
      </c>
      <c r="D2960" s="2">
        <v>39863</v>
      </c>
      <c r="E2960" s="1" t="s">
        <v>5998</v>
      </c>
      <c r="F2960" s="1" t="s">
        <v>13</v>
      </c>
    </row>
    <row r="2961" spans="1:6" ht="30" customHeight="1" x14ac:dyDescent="0.25">
      <c r="A2961" s="1" t="s">
        <v>595</v>
      </c>
      <c r="B2961" s="1" t="str">
        <f>"9780511504976"</f>
        <v>9780511504976</v>
      </c>
      <c r="C2961" s="1" t="s">
        <v>25</v>
      </c>
      <c r="D2961" s="2">
        <v>39863</v>
      </c>
      <c r="E2961" s="1" t="s">
        <v>5999</v>
      </c>
      <c r="F2961" s="1" t="s">
        <v>13</v>
      </c>
    </row>
    <row r="2962" spans="1:6" ht="30" customHeight="1" x14ac:dyDescent="0.25">
      <c r="A2962" s="1" t="s">
        <v>6000</v>
      </c>
      <c r="B2962" s="1" t="str">
        <f>"9780511504570"</f>
        <v>9780511504570</v>
      </c>
      <c r="C2962" s="1" t="s">
        <v>25</v>
      </c>
      <c r="D2962" s="2">
        <v>39860</v>
      </c>
      <c r="E2962" s="1" t="s">
        <v>6001</v>
      </c>
      <c r="F2962" s="1" t="s">
        <v>13</v>
      </c>
    </row>
    <row r="2963" spans="1:6" ht="30" customHeight="1" x14ac:dyDescent="0.25">
      <c r="A2963" s="1" t="s">
        <v>6002</v>
      </c>
      <c r="B2963" s="1" t="str">
        <f>"9780511504747"</f>
        <v>9780511504747</v>
      </c>
      <c r="C2963" s="1" t="s">
        <v>25</v>
      </c>
      <c r="D2963" s="2">
        <v>39844</v>
      </c>
      <c r="E2963" s="1" t="s">
        <v>6003</v>
      </c>
      <c r="F2963" s="1" t="s">
        <v>1642</v>
      </c>
    </row>
    <row r="2964" spans="1:6" ht="30" customHeight="1" x14ac:dyDescent="0.25">
      <c r="A2964" s="1" t="s">
        <v>6004</v>
      </c>
      <c r="B2964" s="1" t="str">
        <f>"9780511504198"</f>
        <v>9780511504198</v>
      </c>
      <c r="C2964" s="1" t="s">
        <v>25</v>
      </c>
      <c r="D2964" s="2">
        <v>39692</v>
      </c>
      <c r="E2964" s="1" t="s">
        <v>6005</v>
      </c>
      <c r="F2964" s="1" t="s">
        <v>13</v>
      </c>
    </row>
    <row r="2965" spans="1:6" ht="30" customHeight="1" x14ac:dyDescent="0.25">
      <c r="A2965" s="1" t="s">
        <v>6006</v>
      </c>
      <c r="B2965" s="1" t="str">
        <f>"9780511504990"</f>
        <v>9780511504990</v>
      </c>
      <c r="C2965" s="1" t="s">
        <v>25</v>
      </c>
      <c r="D2965" s="2">
        <v>39873</v>
      </c>
      <c r="E2965" s="1" t="s">
        <v>6007</v>
      </c>
      <c r="F2965" s="1" t="s">
        <v>176</v>
      </c>
    </row>
    <row r="2966" spans="1:6" ht="30" customHeight="1" x14ac:dyDescent="0.25">
      <c r="A2966" s="1" t="s">
        <v>6008</v>
      </c>
      <c r="B2966" s="1" t="str">
        <f>"9781410606846"</f>
        <v>9781410606846</v>
      </c>
      <c r="C2966" s="1" t="s">
        <v>68</v>
      </c>
      <c r="D2966" s="2">
        <v>37651</v>
      </c>
      <c r="E2966" s="1" t="s">
        <v>6009</v>
      </c>
      <c r="F2966" s="1" t="s">
        <v>291</v>
      </c>
    </row>
    <row r="2967" spans="1:6" ht="30" customHeight="1" x14ac:dyDescent="0.25">
      <c r="A2967" s="1" t="s">
        <v>6010</v>
      </c>
      <c r="B2967" s="1" t="str">
        <f>"9780807860540"</f>
        <v>9780807860540</v>
      </c>
      <c r="C2967" s="1" t="s">
        <v>4843</v>
      </c>
      <c r="D2967" s="2">
        <v>36616</v>
      </c>
      <c r="E2967" s="1" t="s">
        <v>6011</v>
      </c>
      <c r="F2967" s="1" t="s">
        <v>176</v>
      </c>
    </row>
    <row r="2968" spans="1:6" ht="30" customHeight="1" x14ac:dyDescent="0.25">
      <c r="A2968" s="1" t="s">
        <v>6012</v>
      </c>
      <c r="B2968" s="1" t="str">
        <f>"9780470425343"</f>
        <v>9780470425343</v>
      </c>
      <c r="C2968" s="1" t="s">
        <v>65</v>
      </c>
      <c r="D2968" s="2">
        <v>39888</v>
      </c>
      <c r="E2968" s="1" t="s">
        <v>6013</v>
      </c>
      <c r="F2968" s="1" t="s">
        <v>95</v>
      </c>
    </row>
    <row r="2969" spans="1:6" ht="30" customHeight="1" x14ac:dyDescent="0.25">
      <c r="A2969" s="1" t="s">
        <v>6014</v>
      </c>
      <c r="B2969" s="1" t="str">
        <f>"9780470187913"</f>
        <v>9780470187913</v>
      </c>
      <c r="C2969" s="1" t="s">
        <v>65</v>
      </c>
      <c r="D2969" s="2">
        <v>39512</v>
      </c>
      <c r="E2969" s="1" t="s">
        <v>6015</v>
      </c>
      <c r="F2969" s="1" t="s">
        <v>268</v>
      </c>
    </row>
    <row r="2970" spans="1:6" ht="30" customHeight="1" x14ac:dyDescent="0.25">
      <c r="A2970" s="1" t="s">
        <v>6016</v>
      </c>
      <c r="B2970" s="1" t="str">
        <f>"9780470451809"</f>
        <v>9780470451809</v>
      </c>
      <c r="C2970" s="1" t="s">
        <v>11</v>
      </c>
      <c r="D2970" s="2">
        <v>39862</v>
      </c>
      <c r="E2970" s="1" t="s">
        <v>6017</v>
      </c>
      <c r="F2970" s="1" t="s">
        <v>6018</v>
      </c>
    </row>
    <row r="2971" spans="1:6" ht="30" customHeight="1" x14ac:dyDescent="0.25">
      <c r="A2971" s="1" t="s">
        <v>6019</v>
      </c>
      <c r="B2971" s="1" t="str">
        <f>"9780470386354"</f>
        <v>9780470386354</v>
      </c>
      <c r="C2971" s="1" t="s">
        <v>11</v>
      </c>
      <c r="D2971" s="2">
        <v>39876</v>
      </c>
      <c r="E2971" s="1" t="s">
        <v>6020</v>
      </c>
      <c r="F2971" s="1" t="s">
        <v>268</v>
      </c>
    </row>
    <row r="2972" spans="1:6" ht="30" customHeight="1" x14ac:dyDescent="0.25">
      <c r="A2972" s="1" t="s">
        <v>6021</v>
      </c>
      <c r="B2972" s="1" t="str">
        <f>"9780470988206"</f>
        <v>9780470988206</v>
      </c>
      <c r="C2972" s="1" t="s">
        <v>65</v>
      </c>
      <c r="D2972" s="2">
        <v>39897</v>
      </c>
      <c r="E2972" s="1" t="s">
        <v>6022</v>
      </c>
      <c r="F2972" s="1" t="s">
        <v>13</v>
      </c>
    </row>
    <row r="2973" spans="1:6" ht="30" customHeight="1" x14ac:dyDescent="0.25">
      <c r="A2973" s="1" t="s">
        <v>6023</v>
      </c>
      <c r="B2973" s="1" t="str">
        <f>"9780470319666"</f>
        <v>9780470319666</v>
      </c>
      <c r="C2973" s="1" t="s">
        <v>65</v>
      </c>
      <c r="D2973" s="2">
        <v>39881</v>
      </c>
      <c r="E2973" s="1" t="s">
        <v>6024</v>
      </c>
      <c r="F2973" s="1" t="s">
        <v>13</v>
      </c>
    </row>
    <row r="2974" spans="1:6" ht="30" customHeight="1" x14ac:dyDescent="0.25">
      <c r="A2974" s="1" t="s">
        <v>6025</v>
      </c>
      <c r="B2974" s="1" t="str">
        <f>"9780470745663"</f>
        <v>9780470745663</v>
      </c>
      <c r="C2974" s="1" t="s">
        <v>65</v>
      </c>
      <c r="D2974" s="2">
        <v>39904</v>
      </c>
      <c r="E2974" s="1" t="s">
        <v>6026</v>
      </c>
      <c r="F2974" s="1" t="s">
        <v>13</v>
      </c>
    </row>
    <row r="2975" spans="1:6" ht="30" customHeight="1" x14ac:dyDescent="0.25">
      <c r="A2975" s="1" t="s">
        <v>6027</v>
      </c>
      <c r="B2975" s="1" t="str">
        <f>"9780470065457"</f>
        <v>9780470065457</v>
      </c>
      <c r="C2975" s="1" t="s">
        <v>65</v>
      </c>
      <c r="D2975" s="2">
        <v>39884</v>
      </c>
      <c r="E2975" s="1" t="s">
        <v>6028</v>
      </c>
      <c r="F2975" s="1" t="s">
        <v>13</v>
      </c>
    </row>
    <row r="2976" spans="1:6" ht="30" customHeight="1" x14ac:dyDescent="0.25">
      <c r="A2976" s="1" t="s">
        <v>6029</v>
      </c>
      <c r="B2976" s="1" t="str">
        <f>"9780470092569"</f>
        <v>9780470092569</v>
      </c>
      <c r="C2976" s="1" t="s">
        <v>65</v>
      </c>
      <c r="D2976" s="2">
        <v>39904</v>
      </c>
      <c r="E2976" s="1" t="s">
        <v>6030</v>
      </c>
      <c r="F2976" s="1" t="s">
        <v>13</v>
      </c>
    </row>
    <row r="2977" spans="1:6" ht="30" customHeight="1" x14ac:dyDescent="0.25">
      <c r="A2977" s="1" t="s">
        <v>6031</v>
      </c>
      <c r="B2977" s="1" t="str">
        <f>"9780470744949"</f>
        <v>9780470744949</v>
      </c>
      <c r="C2977" s="1" t="s">
        <v>65</v>
      </c>
      <c r="D2977" s="2">
        <v>39897</v>
      </c>
      <c r="E2977" s="1" t="s">
        <v>6032</v>
      </c>
      <c r="F2977" s="1" t="s">
        <v>137</v>
      </c>
    </row>
    <row r="2978" spans="1:6" ht="30" customHeight="1" x14ac:dyDescent="0.25">
      <c r="A2978" s="1" t="s">
        <v>6033</v>
      </c>
      <c r="B2978" s="1" t="str">
        <f>"9780470742402"</f>
        <v>9780470742402</v>
      </c>
      <c r="C2978" s="1" t="s">
        <v>65</v>
      </c>
      <c r="D2978" s="2">
        <v>39897</v>
      </c>
      <c r="E2978" s="1" t="s">
        <v>6034</v>
      </c>
      <c r="F2978" s="1" t="s">
        <v>13</v>
      </c>
    </row>
    <row r="2979" spans="1:6" ht="30" customHeight="1" x14ac:dyDescent="0.25">
      <c r="A2979" s="1" t="s">
        <v>6035</v>
      </c>
      <c r="B2979" s="1" t="str">
        <f>"9780470740729"</f>
        <v>9780470740729</v>
      </c>
      <c r="C2979" s="1" t="s">
        <v>65</v>
      </c>
      <c r="D2979" s="2">
        <v>39888</v>
      </c>
      <c r="E2979" s="1" t="s">
        <v>6036</v>
      </c>
      <c r="F2979" s="1" t="s">
        <v>13</v>
      </c>
    </row>
    <row r="2980" spans="1:6" ht="30" customHeight="1" x14ac:dyDescent="0.25">
      <c r="A2980" s="1" t="s">
        <v>6037</v>
      </c>
      <c r="B2980" s="1" t="str">
        <f>"9780470744437"</f>
        <v>9780470744437</v>
      </c>
      <c r="C2980" s="1" t="s">
        <v>65</v>
      </c>
      <c r="D2980" s="2">
        <v>39890</v>
      </c>
      <c r="E2980" s="1" t="s">
        <v>6038</v>
      </c>
      <c r="F2980" s="1" t="s">
        <v>13</v>
      </c>
    </row>
    <row r="2981" spans="1:6" ht="30" customHeight="1" x14ac:dyDescent="0.25">
      <c r="A2981" s="1" t="s">
        <v>6039</v>
      </c>
      <c r="B2981" s="1" t="str">
        <f>"9780470745021"</f>
        <v>9780470745021</v>
      </c>
      <c r="C2981" s="1" t="s">
        <v>65</v>
      </c>
      <c r="D2981" s="2">
        <v>39884</v>
      </c>
      <c r="E2981" s="1" t="s">
        <v>6040</v>
      </c>
      <c r="F2981" s="1" t="s">
        <v>1372</v>
      </c>
    </row>
    <row r="2982" spans="1:6" ht="30" customHeight="1" x14ac:dyDescent="0.25">
      <c r="A2982" s="1" t="s">
        <v>6041</v>
      </c>
      <c r="B2982" s="1" t="str">
        <f>"9780470740675"</f>
        <v>9780470740675</v>
      </c>
      <c r="C2982" s="1" t="s">
        <v>65</v>
      </c>
      <c r="D2982" s="2">
        <v>39904</v>
      </c>
      <c r="E2982" s="1" t="s">
        <v>6042</v>
      </c>
      <c r="F2982" s="1" t="s">
        <v>6043</v>
      </c>
    </row>
    <row r="2983" spans="1:6" ht="30" customHeight="1" x14ac:dyDescent="0.25">
      <c r="A2983" s="1" t="s">
        <v>6044</v>
      </c>
      <c r="B2983" s="1" t="str">
        <f>"9780470741047"</f>
        <v>9780470741047</v>
      </c>
      <c r="C2983" s="1" t="s">
        <v>65</v>
      </c>
      <c r="D2983" s="2">
        <v>39888</v>
      </c>
      <c r="E2983" s="1" t="s">
        <v>6045</v>
      </c>
      <c r="F2983" s="1" t="s">
        <v>13</v>
      </c>
    </row>
    <row r="2984" spans="1:6" ht="30" customHeight="1" x14ac:dyDescent="0.25">
      <c r="A2984" s="1" t="s">
        <v>938</v>
      </c>
      <c r="B2984" s="1" t="str">
        <f>"9780470741481"</f>
        <v>9780470741481</v>
      </c>
      <c r="C2984" s="1" t="s">
        <v>65</v>
      </c>
      <c r="D2984" s="2">
        <v>39884</v>
      </c>
      <c r="E2984" s="1" t="s">
        <v>6046</v>
      </c>
      <c r="F2984" s="1" t="s">
        <v>13</v>
      </c>
    </row>
    <row r="2985" spans="1:6" ht="30" customHeight="1" x14ac:dyDescent="0.25">
      <c r="A2985" s="1" t="s">
        <v>6047</v>
      </c>
      <c r="B2985" s="1" t="str">
        <f>"9780470741979"</f>
        <v>9780470741979</v>
      </c>
      <c r="C2985" s="1" t="s">
        <v>65</v>
      </c>
      <c r="D2985" s="2">
        <v>39890</v>
      </c>
      <c r="E2985" s="1" t="s">
        <v>6048</v>
      </c>
      <c r="F2985" s="1" t="s">
        <v>2537</v>
      </c>
    </row>
    <row r="2986" spans="1:6" ht="30" customHeight="1" x14ac:dyDescent="0.25">
      <c r="A2986" s="1" t="s">
        <v>6049</v>
      </c>
      <c r="B2986" s="1" t="str">
        <f>"9781444312805"</f>
        <v>9781444312805</v>
      </c>
      <c r="C2986" s="1" t="s">
        <v>65</v>
      </c>
      <c r="D2986" s="2">
        <v>39911</v>
      </c>
      <c r="E2986" s="1" t="s">
        <v>6050</v>
      </c>
      <c r="F2986" s="1" t="s">
        <v>13</v>
      </c>
    </row>
    <row r="2987" spans="1:6" ht="30" customHeight="1" x14ac:dyDescent="0.25">
      <c r="A2987" s="1" t="s">
        <v>6051</v>
      </c>
      <c r="B2987" s="1" t="str">
        <f>"9781444311303"</f>
        <v>9781444311303</v>
      </c>
      <c r="C2987" s="1" t="s">
        <v>65</v>
      </c>
      <c r="D2987" s="2">
        <v>39904</v>
      </c>
      <c r="E2987" s="1" t="s">
        <v>6052</v>
      </c>
      <c r="F2987" s="1" t="s">
        <v>63</v>
      </c>
    </row>
    <row r="2988" spans="1:6" ht="30" customHeight="1" x14ac:dyDescent="0.25">
      <c r="A2988" s="1" t="s">
        <v>6053</v>
      </c>
      <c r="B2988" s="1" t="str">
        <f>"9781444309072"</f>
        <v>9781444309072</v>
      </c>
      <c r="C2988" s="1" t="s">
        <v>65</v>
      </c>
      <c r="D2988" s="2">
        <v>37421</v>
      </c>
      <c r="E2988" s="1" t="s">
        <v>6054</v>
      </c>
      <c r="F2988" s="1" t="s">
        <v>3696</v>
      </c>
    </row>
    <row r="2989" spans="1:6" ht="30" customHeight="1" x14ac:dyDescent="0.25">
      <c r="A2989" s="1" t="s">
        <v>6055</v>
      </c>
      <c r="B2989" s="1" t="str">
        <f>"9781444309089"</f>
        <v>9781444309089</v>
      </c>
      <c r="C2989" s="1" t="s">
        <v>65</v>
      </c>
      <c r="D2989" s="2">
        <v>39884</v>
      </c>
      <c r="E2989" s="1" t="s">
        <v>6056</v>
      </c>
      <c r="F2989" s="1" t="s">
        <v>13</v>
      </c>
    </row>
    <row r="2990" spans="1:6" ht="30" customHeight="1" x14ac:dyDescent="0.25">
      <c r="A2990" s="1" t="s">
        <v>6057</v>
      </c>
      <c r="B2990" s="1" t="str">
        <f>"9781444309256"</f>
        <v>9781444309256</v>
      </c>
      <c r="C2990" s="1" t="s">
        <v>65</v>
      </c>
      <c r="D2990" s="2">
        <v>39527</v>
      </c>
      <c r="E2990" s="1" t="s">
        <v>6058</v>
      </c>
      <c r="F2990" s="1" t="s">
        <v>13</v>
      </c>
    </row>
    <row r="2991" spans="1:6" ht="30" customHeight="1" x14ac:dyDescent="0.25">
      <c r="A2991" s="1" t="s">
        <v>6059</v>
      </c>
      <c r="B2991" s="1" t="str">
        <f>"9781444307450"</f>
        <v>9781444307450</v>
      </c>
      <c r="C2991" s="1" t="s">
        <v>65</v>
      </c>
      <c r="D2991" s="2">
        <v>38824</v>
      </c>
      <c r="E2991" s="1" t="s">
        <v>6060</v>
      </c>
      <c r="F2991" s="1" t="s">
        <v>2243</v>
      </c>
    </row>
    <row r="2992" spans="1:6" ht="30" customHeight="1" x14ac:dyDescent="0.25">
      <c r="A2992" s="1" t="s">
        <v>6061</v>
      </c>
      <c r="B2992" s="1" t="str">
        <f>"9781444309300"</f>
        <v>9781444309300</v>
      </c>
      <c r="C2992" s="1" t="s">
        <v>65</v>
      </c>
      <c r="D2992" s="2">
        <v>39888</v>
      </c>
      <c r="E2992" s="1" t="s">
        <v>6062</v>
      </c>
      <c r="F2992" s="1" t="s">
        <v>13</v>
      </c>
    </row>
    <row r="2993" spans="1:6" ht="30" customHeight="1" x14ac:dyDescent="0.25">
      <c r="A2993" s="1" t="s">
        <v>6063</v>
      </c>
      <c r="B2993" s="1" t="str">
        <f>"9781444301014"</f>
        <v>9781444301014</v>
      </c>
      <c r="C2993" s="1" t="s">
        <v>65</v>
      </c>
      <c r="D2993" s="2">
        <v>39881</v>
      </c>
      <c r="E2993" s="1" t="s">
        <v>6064</v>
      </c>
      <c r="F2993" s="1" t="s">
        <v>13</v>
      </c>
    </row>
    <row r="2994" spans="1:6" ht="30" customHeight="1" x14ac:dyDescent="0.25">
      <c r="A2994" s="1" t="s">
        <v>6065</v>
      </c>
      <c r="B2994" s="1" t="str">
        <f>"9781444311921"</f>
        <v>9781444311921</v>
      </c>
      <c r="C2994" s="1" t="s">
        <v>65</v>
      </c>
      <c r="D2994" s="2">
        <v>39906</v>
      </c>
      <c r="E2994" s="1" t="s">
        <v>6066</v>
      </c>
      <c r="F2994" s="1" t="s">
        <v>13</v>
      </c>
    </row>
    <row r="2995" spans="1:6" ht="30" customHeight="1" x14ac:dyDescent="0.25">
      <c r="A2995" s="1" t="s">
        <v>6067</v>
      </c>
      <c r="B2995" s="1" t="str">
        <f>"9781444312478"</f>
        <v>9781444312478</v>
      </c>
      <c r="C2995" s="1" t="s">
        <v>65</v>
      </c>
      <c r="D2995" s="2">
        <v>39918</v>
      </c>
      <c r="E2995" s="1" t="s">
        <v>6068</v>
      </c>
      <c r="F2995" s="1" t="s">
        <v>13</v>
      </c>
    </row>
    <row r="2996" spans="1:6" ht="30" customHeight="1" x14ac:dyDescent="0.25">
      <c r="A2996" s="1" t="s">
        <v>6069</v>
      </c>
      <c r="B2996" s="1" t="str">
        <f>"9781444312652"</f>
        <v>9781444312652</v>
      </c>
      <c r="C2996" s="1" t="s">
        <v>65</v>
      </c>
      <c r="D2996" s="2">
        <v>39911</v>
      </c>
      <c r="E2996" s="1" t="s">
        <v>6070</v>
      </c>
      <c r="F2996" s="1" t="s">
        <v>13</v>
      </c>
    </row>
    <row r="2997" spans="1:6" ht="30" customHeight="1" x14ac:dyDescent="0.25">
      <c r="A2997" s="1" t="s">
        <v>6071</v>
      </c>
      <c r="B2997" s="1" t="str">
        <f>"9781444312553"</f>
        <v>9781444312553</v>
      </c>
      <c r="C2997" s="1" t="s">
        <v>65</v>
      </c>
      <c r="D2997" s="2">
        <v>39911</v>
      </c>
      <c r="E2997" s="1" t="s">
        <v>6072</v>
      </c>
      <c r="F2997" s="1" t="s">
        <v>13</v>
      </c>
    </row>
    <row r="2998" spans="1:6" ht="30" customHeight="1" x14ac:dyDescent="0.25">
      <c r="A2998" s="1" t="s">
        <v>6073</v>
      </c>
      <c r="B2998" s="1" t="str">
        <f>"9781444309614"</f>
        <v>9781444309614</v>
      </c>
      <c r="C2998" s="1" t="s">
        <v>65</v>
      </c>
      <c r="D2998" s="2">
        <v>39889</v>
      </c>
      <c r="E2998" s="1" t="s">
        <v>6074</v>
      </c>
      <c r="F2998" s="1" t="s">
        <v>268</v>
      </c>
    </row>
    <row r="2999" spans="1:6" ht="30" customHeight="1" x14ac:dyDescent="0.25">
      <c r="A2999" s="1" t="s">
        <v>6075</v>
      </c>
      <c r="B2999" s="1" t="str">
        <f>"9781444312683"</f>
        <v>9781444312683</v>
      </c>
      <c r="C2999" s="1" t="s">
        <v>65</v>
      </c>
      <c r="D2999" s="2">
        <v>39911</v>
      </c>
      <c r="E2999" s="1" t="s">
        <v>6076</v>
      </c>
      <c r="F2999" s="1" t="s">
        <v>13</v>
      </c>
    </row>
    <row r="3000" spans="1:6" ht="30" customHeight="1" x14ac:dyDescent="0.25">
      <c r="A3000" s="1" t="s">
        <v>6077</v>
      </c>
      <c r="B3000" s="1" t="str">
        <f>"9781444309355"</f>
        <v>9781444309355</v>
      </c>
      <c r="C3000" s="1" t="s">
        <v>65</v>
      </c>
      <c r="D3000" s="2">
        <v>39888</v>
      </c>
      <c r="E3000" s="1" t="s">
        <v>6078</v>
      </c>
      <c r="F3000" s="1" t="s">
        <v>126</v>
      </c>
    </row>
    <row r="3001" spans="1:6" ht="30" customHeight="1" x14ac:dyDescent="0.25">
      <c r="A3001" s="1" t="s">
        <v>6079</v>
      </c>
      <c r="B3001" s="1" t="str">
        <f>"9781444312690"</f>
        <v>9781444312690</v>
      </c>
      <c r="C3001" s="1" t="s">
        <v>65</v>
      </c>
      <c r="D3001" s="2">
        <v>39911</v>
      </c>
      <c r="E3001" s="1" t="s">
        <v>6080</v>
      </c>
      <c r="F3001" s="1" t="s">
        <v>30</v>
      </c>
    </row>
    <row r="3002" spans="1:6" ht="30" customHeight="1" x14ac:dyDescent="0.25">
      <c r="A3002" s="1" t="s">
        <v>6081</v>
      </c>
      <c r="B3002" s="1" t="str">
        <f>"9781444312713"</f>
        <v>9781444312713</v>
      </c>
      <c r="C3002" s="1" t="s">
        <v>65</v>
      </c>
      <c r="D3002" s="2">
        <v>39911</v>
      </c>
      <c r="E3002" s="1" t="s">
        <v>6082</v>
      </c>
      <c r="F3002" s="1" t="s">
        <v>13</v>
      </c>
    </row>
    <row r="3003" spans="1:6" ht="30" customHeight="1" x14ac:dyDescent="0.25">
      <c r="A3003" s="1" t="s">
        <v>6083</v>
      </c>
      <c r="B3003" s="1" t="str">
        <f>"9781444308679"</f>
        <v>9781444308679</v>
      </c>
      <c r="C3003" s="1" t="s">
        <v>65</v>
      </c>
      <c r="D3003" s="2">
        <v>39884</v>
      </c>
      <c r="E3003" s="1" t="s">
        <v>6084</v>
      </c>
      <c r="F3003" s="1" t="s">
        <v>13</v>
      </c>
    </row>
    <row r="3004" spans="1:6" ht="30" customHeight="1" x14ac:dyDescent="0.25">
      <c r="A3004" s="1" t="s">
        <v>6085</v>
      </c>
      <c r="B3004" s="1" t="str">
        <f>"9781444312508"</f>
        <v>9781444312508</v>
      </c>
      <c r="C3004" s="1" t="s">
        <v>65</v>
      </c>
      <c r="D3004" s="2">
        <v>39552</v>
      </c>
      <c r="E3004" s="1" t="s">
        <v>6086</v>
      </c>
      <c r="F3004" s="1" t="s">
        <v>13</v>
      </c>
    </row>
    <row r="3005" spans="1:6" ht="30" customHeight="1" x14ac:dyDescent="0.25">
      <c r="A3005" s="1" t="s">
        <v>6087</v>
      </c>
      <c r="B3005" s="1" t="str">
        <f>"9781444309522"</f>
        <v>9781444309522</v>
      </c>
      <c r="C3005" s="1" t="s">
        <v>65</v>
      </c>
      <c r="D3005" s="2">
        <v>39888</v>
      </c>
      <c r="E3005" s="1" t="s">
        <v>6088</v>
      </c>
      <c r="F3005" s="1" t="s">
        <v>13</v>
      </c>
    </row>
    <row r="3006" spans="1:6" ht="30" customHeight="1" x14ac:dyDescent="0.25">
      <c r="A3006" s="1" t="s">
        <v>6089</v>
      </c>
      <c r="B3006" s="1" t="str">
        <f>"9781444311716"</f>
        <v>9781444311716</v>
      </c>
      <c r="C3006" s="1" t="s">
        <v>65</v>
      </c>
      <c r="D3006" s="2">
        <v>39906</v>
      </c>
      <c r="E3006" s="1" t="s">
        <v>6090</v>
      </c>
      <c r="F3006" s="1" t="s">
        <v>137</v>
      </c>
    </row>
    <row r="3007" spans="1:6" ht="30" customHeight="1" x14ac:dyDescent="0.25">
      <c r="A3007" s="1" t="s">
        <v>6091</v>
      </c>
      <c r="B3007" s="1" t="str">
        <f>"9781444309263"</f>
        <v>9781444309263</v>
      </c>
      <c r="C3007" s="1" t="s">
        <v>65</v>
      </c>
      <c r="D3007" s="2">
        <v>39888</v>
      </c>
      <c r="E3007" s="1" t="s">
        <v>6092</v>
      </c>
      <c r="F3007" s="1" t="s">
        <v>13</v>
      </c>
    </row>
    <row r="3008" spans="1:6" ht="30" customHeight="1" x14ac:dyDescent="0.25">
      <c r="A3008" s="1" t="s">
        <v>6093</v>
      </c>
      <c r="B3008" s="1" t="str">
        <f>"9781444309331"</f>
        <v>9781444309331</v>
      </c>
      <c r="C3008" s="1" t="s">
        <v>65</v>
      </c>
      <c r="D3008" s="2">
        <v>39888</v>
      </c>
      <c r="E3008" s="1" t="s">
        <v>6094</v>
      </c>
      <c r="F3008" s="1" t="s">
        <v>13</v>
      </c>
    </row>
    <row r="3009" spans="1:6" ht="30" customHeight="1" x14ac:dyDescent="0.25">
      <c r="A3009" s="1" t="s">
        <v>6095</v>
      </c>
      <c r="B3009" s="1" t="str">
        <f>"9781444309539"</f>
        <v>9781444309539</v>
      </c>
      <c r="C3009" s="1" t="s">
        <v>65</v>
      </c>
      <c r="D3009" s="2">
        <v>39888</v>
      </c>
      <c r="E3009" s="1" t="s">
        <v>6096</v>
      </c>
      <c r="F3009" s="1" t="s">
        <v>214</v>
      </c>
    </row>
    <row r="3010" spans="1:6" ht="30" customHeight="1" x14ac:dyDescent="0.25">
      <c r="A3010" s="1" t="s">
        <v>6097</v>
      </c>
      <c r="B3010" s="1" t="str">
        <f>"9781444309584"</f>
        <v>9781444309584</v>
      </c>
      <c r="C3010" s="1" t="s">
        <v>65</v>
      </c>
      <c r="D3010" s="2">
        <v>39889</v>
      </c>
      <c r="E3010" s="1" t="s">
        <v>6098</v>
      </c>
      <c r="F3010" s="1" t="s">
        <v>30</v>
      </c>
    </row>
    <row r="3011" spans="1:6" ht="30" customHeight="1" x14ac:dyDescent="0.25">
      <c r="A3011" s="1" t="s">
        <v>6099</v>
      </c>
      <c r="B3011" s="1" t="str">
        <f>"9781444312492"</f>
        <v>9781444312492</v>
      </c>
      <c r="C3011" s="1" t="s">
        <v>65</v>
      </c>
      <c r="D3011" s="2">
        <v>39918</v>
      </c>
      <c r="E3011" s="1" t="s">
        <v>6100</v>
      </c>
      <c r="F3011" s="1" t="s">
        <v>13</v>
      </c>
    </row>
    <row r="3012" spans="1:6" ht="30" customHeight="1" x14ac:dyDescent="0.25">
      <c r="A3012" s="1" t="s">
        <v>6101</v>
      </c>
      <c r="B3012" s="1" t="str">
        <f>"9781444309393"</f>
        <v>9781444309393</v>
      </c>
      <c r="C3012" s="1" t="s">
        <v>65</v>
      </c>
      <c r="D3012" s="2">
        <v>39888</v>
      </c>
      <c r="E3012" s="1" t="s">
        <v>6102</v>
      </c>
      <c r="F3012" s="1" t="s">
        <v>30</v>
      </c>
    </row>
    <row r="3013" spans="1:6" ht="30" customHeight="1" x14ac:dyDescent="0.25">
      <c r="A3013" s="1" t="s">
        <v>6103</v>
      </c>
      <c r="B3013" s="1" t="str">
        <f>"9781444312409"</f>
        <v>9781444312409</v>
      </c>
      <c r="C3013" s="1" t="s">
        <v>65</v>
      </c>
      <c r="D3013" s="2">
        <v>39911</v>
      </c>
      <c r="E3013" s="1" t="s">
        <v>6104</v>
      </c>
      <c r="F3013" s="1" t="s">
        <v>13</v>
      </c>
    </row>
    <row r="3014" spans="1:6" ht="30" customHeight="1" x14ac:dyDescent="0.25">
      <c r="A3014" s="1" t="s">
        <v>6105</v>
      </c>
      <c r="B3014" s="1" t="str">
        <f>"9781444311860"</f>
        <v>9781444311860</v>
      </c>
      <c r="C3014" s="1" t="s">
        <v>65</v>
      </c>
      <c r="D3014" s="2">
        <v>39911</v>
      </c>
      <c r="E3014" s="1" t="s">
        <v>4495</v>
      </c>
      <c r="F3014" s="1" t="s">
        <v>13</v>
      </c>
    </row>
    <row r="3015" spans="1:6" ht="30" customHeight="1" x14ac:dyDescent="0.25">
      <c r="A3015" s="1" t="s">
        <v>6106</v>
      </c>
      <c r="B3015" s="1" t="str">
        <f>"9781444311679"</f>
        <v>9781444311679</v>
      </c>
      <c r="C3015" s="1" t="s">
        <v>65</v>
      </c>
      <c r="D3015" s="2">
        <v>39904</v>
      </c>
      <c r="E3015" s="1" t="s">
        <v>6107</v>
      </c>
      <c r="F3015" s="1" t="s">
        <v>33</v>
      </c>
    </row>
    <row r="3016" spans="1:6" ht="30" customHeight="1" x14ac:dyDescent="0.25">
      <c r="A3016" s="1" t="s">
        <v>6108</v>
      </c>
      <c r="B3016" s="1" t="str">
        <f>"9781444309577"</f>
        <v>9781444309577</v>
      </c>
      <c r="C3016" s="1" t="s">
        <v>65</v>
      </c>
      <c r="D3016" s="2">
        <v>39531</v>
      </c>
      <c r="E3016" s="1" t="s">
        <v>6109</v>
      </c>
      <c r="F3016" s="1" t="s">
        <v>13</v>
      </c>
    </row>
    <row r="3017" spans="1:6" ht="30" customHeight="1" x14ac:dyDescent="0.25">
      <c r="A3017" s="1" t="s">
        <v>6110</v>
      </c>
      <c r="B3017" s="1" t="str">
        <f>"9781444308167"</f>
        <v>9781444308167</v>
      </c>
      <c r="C3017" s="1" t="s">
        <v>65</v>
      </c>
      <c r="D3017" s="2">
        <v>39867</v>
      </c>
      <c r="E3017" s="1" t="s">
        <v>6111</v>
      </c>
      <c r="F3017" s="1" t="s">
        <v>13</v>
      </c>
    </row>
    <row r="3018" spans="1:6" ht="30" customHeight="1" x14ac:dyDescent="0.25">
      <c r="A3018" s="1" t="s">
        <v>6112</v>
      </c>
      <c r="B3018" s="1" t="str">
        <f>"9780080932729"</f>
        <v>9780080932729</v>
      </c>
      <c r="C3018" s="1" t="s">
        <v>900</v>
      </c>
      <c r="D3018" s="2">
        <v>39882</v>
      </c>
      <c r="E3018" s="1" t="s">
        <v>6113</v>
      </c>
      <c r="F3018" s="1" t="s">
        <v>137</v>
      </c>
    </row>
    <row r="3019" spans="1:6" ht="30" customHeight="1" x14ac:dyDescent="0.25">
      <c r="A3019" s="1" t="s">
        <v>6114</v>
      </c>
      <c r="B3019" s="1" t="str">
        <f>"9780080541747"</f>
        <v>9780080541747</v>
      </c>
      <c r="C3019" s="1" t="s">
        <v>900</v>
      </c>
      <c r="D3019" s="2">
        <v>40784</v>
      </c>
      <c r="E3019" s="1" t="s">
        <v>6115</v>
      </c>
      <c r="F3019" s="1" t="s">
        <v>33</v>
      </c>
    </row>
    <row r="3020" spans="1:6" ht="30" customHeight="1" x14ac:dyDescent="0.25">
      <c r="A3020" s="1" t="s">
        <v>6116</v>
      </c>
      <c r="B3020" s="1" t="str">
        <f>"9780387758459"</f>
        <v>9780387758459</v>
      </c>
      <c r="C3020" s="1" t="s">
        <v>4178</v>
      </c>
      <c r="D3020" s="2">
        <v>39873</v>
      </c>
      <c r="E3020" s="1" t="s">
        <v>6117</v>
      </c>
      <c r="F3020" s="1" t="s">
        <v>6118</v>
      </c>
    </row>
    <row r="3021" spans="1:6" ht="30" customHeight="1" x14ac:dyDescent="0.25">
      <c r="A3021" s="1" t="s">
        <v>6119</v>
      </c>
      <c r="B3021" s="1" t="str">
        <f>"9780387095509"</f>
        <v>9780387095509</v>
      </c>
      <c r="C3021" s="1" t="s">
        <v>4178</v>
      </c>
      <c r="D3021" s="2">
        <v>39879</v>
      </c>
      <c r="E3021" s="1" t="s">
        <v>6120</v>
      </c>
      <c r="F3021" s="1" t="s">
        <v>13</v>
      </c>
    </row>
    <row r="3022" spans="1:6" ht="30" customHeight="1" x14ac:dyDescent="0.25">
      <c r="A3022" s="1" t="s">
        <v>6121</v>
      </c>
      <c r="B3022" s="1" t="str">
        <f>"9780387788876"</f>
        <v>9780387788876</v>
      </c>
      <c r="C3022" s="1" t="s">
        <v>4178</v>
      </c>
      <c r="D3022" s="2">
        <v>39872</v>
      </c>
      <c r="E3022" s="1" t="s">
        <v>6122</v>
      </c>
      <c r="F3022" s="1" t="s">
        <v>13</v>
      </c>
    </row>
    <row r="3023" spans="1:6" ht="30" customHeight="1" x14ac:dyDescent="0.25">
      <c r="A3023" s="1" t="s">
        <v>6123</v>
      </c>
      <c r="B3023" s="1" t="str">
        <f>"9783110215113"</f>
        <v>9783110215113</v>
      </c>
      <c r="C3023" s="1" t="s">
        <v>1848</v>
      </c>
      <c r="D3023" s="2">
        <v>39870</v>
      </c>
      <c r="E3023" s="1" t="s">
        <v>6124</v>
      </c>
      <c r="F3023" s="1" t="s">
        <v>13</v>
      </c>
    </row>
    <row r="3024" spans="1:6" ht="30" customHeight="1" x14ac:dyDescent="0.25">
      <c r="A3024" s="1" t="s">
        <v>6125</v>
      </c>
      <c r="B3024" s="1" t="str">
        <f>"9780754683230"</f>
        <v>9780754683230</v>
      </c>
      <c r="C3024" s="1" t="s">
        <v>6126</v>
      </c>
      <c r="D3024" s="2">
        <v>39169</v>
      </c>
      <c r="E3024" s="1" t="s">
        <v>6127</v>
      </c>
      <c r="F3024" s="1" t="s">
        <v>114</v>
      </c>
    </row>
    <row r="3025" spans="1:6" ht="30" customHeight="1" x14ac:dyDescent="0.25">
      <c r="A3025" s="1" t="s">
        <v>6128</v>
      </c>
      <c r="B3025" s="1" t="str">
        <f>"9780754686002"</f>
        <v>9780754686002</v>
      </c>
      <c r="C3025" s="1" t="s">
        <v>6126</v>
      </c>
      <c r="D3025" s="2">
        <v>39141</v>
      </c>
      <c r="E3025" s="1" t="s">
        <v>6129</v>
      </c>
      <c r="F3025" s="1" t="s">
        <v>205</v>
      </c>
    </row>
    <row r="3026" spans="1:6" ht="30" customHeight="1" x14ac:dyDescent="0.25">
      <c r="A3026" s="1" t="s">
        <v>6130</v>
      </c>
      <c r="B3026" s="1" t="str">
        <f>"9780754685562"</f>
        <v>9780754685562</v>
      </c>
      <c r="C3026" s="1" t="s">
        <v>68</v>
      </c>
      <c r="D3026" s="2">
        <v>39387</v>
      </c>
      <c r="E3026" s="1" t="s">
        <v>6131</v>
      </c>
      <c r="F3026" s="1" t="s">
        <v>6132</v>
      </c>
    </row>
    <row r="3027" spans="1:6" ht="30" customHeight="1" x14ac:dyDescent="0.25">
      <c r="A3027" s="1" t="s">
        <v>6133</v>
      </c>
      <c r="B3027" s="1" t="str">
        <f>"9780754683049"</f>
        <v>9780754683049</v>
      </c>
      <c r="C3027" s="1" t="s">
        <v>68</v>
      </c>
      <c r="D3027" s="2">
        <v>39387</v>
      </c>
      <c r="E3027" s="1" t="s">
        <v>6134</v>
      </c>
      <c r="F3027" s="1" t="s">
        <v>13</v>
      </c>
    </row>
    <row r="3028" spans="1:6" ht="30" customHeight="1" x14ac:dyDescent="0.25">
      <c r="A3028" s="1" t="s">
        <v>6135</v>
      </c>
      <c r="B3028" s="1" t="str">
        <f>"9780754685579"</f>
        <v>9780754685579</v>
      </c>
      <c r="C3028" s="1" t="s">
        <v>6126</v>
      </c>
      <c r="D3028" s="2">
        <v>39018</v>
      </c>
      <c r="E3028" s="1" t="s">
        <v>6136</v>
      </c>
      <c r="F3028" s="1" t="s">
        <v>6137</v>
      </c>
    </row>
    <row r="3029" spans="1:6" ht="30" customHeight="1" x14ac:dyDescent="0.25">
      <c r="A3029" s="1" t="s">
        <v>6138</v>
      </c>
      <c r="B3029" s="1" t="str">
        <f>"9780754682868"</f>
        <v>9780754682868</v>
      </c>
      <c r="C3029" s="1" t="s">
        <v>68</v>
      </c>
      <c r="D3029" s="2">
        <v>39387</v>
      </c>
      <c r="E3029" s="1" t="s">
        <v>6139</v>
      </c>
      <c r="F3029" s="1" t="s">
        <v>95</v>
      </c>
    </row>
    <row r="3030" spans="1:6" ht="30" customHeight="1" x14ac:dyDescent="0.25">
      <c r="A3030" s="1" t="s">
        <v>6140</v>
      </c>
      <c r="B3030" s="1" t="str">
        <f>"9780754680574"</f>
        <v>9780754680574</v>
      </c>
      <c r="C3030" s="1" t="s">
        <v>68</v>
      </c>
      <c r="D3030" s="2">
        <v>39387</v>
      </c>
      <c r="E3030" s="1" t="s">
        <v>6141</v>
      </c>
      <c r="F3030" s="1" t="s">
        <v>87</v>
      </c>
    </row>
    <row r="3031" spans="1:6" ht="30" customHeight="1" x14ac:dyDescent="0.25">
      <c r="A3031" s="1" t="s">
        <v>6142</v>
      </c>
      <c r="B3031" s="1" t="str">
        <f>"9781849770460"</f>
        <v>9781849770460</v>
      </c>
      <c r="C3031" s="1" t="s">
        <v>68</v>
      </c>
      <c r="D3031" s="2">
        <v>41052</v>
      </c>
      <c r="E3031" s="1" t="s">
        <v>6143</v>
      </c>
      <c r="F3031" s="1" t="s">
        <v>6144</v>
      </c>
    </row>
    <row r="3032" spans="1:6" ht="30" customHeight="1" x14ac:dyDescent="0.25">
      <c r="A3032" s="1" t="s">
        <v>6145</v>
      </c>
      <c r="B3032" s="1" t="str">
        <f>"9781849773492"</f>
        <v>9781849773492</v>
      </c>
      <c r="C3032" s="1" t="s">
        <v>68</v>
      </c>
      <c r="D3032" s="2">
        <v>38504</v>
      </c>
      <c r="E3032" s="1" t="s">
        <v>6146</v>
      </c>
      <c r="F3032" s="1" t="s">
        <v>176</v>
      </c>
    </row>
    <row r="3033" spans="1:6" ht="30" customHeight="1" x14ac:dyDescent="0.25">
      <c r="A3033" s="1" t="s">
        <v>6147</v>
      </c>
      <c r="B3033" s="1" t="str">
        <f>"9781849773546"</f>
        <v>9781849773546</v>
      </c>
      <c r="C3033" s="1" t="s">
        <v>68</v>
      </c>
      <c r="D3033" s="2">
        <v>38504</v>
      </c>
      <c r="E3033" s="1" t="s">
        <v>6148</v>
      </c>
      <c r="F3033" s="1" t="s">
        <v>33</v>
      </c>
    </row>
    <row r="3034" spans="1:6" ht="30" customHeight="1" x14ac:dyDescent="0.25">
      <c r="A3034" s="1" t="s">
        <v>6149</v>
      </c>
      <c r="B3034" s="1" t="str">
        <f>"9780198040750"</f>
        <v>9780198040750</v>
      </c>
      <c r="C3034" s="1" t="s">
        <v>1120</v>
      </c>
      <c r="D3034" s="2">
        <v>38967</v>
      </c>
      <c r="E3034" s="1" t="s">
        <v>6150</v>
      </c>
      <c r="F3034" s="1" t="s">
        <v>13</v>
      </c>
    </row>
    <row r="3035" spans="1:6" ht="30" customHeight="1" x14ac:dyDescent="0.25">
      <c r="A3035" s="1" t="s">
        <v>6151</v>
      </c>
      <c r="B3035" s="1" t="str">
        <f>"9780198040767"</f>
        <v>9780198040767</v>
      </c>
      <c r="C3035" s="1" t="s">
        <v>1120</v>
      </c>
      <c r="D3035" s="2">
        <v>38960</v>
      </c>
      <c r="E3035" s="1" t="s">
        <v>6152</v>
      </c>
      <c r="F3035" s="1" t="s">
        <v>13</v>
      </c>
    </row>
    <row r="3036" spans="1:6" ht="30" customHeight="1" x14ac:dyDescent="0.25">
      <c r="A3036" s="1" t="s">
        <v>6153</v>
      </c>
      <c r="B3036" s="1" t="str">
        <f>"9780198029229"</f>
        <v>9780198029229</v>
      </c>
      <c r="C3036" s="1" t="s">
        <v>1123</v>
      </c>
      <c r="D3036" s="2">
        <v>36818</v>
      </c>
      <c r="E3036" s="1" t="s">
        <v>6154</v>
      </c>
      <c r="F3036" s="1" t="s">
        <v>214</v>
      </c>
    </row>
    <row r="3037" spans="1:6" ht="30" customHeight="1" x14ac:dyDescent="0.25">
      <c r="A3037" s="1" t="s">
        <v>6155</v>
      </c>
      <c r="B3037" s="1" t="str">
        <f>"9780191568626"</f>
        <v>9780191568626</v>
      </c>
      <c r="C3037" s="1" t="s">
        <v>1120</v>
      </c>
      <c r="D3037" s="2">
        <v>38540</v>
      </c>
      <c r="E3037" s="1" t="s">
        <v>6156</v>
      </c>
      <c r="F3037" s="1" t="s">
        <v>127</v>
      </c>
    </row>
    <row r="3038" spans="1:6" ht="30" customHeight="1" x14ac:dyDescent="0.25">
      <c r="A3038" s="1" t="s">
        <v>6157</v>
      </c>
      <c r="B3038" s="1" t="str">
        <f>"9780198030591"</f>
        <v>9780198030591</v>
      </c>
      <c r="C3038" s="1" t="s">
        <v>1123</v>
      </c>
      <c r="D3038" s="2">
        <v>36825</v>
      </c>
      <c r="E3038" s="1" t="s">
        <v>6158</v>
      </c>
      <c r="F3038" s="1" t="s">
        <v>13</v>
      </c>
    </row>
    <row r="3039" spans="1:6" ht="30" customHeight="1" x14ac:dyDescent="0.25">
      <c r="A3039" s="1" t="s">
        <v>6159</v>
      </c>
      <c r="B3039" s="1" t="str">
        <f>"9780198042235"</f>
        <v>9780198042235</v>
      </c>
      <c r="C3039" s="1" t="s">
        <v>1123</v>
      </c>
      <c r="D3039" s="2">
        <v>38960</v>
      </c>
      <c r="E3039" s="1" t="s">
        <v>6160</v>
      </c>
      <c r="F3039" s="1" t="s">
        <v>13</v>
      </c>
    </row>
    <row r="3040" spans="1:6" ht="30" customHeight="1" x14ac:dyDescent="0.25">
      <c r="A3040" s="1" t="s">
        <v>6161</v>
      </c>
      <c r="B3040" s="1" t="str">
        <f>"9780198040828"</f>
        <v>9780198040828</v>
      </c>
      <c r="C3040" s="1" t="s">
        <v>1123</v>
      </c>
      <c r="D3040" s="2">
        <v>38967</v>
      </c>
      <c r="E3040" s="1" t="s">
        <v>6162</v>
      </c>
      <c r="F3040" s="1" t="s">
        <v>13</v>
      </c>
    </row>
    <row r="3041" spans="1:6" ht="30" customHeight="1" x14ac:dyDescent="0.25">
      <c r="A3041" s="1" t="s">
        <v>6163</v>
      </c>
      <c r="B3041" s="1" t="str">
        <f>"9780199726042"</f>
        <v>9780199726042</v>
      </c>
      <c r="C3041" s="1" t="s">
        <v>1123</v>
      </c>
      <c r="D3041" s="2">
        <v>39798</v>
      </c>
      <c r="E3041" s="1" t="s">
        <v>6164</v>
      </c>
      <c r="F3041" s="1" t="s">
        <v>13</v>
      </c>
    </row>
    <row r="3042" spans="1:6" ht="30" customHeight="1" x14ac:dyDescent="0.25">
      <c r="A3042" s="1" t="s">
        <v>6165</v>
      </c>
      <c r="B3042" s="1" t="str">
        <f>"9780198029656"</f>
        <v>9780198029656</v>
      </c>
      <c r="C3042" s="1" t="s">
        <v>1123</v>
      </c>
      <c r="D3042" s="2">
        <v>36258</v>
      </c>
      <c r="E3042" s="1" t="s">
        <v>6166</v>
      </c>
      <c r="F3042" s="1" t="s">
        <v>13</v>
      </c>
    </row>
    <row r="3043" spans="1:6" ht="30" customHeight="1" x14ac:dyDescent="0.25">
      <c r="A3043" s="1" t="s">
        <v>6167</v>
      </c>
      <c r="B3043" s="1" t="str">
        <f>"9780191534805"</f>
        <v>9780191534805</v>
      </c>
      <c r="C3043" s="1" t="s">
        <v>1123</v>
      </c>
      <c r="D3043" s="2">
        <v>41773</v>
      </c>
      <c r="E3043" s="1" t="s">
        <v>6168</v>
      </c>
      <c r="F3043" s="1" t="s">
        <v>30</v>
      </c>
    </row>
    <row r="3044" spans="1:6" ht="30" customHeight="1" x14ac:dyDescent="0.25">
      <c r="A3044" s="1" t="s">
        <v>6169</v>
      </c>
      <c r="B3044" s="1" t="str">
        <f>"9780199717996"</f>
        <v>9780199717996</v>
      </c>
      <c r="C3044" s="1" t="s">
        <v>1123</v>
      </c>
      <c r="D3044" s="2">
        <v>39413</v>
      </c>
      <c r="E3044" s="1" t="s">
        <v>6170</v>
      </c>
      <c r="F3044" s="1" t="s">
        <v>13</v>
      </c>
    </row>
    <row r="3045" spans="1:6" ht="30" customHeight="1" x14ac:dyDescent="0.25">
      <c r="A3045" s="1" t="s">
        <v>6171</v>
      </c>
      <c r="B3045" s="1" t="str">
        <f>"9780191534287"</f>
        <v>9780191534287</v>
      </c>
      <c r="C3045" s="1" t="s">
        <v>1117</v>
      </c>
      <c r="D3045" s="2">
        <v>38904</v>
      </c>
      <c r="E3045" s="1" t="s">
        <v>6172</v>
      </c>
      <c r="F3045" s="1" t="s">
        <v>95</v>
      </c>
    </row>
    <row r="3046" spans="1:6" ht="30" customHeight="1" x14ac:dyDescent="0.25">
      <c r="A3046" s="1" t="s">
        <v>6173</v>
      </c>
      <c r="B3046" s="1" t="str">
        <f>"9780191513718"</f>
        <v>9780191513718</v>
      </c>
      <c r="C3046" s="1" t="s">
        <v>1120</v>
      </c>
      <c r="D3046" s="2">
        <v>38834</v>
      </c>
      <c r="E3046" s="1" t="s">
        <v>6174</v>
      </c>
      <c r="F3046" s="1" t="s">
        <v>13</v>
      </c>
    </row>
    <row r="3047" spans="1:6" ht="30" customHeight="1" x14ac:dyDescent="0.25">
      <c r="A3047" s="1" t="s">
        <v>6175</v>
      </c>
      <c r="B3047" s="1" t="str">
        <f>"9780198029298"</f>
        <v>9780198029298</v>
      </c>
      <c r="C3047" s="1" t="s">
        <v>1120</v>
      </c>
      <c r="D3047" s="2">
        <v>36223</v>
      </c>
      <c r="E3047" s="1" t="s">
        <v>6176</v>
      </c>
      <c r="F3047" s="1" t="s">
        <v>13</v>
      </c>
    </row>
    <row r="3048" spans="1:6" ht="30" customHeight="1" x14ac:dyDescent="0.25">
      <c r="A3048" s="1" t="s">
        <v>6177</v>
      </c>
      <c r="B3048" s="1" t="str">
        <f>"9780199707003"</f>
        <v>9780199707003</v>
      </c>
      <c r="C3048" s="1" t="s">
        <v>1120</v>
      </c>
      <c r="D3048" s="2">
        <v>39931</v>
      </c>
      <c r="E3048" s="1" t="s">
        <v>6178</v>
      </c>
      <c r="F3048" s="1" t="s">
        <v>13</v>
      </c>
    </row>
    <row r="3049" spans="1:6" ht="30" customHeight="1" x14ac:dyDescent="0.25">
      <c r="A3049" s="1" t="s">
        <v>6179</v>
      </c>
      <c r="B3049" s="1" t="str">
        <f>"9780198027430"</f>
        <v>9780198027430</v>
      </c>
      <c r="C3049" s="1" t="s">
        <v>1123</v>
      </c>
      <c r="D3049" s="2">
        <v>36265</v>
      </c>
      <c r="E3049" s="1" t="s">
        <v>5346</v>
      </c>
      <c r="F3049" s="1" t="s">
        <v>13</v>
      </c>
    </row>
    <row r="3050" spans="1:6" ht="30" customHeight="1" x14ac:dyDescent="0.25">
      <c r="A3050" s="1" t="s">
        <v>6180</v>
      </c>
      <c r="B3050" s="1" t="str">
        <f>"9780191524042"</f>
        <v>9780191524042</v>
      </c>
      <c r="C3050" s="1" t="s">
        <v>1117</v>
      </c>
      <c r="D3050" s="2">
        <v>38841</v>
      </c>
      <c r="E3050" s="1" t="s">
        <v>6181</v>
      </c>
      <c r="F3050" s="1" t="s">
        <v>117</v>
      </c>
    </row>
    <row r="3051" spans="1:6" ht="30" customHeight="1" x14ac:dyDescent="0.25">
      <c r="A3051" s="1" t="s">
        <v>6182</v>
      </c>
      <c r="B3051" s="1" t="str">
        <f>"9780198028451"</f>
        <v>9780198028451</v>
      </c>
      <c r="C3051" s="1" t="s">
        <v>1123</v>
      </c>
      <c r="D3051" s="2">
        <v>36356</v>
      </c>
      <c r="E3051" s="1" t="s">
        <v>6183</v>
      </c>
      <c r="F3051" s="1" t="s">
        <v>13</v>
      </c>
    </row>
    <row r="3052" spans="1:6" ht="30" customHeight="1" x14ac:dyDescent="0.25">
      <c r="A3052" s="1" t="s">
        <v>6184</v>
      </c>
      <c r="B3052" s="1" t="str">
        <f>"9780199724697"</f>
        <v>9780199724697</v>
      </c>
      <c r="C3052" s="1" t="s">
        <v>1123</v>
      </c>
      <c r="D3052" s="2">
        <v>39927</v>
      </c>
      <c r="E3052" s="1" t="s">
        <v>6185</v>
      </c>
      <c r="F3052" s="1" t="s">
        <v>13</v>
      </c>
    </row>
    <row r="3053" spans="1:6" ht="30" customHeight="1" x14ac:dyDescent="0.25">
      <c r="A3053" s="1" t="s">
        <v>6186</v>
      </c>
      <c r="B3053" s="1" t="str">
        <f>"9780199706235"</f>
        <v>9780199706235</v>
      </c>
      <c r="C3053" s="1" t="s">
        <v>1120</v>
      </c>
      <c r="D3053" s="2">
        <v>39701</v>
      </c>
      <c r="E3053" s="1" t="s">
        <v>6187</v>
      </c>
      <c r="F3053" s="1" t="s">
        <v>13</v>
      </c>
    </row>
    <row r="3054" spans="1:6" ht="30" customHeight="1" x14ac:dyDescent="0.25">
      <c r="A3054" s="1" t="s">
        <v>6188</v>
      </c>
      <c r="B3054" s="1" t="str">
        <f>"9780199706228"</f>
        <v>9780199706228</v>
      </c>
      <c r="C3054" s="1" t="s">
        <v>1123</v>
      </c>
      <c r="D3054" s="2">
        <v>39706</v>
      </c>
      <c r="E3054" s="1" t="s">
        <v>6189</v>
      </c>
      <c r="F3054" s="1" t="s">
        <v>13</v>
      </c>
    </row>
    <row r="3055" spans="1:6" ht="30" customHeight="1" x14ac:dyDescent="0.25">
      <c r="A3055" s="1" t="s">
        <v>6190</v>
      </c>
      <c r="B3055" s="1" t="str">
        <f>"9780191513121"</f>
        <v>9780191513121</v>
      </c>
      <c r="C3055" s="1" t="s">
        <v>1117</v>
      </c>
      <c r="D3055" s="2">
        <v>38989</v>
      </c>
      <c r="E3055" s="1" t="s">
        <v>6191</v>
      </c>
      <c r="F3055" s="1" t="s">
        <v>63</v>
      </c>
    </row>
    <row r="3056" spans="1:6" ht="30" customHeight="1" x14ac:dyDescent="0.25">
      <c r="A3056" s="1" t="s">
        <v>6192</v>
      </c>
      <c r="B3056" s="1" t="str">
        <f>"9780191513114"</f>
        <v>9780191513114</v>
      </c>
      <c r="C3056" s="1" t="s">
        <v>1117</v>
      </c>
      <c r="D3056" s="2">
        <v>38820</v>
      </c>
      <c r="E3056" s="1" t="s">
        <v>6193</v>
      </c>
      <c r="F3056" s="1" t="s">
        <v>1338</v>
      </c>
    </row>
    <row r="3057" spans="1:6" ht="30" customHeight="1" x14ac:dyDescent="0.25">
      <c r="A3057" s="1" t="s">
        <v>6194</v>
      </c>
      <c r="B3057" s="1" t="str">
        <f>"9780198030850"</f>
        <v>9780198030850</v>
      </c>
      <c r="C3057" s="1" t="s">
        <v>1120</v>
      </c>
      <c r="D3057" s="2">
        <v>38135</v>
      </c>
      <c r="E3057" s="1" t="s">
        <v>6195</v>
      </c>
      <c r="F3057" s="1" t="s">
        <v>13</v>
      </c>
    </row>
    <row r="3058" spans="1:6" ht="30" customHeight="1" x14ac:dyDescent="0.25">
      <c r="A3058" s="1" t="s">
        <v>6196</v>
      </c>
      <c r="B3058" s="1" t="str">
        <f>"9780195351828"</f>
        <v>9780195351828</v>
      </c>
      <c r="C3058" s="1" t="s">
        <v>1123</v>
      </c>
      <c r="D3058" s="2">
        <v>36608</v>
      </c>
      <c r="E3058" s="1" t="s">
        <v>6197</v>
      </c>
      <c r="F3058" s="1" t="s">
        <v>13</v>
      </c>
    </row>
    <row r="3059" spans="1:6" ht="30" customHeight="1" x14ac:dyDescent="0.25">
      <c r="A3059" s="1" t="s">
        <v>6198</v>
      </c>
      <c r="B3059" s="1" t="str">
        <f>"9780199729661"</f>
        <v>9780199729661</v>
      </c>
      <c r="C3059" s="1" t="s">
        <v>1123</v>
      </c>
      <c r="D3059" s="2">
        <v>39927</v>
      </c>
      <c r="E3059" s="1" t="s">
        <v>6199</v>
      </c>
      <c r="F3059" s="1" t="s">
        <v>6200</v>
      </c>
    </row>
    <row r="3060" spans="1:6" ht="30" customHeight="1" x14ac:dyDescent="0.25">
      <c r="A3060" s="1" t="s">
        <v>6201</v>
      </c>
      <c r="B3060" s="1" t="str">
        <f>"9780198043423"</f>
        <v>9780198043423</v>
      </c>
      <c r="C3060" s="1" t="s">
        <v>1123</v>
      </c>
      <c r="D3060" s="2">
        <v>39930</v>
      </c>
      <c r="E3060" s="1" t="s">
        <v>6199</v>
      </c>
      <c r="F3060" s="1" t="s">
        <v>148</v>
      </c>
    </row>
    <row r="3061" spans="1:6" ht="30" customHeight="1" x14ac:dyDescent="0.25">
      <c r="A3061" s="1" t="s">
        <v>6202</v>
      </c>
      <c r="B3061" s="1" t="str">
        <f>"9780199724161"</f>
        <v>9780199724161</v>
      </c>
      <c r="C3061" s="1" t="s">
        <v>1123</v>
      </c>
      <c r="D3061" s="2">
        <v>39801</v>
      </c>
      <c r="E3061" s="1" t="s">
        <v>6203</v>
      </c>
      <c r="F3061" s="1" t="s">
        <v>158</v>
      </c>
    </row>
    <row r="3062" spans="1:6" ht="30" customHeight="1" x14ac:dyDescent="0.25">
      <c r="A3062" s="1" t="s">
        <v>6204</v>
      </c>
      <c r="B3062" s="1" t="str">
        <f>"9780199723027"</f>
        <v>9780199723027</v>
      </c>
      <c r="C3062" s="1" t="s">
        <v>1120</v>
      </c>
      <c r="D3062" s="2">
        <v>36405</v>
      </c>
      <c r="E3062" s="1" t="s">
        <v>6205</v>
      </c>
      <c r="F3062" s="1" t="s">
        <v>13</v>
      </c>
    </row>
    <row r="3063" spans="1:6" ht="30" customHeight="1" x14ac:dyDescent="0.25">
      <c r="A3063" s="1" t="s">
        <v>6206</v>
      </c>
      <c r="B3063" s="1" t="str">
        <f>"9780198038009"</f>
        <v>9780198038009</v>
      </c>
      <c r="C3063" s="1" t="s">
        <v>1123</v>
      </c>
      <c r="D3063" s="2">
        <v>38838</v>
      </c>
      <c r="E3063" s="1" t="s">
        <v>6207</v>
      </c>
      <c r="F3063" s="1" t="s">
        <v>63</v>
      </c>
    </row>
    <row r="3064" spans="1:6" ht="30" customHeight="1" x14ac:dyDescent="0.25">
      <c r="A3064" s="1" t="s">
        <v>6208</v>
      </c>
      <c r="B3064" s="1" t="str">
        <f>"9780198029649"</f>
        <v>9780198029649</v>
      </c>
      <c r="C3064" s="1" t="s">
        <v>1123</v>
      </c>
      <c r="D3064" s="2">
        <v>36258</v>
      </c>
      <c r="E3064" s="1" t="s">
        <v>6209</v>
      </c>
      <c r="F3064" s="1" t="s">
        <v>13</v>
      </c>
    </row>
    <row r="3065" spans="1:6" ht="30" customHeight="1" x14ac:dyDescent="0.25">
      <c r="A3065" s="1" t="s">
        <v>6210</v>
      </c>
      <c r="B3065" s="1" t="str">
        <f>"9780199710508"</f>
        <v>9780199710508</v>
      </c>
      <c r="C3065" s="1" t="s">
        <v>1123</v>
      </c>
      <c r="D3065" s="2">
        <v>39913</v>
      </c>
      <c r="E3065" s="1" t="s">
        <v>6211</v>
      </c>
      <c r="F3065" s="1" t="s">
        <v>13</v>
      </c>
    </row>
    <row r="3066" spans="1:6" ht="30" customHeight="1" x14ac:dyDescent="0.25">
      <c r="A3066" s="1" t="s">
        <v>6212</v>
      </c>
      <c r="B3066" s="1" t="str">
        <f>"9780191568817"</f>
        <v>9780191568817</v>
      </c>
      <c r="C3066" s="1" t="s">
        <v>1120</v>
      </c>
      <c r="D3066" s="2">
        <v>39359</v>
      </c>
      <c r="E3066" s="1" t="s">
        <v>6213</v>
      </c>
      <c r="F3066" s="1" t="s">
        <v>13</v>
      </c>
    </row>
    <row r="3067" spans="1:6" ht="30" customHeight="1" x14ac:dyDescent="0.25">
      <c r="A3067" s="1" t="s">
        <v>6214</v>
      </c>
      <c r="B3067" s="1" t="str">
        <f>"9780195352566"</f>
        <v>9780195352566</v>
      </c>
      <c r="C3067" s="1" t="s">
        <v>1123</v>
      </c>
      <c r="D3067" s="2">
        <v>36482</v>
      </c>
      <c r="E3067" s="1" t="s">
        <v>6215</v>
      </c>
      <c r="F3067" s="1" t="s">
        <v>13</v>
      </c>
    </row>
    <row r="3068" spans="1:6" ht="30" customHeight="1" x14ac:dyDescent="0.25">
      <c r="A3068" s="1" t="s">
        <v>6216</v>
      </c>
      <c r="B3068" s="1" t="str">
        <f>"9780198031109"</f>
        <v>9780198031109</v>
      </c>
      <c r="C3068" s="1" t="s">
        <v>1123</v>
      </c>
      <c r="D3068" s="2">
        <v>37224</v>
      </c>
      <c r="E3068" s="1" t="s">
        <v>6217</v>
      </c>
      <c r="F3068" s="1" t="s">
        <v>963</v>
      </c>
    </row>
    <row r="3069" spans="1:6" ht="30" customHeight="1" x14ac:dyDescent="0.25">
      <c r="A3069" s="1" t="s">
        <v>6218</v>
      </c>
      <c r="B3069" s="1" t="str">
        <f>"9780198025306"</f>
        <v>9780198025306</v>
      </c>
      <c r="C3069" s="1" t="s">
        <v>1120</v>
      </c>
      <c r="D3069" s="2">
        <v>35033</v>
      </c>
      <c r="E3069" s="1" t="s">
        <v>6219</v>
      </c>
      <c r="F3069" s="1" t="s">
        <v>3911</v>
      </c>
    </row>
    <row r="3070" spans="1:6" ht="30" customHeight="1" x14ac:dyDescent="0.25">
      <c r="A3070" s="1" t="s">
        <v>1146</v>
      </c>
      <c r="B3070" s="1" t="str">
        <f>"9780199728299"</f>
        <v>9780199728299</v>
      </c>
      <c r="C3070" s="1" t="s">
        <v>1120</v>
      </c>
      <c r="D3070" s="2">
        <v>39911</v>
      </c>
      <c r="E3070" s="1" t="s">
        <v>1147</v>
      </c>
      <c r="F3070" s="1" t="s">
        <v>70</v>
      </c>
    </row>
    <row r="3071" spans="1:6" ht="30" customHeight="1" x14ac:dyDescent="0.25">
      <c r="A3071" s="1" t="s">
        <v>6220</v>
      </c>
      <c r="B3071" s="1" t="str">
        <f>"9780199724932"</f>
        <v>9780199724932</v>
      </c>
      <c r="C3071" s="1" t="s">
        <v>1120</v>
      </c>
      <c r="D3071" s="2">
        <v>39916</v>
      </c>
      <c r="E3071" s="1" t="s">
        <v>6221</v>
      </c>
      <c r="F3071" s="1" t="s">
        <v>13</v>
      </c>
    </row>
    <row r="3072" spans="1:6" ht="30" customHeight="1" x14ac:dyDescent="0.25">
      <c r="A3072" s="1" t="s">
        <v>6222</v>
      </c>
      <c r="B3072" s="1" t="str">
        <f>"9780198024682"</f>
        <v>9780198024682</v>
      </c>
      <c r="C3072" s="1" t="s">
        <v>1120</v>
      </c>
      <c r="D3072" s="2">
        <v>36587</v>
      </c>
      <c r="E3072" s="1" t="s">
        <v>6223</v>
      </c>
      <c r="F3072" s="1" t="s">
        <v>54</v>
      </c>
    </row>
    <row r="3073" spans="1:6" ht="30" customHeight="1" x14ac:dyDescent="0.25">
      <c r="A3073" s="1" t="s">
        <v>6224</v>
      </c>
      <c r="B3073" s="1" t="str">
        <f>"9780199731053"</f>
        <v>9780199731053</v>
      </c>
      <c r="C3073" s="1" t="s">
        <v>1123</v>
      </c>
      <c r="D3073" s="2">
        <v>38589</v>
      </c>
      <c r="E3073" s="1" t="s">
        <v>6225</v>
      </c>
      <c r="F3073" s="1" t="s">
        <v>480</v>
      </c>
    </row>
    <row r="3074" spans="1:6" ht="30" customHeight="1" x14ac:dyDescent="0.25">
      <c r="A3074" s="1" t="s">
        <v>6226</v>
      </c>
      <c r="B3074" s="1" t="str">
        <f>"9780195360066"</f>
        <v>9780195360066</v>
      </c>
      <c r="C3074" s="1" t="s">
        <v>1120</v>
      </c>
      <c r="D3074" s="2">
        <v>34781</v>
      </c>
      <c r="E3074" s="1" t="s">
        <v>6227</v>
      </c>
      <c r="F3074" s="1" t="s">
        <v>30</v>
      </c>
    </row>
    <row r="3075" spans="1:6" ht="30" customHeight="1" x14ac:dyDescent="0.25">
      <c r="A3075" s="1" t="s">
        <v>6228</v>
      </c>
      <c r="B3075" s="1" t="str">
        <f>"9780191514296"</f>
        <v>9780191514296</v>
      </c>
      <c r="C3075" s="1" t="s">
        <v>1117</v>
      </c>
      <c r="D3075" s="2">
        <v>38981</v>
      </c>
      <c r="E3075" s="1" t="s">
        <v>6229</v>
      </c>
      <c r="F3075" s="1" t="s">
        <v>13</v>
      </c>
    </row>
    <row r="3076" spans="1:6" ht="30" customHeight="1" x14ac:dyDescent="0.25">
      <c r="A3076" s="1" t="s">
        <v>6230</v>
      </c>
      <c r="B3076" s="1" t="str">
        <f>"9780198033523"</f>
        <v>9780198033523</v>
      </c>
      <c r="C3076" s="1" t="s">
        <v>1123</v>
      </c>
      <c r="D3076" s="2">
        <v>37140</v>
      </c>
      <c r="E3076" s="1" t="s">
        <v>6231</v>
      </c>
      <c r="F3076" s="1" t="s">
        <v>13</v>
      </c>
    </row>
    <row r="3077" spans="1:6" ht="30" customHeight="1" x14ac:dyDescent="0.25">
      <c r="A3077" s="1" t="s">
        <v>6232</v>
      </c>
      <c r="B3077" s="1" t="str">
        <f>"9780199724185"</f>
        <v>9780199724185</v>
      </c>
      <c r="C3077" s="1" t="s">
        <v>1123</v>
      </c>
      <c r="D3077" s="2">
        <v>39734</v>
      </c>
      <c r="E3077" s="1" t="s">
        <v>1889</v>
      </c>
      <c r="F3077" s="1" t="s">
        <v>13</v>
      </c>
    </row>
    <row r="3078" spans="1:6" ht="30" customHeight="1" x14ac:dyDescent="0.25">
      <c r="A3078" s="1" t="s">
        <v>6233</v>
      </c>
      <c r="B3078" s="1" t="str">
        <f>"9780198039914"</f>
        <v>9780198039914</v>
      </c>
      <c r="C3078" s="1" t="s">
        <v>1120</v>
      </c>
      <c r="D3078" s="2">
        <v>38991</v>
      </c>
      <c r="E3078" s="1" t="s">
        <v>6234</v>
      </c>
      <c r="F3078" s="1" t="s">
        <v>87</v>
      </c>
    </row>
    <row r="3079" spans="1:6" ht="30" customHeight="1" x14ac:dyDescent="0.25">
      <c r="A3079" s="1" t="s">
        <v>6235</v>
      </c>
      <c r="B3079" s="1" t="str">
        <f>"9780198034407"</f>
        <v>9780198034407</v>
      </c>
      <c r="C3079" s="1" t="s">
        <v>1123</v>
      </c>
      <c r="D3079" s="2">
        <v>37189</v>
      </c>
      <c r="E3079" s="1" t="s">
        <v>6236</v>
      </c>
      <c r="F3079" s="1" t="s">
        <v>6237</v>
      </c>
    </row>
    <row r="3080" spans="1:6" ht="30" customHeight="1" x14ac:dyDescent="0.25">
      <c r="A3080" s="1" t="s">
        <v>6238</v>
      </c>
      <c r="B3080" s="1" t="str">
        <f>"9780198028703"</f>
        <v>9780198028703</v>
      </c>
      <c r="C3080" s="1" t="s">
        <v>1123</v>
      </c>
      <c r="D3080" s="2">
        <v>37399</v>
      </c>
      <c r="E3080" s="1" t="s">
        <v>6239</v>
      </c>
      <c r="F3080" s="1" t="s">
        <v>70</v>
      </c>
    </row>
    <row r="3081" spans="1:6" ht="30" customHeight="1" x14ac:dyDescent="0.25">
      <c r="A3081" s="1" t="s">
        <v>6240</v>
      </c>
      <c r="B3081" s="1" t="str">
        <f>"9780195349566"</f>
        <v>9780195349566</v>
      </c>
      <c r="C3081" s="1" t="s">
        <v>1123</v>
      </c>
      <c r="D3081" s="2">
        <v>37042</v>
      </c>
      <c r="E3081" s="1" t="s">
        <v>6241</v>
      </c>
      <c r="F3081" s="1" t="s">
        <v>13</v>
      </c>
    </row>
    <row r="3082" spans="1:6" ht="30" customHeight="1" x14ac:dyDescent="0.25">
      <c r="A3082" s="1" t="s">
        <v>6242</v>
      </c>
      <c r="B3082" s="1" t="str">
        <f>"9780195345766"</f>
        <v>9780195345766</v>
      </c>
      <c r="C3082" s="1" t="s">
        <v>1123</v>
      </c>
      <c r="D3082" s="2">
        <v>38967</v>
      </c>
      <c r="E3082" s="1" t="s">
        <v>5393</v>
      </c>
      <c r="F3082" s="1" t="s">
        <v>6243</v>
      </c>
    </row>
    <row r="3083" spans="1:6" ht="30" customHeight="1" x14ac:dyDescent="0.25">
      <c r="A3083" s="1" t="s">
        <v>6244</v>
      </c>
      <c r="B3083" s="1" t="str">
        <f>"9780199708536"</f>
        <v>9780199708536</v>
      </c>
      <c r="C3083" s="1" t="s">
        <v>1123</v>
      </c>
      <c r="D3083" s="2">
        <v>39967</v>
      </c>
      <c r="E3083" s="1" t="s">
        <v>6245</v>
      </c>
      <c r="F3083" s="1" t="s">
        <v>362</v>
      </c>
    </row>
    <row r="3084" spans="1:6" ht="30" customHeight="1" x14ac:dyDescent="0.25">
      <c r="A3084" s="1" t="s">
        <v>6246</v>
      </c>
      <c r="B3084" s="1" t="str">
        <f>"9780195350746"</f>
        <v>9780195350746</v>
      </c>
      <c r="C3084" s="1" t="s">
        <v>1123</v>
      </c>
      <c r="D3084" s="2">
        <v>36636</v>
      </c>
      <c r="E3084" s="1" t="s">
        <v>6247</v>
      </c>
      <c r="F3084" s="1" t="s">
        <v>356</v>
      </c>
    </row>
    <row r="3085" spans="1:6" ht="30" customHeight="1" x14ac:dyDescent="0.25">
      <c r="A3085" s="1" t="s">
        <v>6248</v>
      </c>
      <c r="B3085" s="1" t="str">
        <f>"9780199724055"</f>
        <v>9780199724055</v>
      </c>
      <c r="C3085" s="1" t="s">
        <v>1123</v>
      </c>
      <c r="D3085" s="2">
        <v>39888</v>
      </c>
      <c r="E3085" s="1" t="s">
        <v>6249</v>
      </c>
      <c r="F3085" s="1" t="s">
        <v>148</v>
      </c>
    </row>
    <row r="3086" spans="1:6" ht="30" customHeight="1" x14ac:dyDescent="0.25">
      <c r="A3086" s="1" t="s">
        <v>6250</v>
      </c>
      <c r="B3086" s="1" t="str">
        <f>"9780198025672"</f>
        <v>9780198025672</v>
      </c>
      <c r="C3086" s="1" t="s">
        <v>1123</v>
      </c>
      <c r="D3086" s="2">
        <v>38260</v>
      </c>
      <c r="E3086" s="1" t="s">
        <v>6251</v>
      </c>
      <c r="F3086" s="1" t="s">
        <v>127</v>
      </c>
    </row>
    <row r="3087" spans="1:6" ht="30" customHeight="1" x14ac:dyDescent="0.25">
      <c r="A3087" s="1" t="s">
        <v>6252</v>
      </c>
      <c r="B3087" s="1" t="str">
        <f>"9780199702459"</f>
        <v>9780199702459</v>
      </c>
      <c r="C3087" s="1" t="s">
        <v>1123</v>
      </c>
      <c r="D3087" s="2">
        <v>39948</v>
      </c>
      <c r="E3087" s="1" t="s">
        <v>6253</v>
      </c>
      <c r="F3087" s="1" t="s">
        <v>13</v>
      </c>
    </row>
    <row r="3088" spans="1:6" ht="30" customHeight="1" x14ac:dyDescent="0.25">
      <c r="A3088" s="1" t="s">
        <v>6254</v>
      </c>
      <c r="B3088" s="1" t="str">
        <f>"9780195352825"</f>
        <v>9780195352825</v>
      </c>
      <c r="C3088" s="1" t="s">
        <v>1123</v>
      </c>
      <c r="D3088" s="2">
        <v>36188</v>
      </c>
      <c r="E3088" s="1" t="s">
        <v>6255</v>
      </c>
      <c r="F3088" s="1" t="s">
        <v>13</v>
      </c>
    </row>
    <row r="3089" spans="1:6" ht="30" customHeight="1" x14ac:dyDescent="0.25">
      <c r="A3089" s="1" t="s">
        <v>6256</v>
      </c>
      <c r="B3089" s="1" t="str">
        <f>"9780191567339"</f>
        <v>9780191567339</v>
      </c>
      <c r="C3089" s="1" t="s">
        <v>1120</v>
      </c>
      <c r="D3089" s="2">
        <v>39835</v>
      </c>
      <c r="E3089" s="1" t="s">
        <v>6257</v>
      </c>
      <c r="F3089" s="1" t="s">
        <v>104</v>
      </c>
    </row>
    <row r="3090" spans="1:6" ht="30" customHeight="1" x14ac:dyDescent="0.25">
      <c r="A3090" s="1" t="s">
        <v>6258</v>
      </c>
      <c r="B3090" s="1" t="str">
        <f>"9780199702848"</f>
        <v>9780199702848</v>
      </c>
      <c r="C3090" s="1" t="s">
        <v>1120</v>
      </c>
      <c r="D3090" s="2">
        <v>39909</v>
      </c>
      <c r="E3090" s="1" t="s">
        <v>6259</v>
      </c>
      <c r="F3090" s="1" t="s">
        <v>205</v>
      </c>
    </row>
    <row r="3091" spans="1:6" ht="30" customHeight="1" x14ac:dyDescent="0.25">
      <c r="A3091" s="1" t="s">
        <v>6260</v>
      </c>
      <c r="B3091" s="1" t="str">
        <f>"9780195346015"</f>
        <v>9780195346015</v>
      </c>
      <c r="C3091" s="1" t="s">
        <v>1123</v>
      </c>
      <c r="D3091" s="2">
        <v>39016</v>
      </c>
      <c r="E3091" s="1" t="s">
        <v>6261</v>
      </c>
      <c r="F3091" s="1" t="s">
        <v>6262</v>
      </c>
    </row>
    <row r="3092" spans="1:6" ht="30" customHeight="1" x14ac:dyDescent="0.25">
      <c r="A3092" s="1" t="s">
        <v>6263</v>
      </c>
      <c r="B3092" s="1" t="str">
        <f>"9780198027331"</f>
        <v>9780198027331</v>
      </c>
      <c r="C3092" s="1" t="s">
        <v>1123</v>
      </c>
      <c r="D3092" s="2">
        <v>37245</v>
      </c>
      <c r="E3092" s="1" t="s">
        <v>6264</v>
      </c>
      <c r="F3092" s="1" t="s">
        <v>13</v>
      </c>
    </row>
    <row r="3093" spans="1:6" ht="30" customHeight="1" x14ac:dyDescent="0.25">
      <c r="A3093" s="1" t="s">
        <v>6265</v>
      </c>
      <c r="B3093" s="1" t="str">
        <f>"9780195349764"</f>
        <v>9780195349764</v>
      </c>
      <c r="C3093" s="1" t="s">
        <v>1123</v>
      </c>
      <c r="D3093" s="2">
        <v>37168</v>
      </c>
      <c r="E3093" s="1" t="s">
        <v>6266</v>
      </c>
      <c r="F3093" s="1" t="s">
        <v>13</v>
      </c>
    </row>
    <row r="3094" spans="1:6" ht="30" customHeight="1" x14ac:dyDescent="0.25">
      <c r="A3094" s="1" t="s">
        <v>6267</v>
      </c>
      <c r="B3094" s="1" t="str">
        <f>"9780199718023"</f>
        <v>9780199718023</v>
      </c>
      <c r="C3094" s="1" t="s">
        <v>1123</v>
      </c>
      <c r="D3094" s="2">
        <v>39927</v>
      </c>
      <c r="E3094" s="1" t="s">
        <v>6268</v>
      </c>
      <c r="F3094" s="1" t="s">
        <v>13</v>
      </c>
    </row>
    <row r="3095" spans="1:6" ht="30" customHeight="1" x14ac:dyDescent="0.25">
      <c r="A3095" s="1" t="s">
        <v>6267</v>
      </c>
      <c r="B3095" s="1" t="str">
        <f>"9780198043003"</f>
        <v>9780198043003</v>
      </c>
      <c r="C3095" s="1" t="s">
        <v>1120</v>
      </c>
      <c r="D3095" s="2">
        <v>39930</v>
      </c>
      <c r="E3095" s="1" t="s">
        <v>6268</v>
      </c>
      <c r="F3095" s="1" t="s">
        <v>13</v>
      </c>
    </row>
    <row r="3096" spans="1:6" ht="30" customHeight="1" x14ac:dyDescent="0.25">
      <c r="A3096" s="1" t="s">
        <v>6269</v>
      </c>
      <c r="B3096" s="1" t="str">
        <f>"9780191516726"</f>
        <v>9780191516726</v>
      </c>
      <c r="C3096" s="1" t="s">
        <v>1120</v>
      </c>
      <c r="D3096" s="2">
        <v>38890</v>
      </c>
      <c r="E3096" s="1" t="s">
        <v>6270</v>
      </c>
      <c r="F3096" s="1" t="s">
        <v>13</v>
      </c>
    </row>
    <row r="3097" spans="1:6" ht="30" customHeight="1" x14ac:dyDescent="0.25">
      <c r="A3097" s="1" t="s">
        <v>6271</v>
      </c>
      <c r="B3097" s="1" t="str">
        <f>"9780199728268"</f>
        <v>9780199728268</v>
      </c>
      <c r="C3097" s="1" t="s">
        <v>1123</v>
      </c>
      <c r="D3097" s="2">
        <v>39855</v>
      </c>
      <c r="E3097" s="1" t="s">
        <v>6272</v>
      </c>
      <c r="F3097" s="1" t="s">
        <v>1152</v>
      </c>
    </row>
    <row r="3098" spans="1:6" ht="30" customHeight="1" x14ac:dyDescent="0.25">
      <c r="A3098" s="1" t="s">
        <v>6273</v>
      </c>
      <c r="B3098" s="1" t="str">
        <f>"9788122424157"</f>
        <v>9788122424157</v>
      </c>
      <c r="C3098" s="1" t="s">
        <v>4001</v>
      </c>
      <c r="D3098" s="2">
        <v>39264</v>
      </c>
      <c r="E3098" s="1" t="s">
        <v>6274</v>
      </c>
      <c r="F3098" s="1" t="s">
        <v>4854</v>
      </c>
    </row>
    <row r="3099" spans="1:6" ht="30" customHeight="1" x14ac:dyDescent="0.25">
      <c r="A3099" s="1" t="s">
        <v>6275</v>
      </c>
      <c r="B3099" s="1" t="str">
        <f>"9780511515118"</f>
        <v>9780511515118</v>
      </c>
      <c r="C3099" s="1" t="s">
        <v>25</v>
      </c>
      <c r="D3099" s="2">
        <v>39870</v>
      </c>
      <c r="E3099" s="1" t="s">
        <v>6276</v>
      </c>
      <c r="F3099" s="1" t="s">
        <v>13</v>
      </c>
    </row>
    <row r="3100" spans="1:6" ht="30" customHeight="1" x14ac:dyDescent="0.25">
      <c r="A3100" s="1" t="s">
        <v>6277</v>
      </c>
      <c r="B3100" s="1" t="str">
        <f>"9780511514999"</f>
        <v>9780511514999</v>
      </c>
      <c r="C3100" s="1" t="s">
        <v>25</v>
      </c>
      <c r="D3100" s="2">
        <v>39772</v>
      </c>
      <c r="E3100" s="1" t="s">
        <v>6278</v>
      </c>
      <c r="F3100" s="1" t="s">
        <v>13</v>
      </c>
    </row>
    <row r="3101" spans="1:6" ht="30" customHeight="1" x14ac:dyDescent="0.25">
      <c r="A3101" s="1" t="s">
        <v>6279</v>
      </c>
      <c r="B3101" s="1" t="str">
        <f>"9780511515002"</f>
        <v>9780511515002</v>
      </c>
      <c r="C3101" s="1" t="s">
        <v>25</v>
      </c>
      <c r="D3101" s="2">
        <v>39772</v>
      </c>
      <c r="E3101" s="1" t="s">
        <v>6280</v>
      </c>
      <c r="F3101" s="1" t="s">
        <v>13</v>
      </c>
    </row>
    <row r="3102" spans="1:6" ht="30" customHeight="1" x14ac:dyDescent="0.25">
      <c r="A3102" s="1" t="s">
        <v>6281</v>
      </c>
      <c r="B3102" s="1" t="str">
        <f>"9780226132327"</f>
        <v>9780226132327</v>
      </c>
      <c r="C3102" s="1" t="s">
        <v>5093</v>
      </c>
      <c r="D3102" s="2">
        <v>39948</v>
      </c>
      <c r="E3102" s="1" t="s">
        <v>6282</v>
      </c>
      <c r="F3102" s="1" t="s">
        <v>33</v>
      </c>
    </row>
    <row r="3103" spans="1:6" ht="30" customHeight="1" x14ac:dyDescent="0.25">
      <c r="A3103" s="1" t="s">
        <v>6283</v>
      </c>
      <c r="B3103" s="1" t="str">
        <f>"9780226137797"</f>
        <v>9780226137797</v>
      </c>
      <c r="C3103" s="1" t="s">
        <v>5093</v>
      </c>
      <c r="D3103" s="2">
        <v>39948</v>
      </c>
      <c r="E3103" s="1" t="s">
        <v>6284</v>
      </c>
      <c r="F3103" s="1" t="s">
        <v>13</v>
      </c>
    </row>
    <row r="3104" spans="1:6" ht="30" customHeight="1" x14ac:dyDescent="0.25">
      <c r="A3104" s="1" t="s">
        <v>6285</v>
      </c>
      <c r="B3104" s="1" t="str">
        <f>"9780226644370"</f>
        <v>9780226644370</v>
      </c>
      <c r="C3104" s="1" t="s">
        <v>5093</v>
      </c>
      <c r="D3104" s="2">
        <v>39767</v>
      </c>
      <c r="E3104" s="1" t="s">
        <v>6286</v>
      </c>
      <c r="F3104" s="1" t="s">
        <v>87</v>
      </c>
    </row>
    <row r="3105" spans="1:6" ht="30" customHeight="1" x14ac:dyDescent="0.25">
      <c r="A3105" s="1" t="s">
        <v>6287</v>
      </c>
      <c r="B3105" s="1" t="str">
        <f>"9780226779386"</f>
        <v>9780226779386</v>
      </c>
      <c r="C3105" s="1" t="s">
        <v>5093</v>
      </c>
      <c r="D3105" s="2">
        <v>39767</v>
      </c>
      <c r="E3105" s="1" t="s">
        <v>6288</v>
      </c>
      <c r="F3105" s="1" t="s">
        <v>148</v>
      </c>
    </row>
    <row r="3106" spans="1:6" ht="30" customHeight="1" x14ac:dyDescent="0.25">
      <c r="A3106" s="1" t="s">
        <v>6289</v>
      </c>
      <c r="B3106" s="1" t="str">
        <f>"9780226804002"</f>
        <v>9780226804002</v>
      </c>
      <c r="C3106" s="1" t="s">
        <v>5093</v>
      </c>
      <c r="D3106" s="2">
        <v>39767</v>
      </c>
      <c r="E3106" s="1" t="s">
        <v>6290</v>
      </c>
      <c r="F3106" s="1" t="s">
        <v>304</v>
      </c>
    </row>
    <row r="3107" spans="1:6" ht="30" customHeight="1" x14ac:dyDescent="0.25">
      <c r="A3107" s="1" t="s">
        <v>6291</v>
      </c>
      <c r="B3107" s="1" t="str">
        <f>"9780226901060"</f>
        <v>9780226901060</v>
      </c>
      <c r="C3107" s="1" t="s">
        <v>5093</v>
      </c>
      <c r="D3107" s="2">
        <v>39767</v>
      </c>
      <c r="E3107" s="1" t="s">
        <v>6292</v>
      </c>
      <c r="F3107" s="1" t="s">
        <v>13</v>
      </c>
    </row>
    <row r="3108" spans="1:6" ht="30" customHeight="1" x14ac:dyDescent="0.25">
      <c r="A3108" s="1" t="s">
        <v>6293</v>
      </c>
      <c r="B3108" s="1" t="str">
        <f>"9781444303506"</f>
        <v>9781444303506</v>
      </c>
      <c r="C3108" s="1" t="s">
        <v>65</v>
      </c>
      <c r="D3108" s="2">
        <v>39839</v>
      </c>
      <c r="E3108" s="1" t="s">
        <v>6294</v>
      </c>
      <c r="F3108" s="1" t="s">
        <v>13</v>
      </c>
    </row>
    <row r="3109" spans="1:6" ht="30" customHeight="1" x14ac:dyDescent="0.25">
      <c r="A3109" s="1" t="s">
        <v>6295</v>
      </c>
      <c r="B3109" s="1" t="str">
        <f>"9780511532702"</f>
        <v>9780511532702</v>
      </c>
      <c r="C3109" s="1" t="s">
        <v>25</v>
      </c>
      <c r="D3109" s="2">
        <v>39904</v>
      </c>
      <c r="E3109" s="1" t="s">
        <v>6296</v>
      </c>
      <c r="F3109" s="1" t="s">
        <v>13</v>
      </c>
    </row>
    <row r="3110" spans="1:6" ht="30" customHeight="1" x14ac:dyDescent="0.25">
      <c r="A3110" s="1" t="s">
        <v>6297</v>
      </c>
      <c r="B3110" s="1" t="str">
        <f>"9780511532474"</f>
        <v>9780511532474</v>
      </c>
      <c r="C3110" s="1" t="s">
        <v>25</v>
      </c>
      <c r="D3110" s="2">
        <v>39845</v>
      </c>
      <c r="E3110" s="1" t="s">
        <v>6298</v>
      </c>
      <c r="F3110" s="1" t="s">
        <v>13</v>
      </c>
    </row>
    <row r="3111" spans="1:6" ht="30" customHeight="1" x14ac:dyDescent="0.25">
      <c r="A3111" s="1" t="s">
        <v>6299</v>
      </c>
      <c r="B3111" s="1" t="str">
        <f>"9780511532955"</f>
        <v>9780511532955</v>
      </c>
      <c r="C3111" s="1" t="s">
        <v>25</v>
      </c>
      <c r="D3111" s="2">
        <v>39873</v>
      </c>
      <c r="E3111" s="1" t="s">
        <v>6300</v>
      </c>
      <c r="F3111" s="1" t="s">
        <v>13</v>
      </c>
    </row>
    <row r="3112" spans="1:6" ht="30" customHeight="1" x14ac:dyDescent="0.25">
      <c r="A3112" s="1" t="s">
        <v>6301</v>
      </c>
      <c r="B3112" s="1" t="str">
        <f>"9780511532788"</f>
        <v>9780511532788</v>
      </c>
      <c r="C3112" s="1" t="s">
        <v>25</v>
      </c>
      <c r="D3112" s="2">
        <v>39904</v>
      </c>
      <c r="E3112" s="1" t="s">
        <v>6302</v>
      </c>
      <c r="F3112" s="1" t="s">
        <v>13</v>
      </c>
    </row>
    <row r="3113" spans="1:6" ht="30" customHeight="1" x14ac:dyDescent="0.25">
      <c r="A3113" s="1" t="s">
        <v>6303</v>
      </c>
      <c r="B3113" s="1" t="str">
        <f>"9780511532535"</f>
        <v>9780511532535</v>
      </c>
      <c r="C3113" s="1" t="s">
        <v>25</v>
      </c>
      <c r="D3113" s="2">
        <v>39845</v>
      </c>
      <c r="E3113" s="1" t="s">
        <v>6304</v>
      </c>
      <c r="F3113" s="1" t="s">
        <v>13</v>
      </c>
    </row>
    <row r="3114" spans="1:6" ht="30" customHeight="1" x14ac:dyDescent="0.25">
      <c r="A3114" s="1" t="s">
        <v>6305</v>
      </c>
      <c r="B3114" s="1" t="str">
        <f>"9780511532979"</f>
        <v>9780511532979</v>
      </c>
      <c r="C3114" s="1" t="s">
        <v>25</v>
      </c>
      <c r="D3114" s="2">
        <v>39934</v>
      </c>
      <c r="E3114" s="1" t="s">
        <v>6306</v>
      </c>
      <c r="F3114" s="1" t="s">
        <v>13</v>
      </c>
    </row>
    <row r="3115" spans="1:6" ht="30" customHeight="1" x14ac:dyDescent="0.25">
      <c r="A3115" s="1" t="s">
        <v>6307</v>
      </c>
      <c r="B3115" s="1" t="str">
        <f>"9781607503811"</f>
        <v>9781607503811</v>
      </c>
      <c r="C3115" s="1" t="s">
        <v>1390</v>
      </c>
      <c r="D3115" s="2">
        <v>39797</v>
      </c>
      <c r="E3115" s="1" t="s">
        <v>6308</v>
      </c>
      <c r="F3115" s="1" t="s">
        <v>6309</v>
      </c>
    </row>
    <row r="3116" spans="1:6" ht="30" customHeight="1" x14ac:dyDescent="0.25">
      <c r="A3116" s="1" t="s">
        <v>6310</v>
      </c>
      <c r="B3116" s="1" t="str">
        <f>"9781607503910"</f>
        <v>9781607503910</v>
      </c>
      <c r="C3116" s="1" t="s">
        <v>1390</v>
      </c>
      <c r="D3116" s="2">
        <v>39083</v>
      </c>
      <c r="E3116" s="1" t="s">
        <v>6311</v>
      </c>
      <c r="F3116" s="1" t="s">
        <v>137</v>
      </c>
    </row>
    <row r="3117" spans="1:6" ht="30" customHeight="1" x14ac:dyDescent="0.25">
      <c r="A3117" s="1" t="s">
        <v>6312</v>
      </c>
      <c r="B3117" s="1" t="str">
        <f>"9781607503651"</f>
        <v>9781607503651</v>
      </c>
      <c r="C3117" s="1" t="s">
        <v>1390</v>
      </c>
      <c r="D3117" s="2">
        <v>39762</v>
      </c>
      <c r="E3117" s="1" t="s">
        <v>6313</v>
      </c>
      <c r="F3117" s="1" t="s">
        <v>87</v>
      </c>
    </row>
    <row r="3118" spans="1:6" ht="30" customHeight="1" x14ac:dyDescent="0.25">
      <c r="A3118" s="1" t="s">
        <v>6314</v>
      </c>
      <c r="B3118" s="1" t="str">
        <f>"9780470452776"</f>
        <v>9780470452776</v>
      </c>
      <c r="C3118" s="1" t="s">
        <v>65</v>
      </c>
      <c r="D3118" s="2">
        <v>39930</v>
      </c>
      <c r="E3118" s="1" t="s">
        <v>6315</v>
      </c>
      <c r="F3118" s="1" t="s">
        <v>30</v>
      </c>
    </row>
    <row r="3119" spans="1:6" ht="30" customHeight="1" x14ac:dyDescent="0.25">
      <c r="A3119" s="1" t="s">
        <v>6316</v>
      </c>
      <c r="B3119" s="1" t="str">
        <f>"9781934559994"</f>
        <v>9781934559994</v>
      </c>
      <c r="C3119" s="1" t="s">
        <v>2339</v>
      </c>
      <c r="D3119" s="2">
        <v>39679</v>
      </c>
      <c r="E3119" s="1" t="s">
        <v>6317</v>
      </c>
      <c r="F3119" s="1" t="s">
        <v>13</v>
      </c>
    </row>
    <row r="3120" spans="1:6" ht="30" customHeight="1" x14ac:dyDescent="0.25">
      <c r="A3120" s="1" t="s">
        <v>6318</v>
      </c>
      <c r="B3120" s="1" t="str">
        <f>"9781934559956"</f>
        <v>9781934559956</v>
      </c>
      <c r="C3120" s="1" t="s">
        <v>2342</v>
      </c>
      <c r="D3120" s="2">
        <v>39448</v>
      </c>
      <c r="E3120" s="1" t="s">
        <v>6319</v>
      </c>
      <c r="F3120" s="1" t="s">
        <v>214</v>
      </c>
    </row>
    <row r="3121" spans="1:6" ht="30" customHeight="1" x14ac:dyDescent="0.25">
      <c r="A3121" s="1" t="s">
        <v>6320</v>
      </c>
      <c r="B3121" s="1" t="str">
        <f>"9781935281108"</f>
        <v>9781935281108</v>
      </c>
      <c r="C3121" s="1" t="s">
        <v>2342</v>
      </c>
      <c r="D3121" s="2">
        <v>39689</v>
      </c>
      <c r="E3121" s="1" t="s">
        <v>6321</v>
      </c>
      <c r="F3121" s="1" t="s">
        <v>13</v>
      </c>
    </row>
    <row r="3122" spans="1:6" ht="30" customHeight="1" x14ac:dyDescent="0.25">
      <c r="A3122" s="1" t="s">
        <v>6322</v>
      </c>
      <c r="B3122" s="1" t="str">
        <f>"9781935281092"</f>
        <v>9781935281092</v>
      </c>
      <c r="C3122" s="1" t="s">
        <v>2342</v>
      </c>
      <c r="D3122" s="2">
        <v>39402</v>
      </c>
      <c r="E3122" s="1" t="s">
        <v>6323</v>
      </c>
      <c r="F3122" s="1" t="s">
        <v>13</v>
      </c>
    </row>
    <row r="3123" spans="1:6" ht="30" customHeight="1" x14ac:dyDescent="0.25">
      <c r="A3123" s="1" t="s">
        <v>6324</v>
      </c>
      <c r="B3123" s="1" t="str">
        <f>"9781935281030"</f>
        <v>9781935281030</v>
      </c>
      <c r="C3123" s="1" t="s">
        <v>2339</v>
      </c>
      <c r="D3123" s="2">
        <v>39801</v>
      </c>
      <c r="E3123" s="1" t="s">
        <v>6325</v>
      </c>
      <c r="F3123" s="1" t="s">
        <v>13</v>
      </c>
    </row>
    <row r="3124" spans="1:6" ht="30" customHeight="1" x14ac:dyDescent="0.25">
      <c r="A3124" s="1" t="s">
        <v>6326</v>
      </c>
      <c r="B3124" s="1" t="str">
        <f>"9781934559604"</f>
        <v>9781934559604</v>
      </c>
      <c r="C3124" s="1" t="s">
        <v>2339</v>
      </c>
      <c r="D3124" s="2">
        <v>39757</v>
      </c>
      <c r="E3124" s="1" t="s">
        <v>6327</v>
      </c>
      <c r="F3124" s="1" t="s">
        <v>13</v>
      </c>
    </row>
    <row r="3125" spans="1:6" ht="30" customHeight="1" x14ac:dyDescent="0.25">
      <c r="A3125" s="1" t="s">
        <v>6328</v>
      </c>
      <c r="B3125" s="1" t="str">
        <f>"9789289042901"</f>
        <v>9789289042901</v>
      </c>
      <c r="C3125" s="1" t="s">
        <v>1981</v>
      </c>
      <c r="D3125" s="2">
        <v>39448</v>
      </c>
      <c r="E3125" s="1" t="s">
        <v>6329</v>
      </c>
      <c r="F3125" s="1" t="s">
        <v>6330</v>
      </c>
    </row>
    <row r="3126" spans="1:6" ht="30" customHeight="1" x14ac:dyDescent="0.25">
      <c r="A3126" s="1" t="s">
        <v>6331</v>
      </c>
      <c r="B3126" s="1" t="str">
        <f>"9789289042970"</f>
        <v>9789289042970</v>
      </c>
      <c r="C3126" s="1" t="s">
        <v>1981</v>
      </c>
      <c r="D3126" s="2">
        <v>39448</v>
      </c>
      <c r="E3126" s="1" t="s">
        <v>6332</v>
      </c>
      <c r="F3126" s="1" t="s">
        <v>176</v>
      </c>
    </row>
    <row r="3127" spans="1:6" ht="30" customHeight="1" x14ac:dyDescent="0.25">
      <c r="A3127" s="1" t="s">
        <v>6333</v>
      </c>
      <c r="B3127" s="1" t="str">
        <f>"9789289042963"</f>
        <v>9789289042963</v>
      </c>
      <c r="C3127" s="1" t="s">
        <v>1981</v>
      </c>
      <c r="D3127" s="2">
        <v>39448</v>
      </c>
      <c r="E3127" s="1" t="s">
        <v>6334</v>
      </c>
      <c r="F3127" s="1" t="s">
        <v>176</v>
      </c>
    </row>
    <row r="3128" spans="1:6" ht="30" customHeight="1" x14ac:dyDescent="0.25">
      <c r="A3128" s="1" t="s">
        <v>6335</v>
      </c>
      <c r="B3128" s="1" t="str">
        <f>"9789289042987"</f>
        <v>9789289042987</v>
      </c>
      <c r="C3128" s="1" t="s">
        <v>1981</v>
      </c>
      <c r="D3128" s="2">
        <v>39448</v>
      </c>
      <c r="E3128" s="1" t="s">
        <v>6336</v>
      </c>
      <c r="F3128" s="1" t="s">
        <v>87</v>
      </c>
    </row>
    <row r="3129" spans="1:6" ht="30" customHeight="1" x14ac:dyDescent="0.25">
      <c r="A3129" s="1" t="s">
        <v>6337</v>
      </c>
      <c r="B3129" s="1" t="str">
        <f>"9789289042994"</f>
        <v>9789289042994</v>
      </c>
      <c r="C3129" s="1" t="s">
        <v>1981</v>
      </c>
      <c r="D3129" s="2">
        <v>39448</v>
      </c>
      <c r="E3129" s="1" t="s">
        <v>6338</v>
      </c>
      <c r="F3129" s="1" t="s">
        <v>95</v>
      </c>
    </row>
    <row r="3130" spans="1:6" ht="30" customHeight="1" x14ac:dyDescent="0.25">
      <c r="A3130" s="1" t="s">
        <v>6339</v>
      </c>
      <c r="B3130" s="1" t="str">
        <f>"9789291737482"</f>
        <v>9789291737482</v>
      </c>
      <c r="C3130" s="1" t="s">
        <v>1981</v>
      </c>
      <c r="D3130" s="2">
        <v>39448</v>
      </c>
      <c r="E3130" s="1" t="s">
        <v>2223</v>
      </c>
      <c r="F3130" s="1" t="s">
        <v>158</v>
      </c>
    </row>
    <row r="3131" spans="1:6" ht="30" customHeight="1" x14ac:dyDescent="0.25">
      <c r="A3131" s="1" t="s">
        <v>6340</v>
      </c>
      <c r="B3131" s="1" t="str">
        <f>"9789291737475"</f>
        <v>9789291737475</v>
      </c>
      <c r="C3131" s="1" t="s">
        <v>1981</v>
      </c>
      <c r="D3131" s="2">
        <v>39448</v>
      </c>
      <c r="E3131" s="1" t="s">
        <v>2116</v>
      </c>
      <c r="F3131" s="1" t="s">
        <v>95</v>
      </c>
    </row>
    <row r="3132" spans="1:6" ht="30" customHeight="1" x14ac:dyDescent="0.25">
      <c r="A3132" s="1" t="s">
        <v>6341</v>
      </c>
      <c r="B3132" s="1" t="str">
        <f>"9789290614098"</f>
        <v>9789290614098</v>
      </c>
      <c r="C3132" s="1" t="s">
        <v>1981</v>
      </c>
      <c r="D3132" s="2">
        <v>38718</v>
      </c>
      <c r="E3132" s="1" t="s">
        <v>6342</v>
      </c>
      <c r="F3132" s="1" t="s">
        <v>158</v>
      </c>
    </row>
    <row r="3133" spans="1:6" ht="30" customHeight="1" x14ac:dyDescent="0.25">
      <c r="A3133" s="1" t="s">
        <v>6343</v>
      </c>
      <c r="B3133" s="1" t="str">
        <f>"9789290614104"</f>
        <v>9789290614104</v>
      </c>
      <c r="C3133" s="1" t="s">
        <v>1981</v>
      </c>
      <c r="D3133" s="2">
        <v>38353</v>
      </c>
      <c r="E3133" s="1" t="s">
        <v>6342</v>
      </c>
      <c r="F3133" s="1" t="s">
        <v>158</v>
      </c>
    </row>
    <row r="3134" spans="1:6" ht="30" customHeight="1" x14ac:dyDescent="0.25">
      <c r="A3134" s="1" t="s">
        <v>6344</v>
      </c>
      <c r="B3134" s="1" t="str">
        <f>"9789240683570"</f>
        <v>9789240683570</v>
      </c>
      <c r="C3134" s="1" t="s">
        <v>1981</v>
      </c>
      <c r="D3134" s="2">
        <v>39448</v>
      </c>
      <c r="E3134" s="1" t="s">
        <v>1981</v>
      </c>
      <c r="F3134" s="1" t="s">
        <v>158</v>
      </c>
    </row>
    <row r="3135" spans="1:6" ht="30" customHeight="1" x14ac:dyDescent="0.25">
      <c r="A3135" s="1" t="s">
        <v>6345</v>
      </c>
      <c r="B3135" s="1" t="str">
        <f>"9789240683617"</f>
        <v>9789240683617</v>
      </c>
      <c r="C3135" s="1" t="s">
        <v>1981</v>
      </c>
      <c r="D3135" s="2">
        <v>39814</v>
      </c>
      <c r="E3135" s="1" t="s">
        <v>1981</v>
      </c>
      <c r="F3135" s="1" t="s">
        <v>33</v>
      </c>
    </row>
    <row r="3136" spans="1:6" ht="30" customHeight="1" x14ac:dyDescent="0.25">
      <c r="A3136" s="1" t="s">
        <v>6346</v>
      </c>
      <c r="B3136" s="1" t="str">
        <f>"9781845934316"</f>
        <v>9781845934316</v>
      </c>
      <c r="C3136" s="1" t="s">
        <v>2321</v>
      </c>
      <c r="D3136" s="2">
        <v>39814</v>
      </c>
      <c r="E3136" s="1" t="s">
        <v>6347</v>
      </c>
      <c r="F3136" s="1" t="s">
        <v>6348</v>
      </c>
    </row>
    <row r="3137" spans="1:6" ht="30" customHeight="1" x14ac:dyDescent="0.25">
      <c r="A3137" s="1" t="s">
        <v>6349</v>
      </c>
      <c r="B3137" s="1" t="str">
        <f>"9780813534879"</f>
        <v>9780813534879</v>
      </c>
      <c r="C3137" s="1" t="s">
        <v>3656</v>
      </c>
      <c r="D3137" s="2">
        <v>37848</v>
      </c>
      <c r="E3137" s="1" t="s">
        <v>6350</v>
      </c>
      <c r="F3137" s="1" t="s">
        <v>13</v>
      </c>
    </row>
    <row r="3138" spans="1:6" ht="30" customHeight="1" x14ac:dyDescent="0.25">
      <c r="A3138" s="1" t="s">
        <v>6351</v>
      </c>
      <c r="B3138" s="1" t="str">
        <f>"9780813547008"</f>
        <v>9780813547008</v>
      </c>
      <c r="C3138" s="1" t="s">
        <v>3656</v>
      </c>
      <c r="D3138" s="2">
        <v>41773</v>
      </c>
      <c r="E3138" s="1" t="s">
        <v>6352</v>
      </c>
      <c r="F3138" s="1" t="s">
        <v>148</v>
      </c>
    </row>
    <row r="3139" spans="1:6" ht="30" customHeight="1" x14ac:dyDescent="0.25">
      <c r="A3139" s="1" t="s">
        <v>6353</v>
      </c>
      <c r="B3139" s="1" t="str">
        <f>"9780813547114"</f>
        <v>9780813547114</v>
      </c>
      <c r="C3139" s="1" t="s">
        <v>3656</v>
      </c>
      <c r="D3139" s="2">
        <v>41820</v>
      </c>
      <c r="E3139" s="1" t="s">
        <v>6354</v>
      </c>
      <c r="F3139" s="1" t="s">
        <v>176</v>
      </c>
    </row>
    <row r="3140" spans="1:6" ht="30" customHeight="1" x14ac:dyDescent="0.25">
      <c r="A3140" s="1" t="s">
        <v>6355</v>
      </c>
      <c r="B3140" s="1" t="str">
        <f>"9780813547107"</f>
        <v>9780813547107</v>
      </c>
      <c r="C3140" s="1" t="s">
        <v>3656</v>
      </c>
      <c r="D3140" s="2">
        <v>41820</v>
      </c>
      <c r="E3140" s="1" t="s">
        <v>6356</v>
      </c>
      <c r="F3140" s="1" t="s">
        <v>158</v>
      </c>
    </row>
    <row r="3141" spans="1:6" ht="30" customHeight="1" x14ac:dyDescent="0.25">
      <c r="A3141" s="1" t="s">
        <v>6357</v>
      </c>
      <c r="B3141" s="1" t="str">
        <f>"9780813539416"</f>
        <v>9780813539416</v>
      </c>
      <c r="C3141" s="1" t="s">
        <v>3656</v>
      </c>
      <c r="D3141" s="2">
        <v>38849</v>
      </c>
      <c r="E3141" s="1" t="s">
        <v>6358</v>
      </c>
      <c r="F3141" s="1" t="s">
        <v>33</v>
      </c>
    </row>
    <row r="3142" spans="1:6" ht="30" customHeight="1" x14ac:dyDescent="0.25">
      <c r="A3142" s="1" t="s">
        <v>6359</v>
      </c>
      <c r="B3142" s="1" t="str">
        <f>"9780826105622"</f>
        <v>9780826105622</v>
      </c>
      <c r="C3142" s="1" t="s">
        <v>2339</v>
      </c>
      <c r="D3142" s="2">
        <v>35796</v>
      </c>
      <c r="E3142" s="1" t="s">
        <v>6360</v>
      </c>
      <c r="F3142" s="1" t="s">
        <v>599</v>
      </c>
    </row>
    <row r="3143" spans="1:6" ht="30" customHeight="1" x14ac:dyDescent="0.25">
      <c r="A3143" s="1" t="s">
        <v>6361</v>
      </c>
      <c r="B3143" s="1" t="str">
        <f>"9780826197023"</f>
        <v>9780826197023</v>
      </c>
      <c r="C3143" s="1" t="s">
        <v>2339</v>
      </c>
      <c r="D3143" s="2">
        <v>36161</v>
      </c>
      <c r="E3143" s="1" t="s">
        <v>6362</v>
      </c>
      <c r="F3143" s="1" t="s">
        <v>13</v>
      </c>
    </row>
    <row r="3144" spans="1:6" ht="30" customHeight="1" x14ac:dyDescent="0.25">
      <c r="A3144" s="1" t="s">
        <v>6363</v>
      </c>
      <c r="B3144" s="1" t="str">
        <f>"9780826197535"</f>
        <v>9780826197535</v>
      </c>
      <c r="C3144" s="1" t="s">
        <v>2339</v>
      </c>
      <c r="D3144" s="2">
        <v>37987</v>
      </c>
      <c r="E3144" s="1" t="s">
        <v>6364</v>
      </c>
      <c r="F3144" s="1" t="s">
        <v>176</v>
      </c>
    </row>
    <row r="3145" spans="1:6" ht="30" customHeight="1" x14ac:dyDescent="0.25">
      <c r="A3145" s="1" t="s">
        <v>6365</v>
      </c>
      <c r="B3145" s="1" t="str">
        <f>"9780826197252"</f>
        <v>9780826197252</v>
      </c>
      <c r="C3145" s="1" t="s">
        <v>2339</v>
      </c>
      <c r="D3145" s="2">
        <v>38322</v>
      </c>
      <c r="E3145" s="1" t="s">
        <v>6366</v>
      </c>
      <c r="F3145" s="1" t="s">
        <v>126</v>
      </c>
    </row>
    <row r="3146" spans="1:6" ht="30" customHeight="1" x14ac:dyDescent="0.25">
      <c r="A3146" s="1" t="s">
        <v>6367</v>
      </c>
      <c r="B3146" s="1" t="str">
        <f>"9780826197726"</f>
        <v>9780826197726</v>
      </c>
      <c r="C3146" s="1" t="s">
        <v>2339</v>
      </c>
      <c r="D3146" s="2">
        <v>37987</v>
      </c>
      <c r="E3146" s="1" t="s">
        <v>6368</v>
      </c>
      <c r="F3146" s="1" t="s">
        <v>82</v>
      </c>
    </row>
    <row r="3147" spans="1:6" ht="30" customHeight="1" x14ac:dyDescent="0.25">
      <c r="A3147" s="1" t="s">
        <v>6369</v>
      </c>
      <c r="B3147" s="1" t="str">
        <f>"9780826197368"</f>
        <v>9780826197368</v>
      </c>
      <c r="C3147" s="1" t="s">
        <v>2339</v>
      </c>
      <c r="D3147" s="2">
        <v>38353</v>
      </c>
      <c r="E3147" s="1" t="s">
        <v>5897</v>
      </c>
      <c r="F3147" s="1" t="s">
        <v>13</v>
      </c>
    </row>
    <row r="3148" spans="1:6" ht="30" customHeight="1" x14ac:dyDescent="0.25">
      <c r="A3148" s="1" t="s">
        <v>6370</v>
      </c>
      <c r="B3148" s="1" t="str">
        <f>"9780826197979"</f>
        <v>9780826197979</v>
      </c>
      <c r="C3148" s="1" t="s">
        <v>2339</v>
      </c>
      <c r="D3148" s="2">
        <v>37987</v>
      </c>
      <c r="E3148" s="1" t="s">
        <v>6371</v>
      </c>
      <c r="F3148" s="1" t="s">
        <v>599</v>
      </c>
    </row>
    <row r="3149" spans="1:6" ht="30" customHeight="1" x14ac:dyDescent="0.25">
      <c r="A3149" s="1" t="s">
        <v>6372</v>
      </c>
      <c r="B3149" s="1" t="str">
        <f>"9780765623768"</f>
        <v>9780765623768</v>
      </c>
      <c r="C3149" s="1" t="s">
        <v>68</v>
      </c>
      <c r="D3149" s="2">
        <v>40009</v>
      </c>
      <c r="E3149" s="1" t="s">
        <v>6373</v>
      </c>
      <c r="F3149" s="1" t="s">
        <v>1563</v>
      </c>
    </row>
    <row r="3150" spans="1:6" ht="30" customHeight="1" x14ac:dyDescent="0.25">
      <c r="A3150" s="1" t="s">
        <v>6374</v>
      </c>
      <c r="B3150" s="1" t="str">
        <f>"9781599964379"</f>
        <v>9781599964379</v>
      </c>
      <c r="C3150" s="1" t="s">
        <v>6375</v>
      </c>
      <c r="D3150" s="2">
        <v>39692</v>
      </c>
      <c r="E3150" s="1" t="s">
        <v>6376</v>
      </c>
      <c r="F3150" s="1" t="s">
        <v>6377</v>
      </c>
    </row>
    <row r="3151" spans="1:6" ht="30" customHeight="1" x14ac:dyDescent="0.25">
      <c r="A3151" s="1" t="s">
        <v>6378</v>
      </c>
      <c r="B3151" s="1" t="str">
        <f>"9781846426872"</f>
        <v>9781846426872</v>
      </c>
      <c r="C3151" s="1" t="s">
        <v>2387</v>
      </c>
      <c r="D3151" s="2">
        <v>39828</v>
      </c>
      <c r="E3151" s="1" t="s">
        <v>6379</v>
      </c>
      <c r="F3151" s="1" t="s">
        <v>599</v>
      </c>
    </row>
    <row r="3152" spans="1:6" ht="30" customHeight="1" x14ac:dyDescent="0.25">
      <c r="A3152" s="1" t="s">
        <v>6380</v>
      </c>
      <c r="B3152" s="1" t="str">
        <f>"9789291737888"</f>
        <v>9789291737888</v>
      </c>
      <c r="C3152" s="1" t="s">
        <v>1981</v>
      </c>
      <c r="D3152" s="2">
        <v>38718</v>
      </c>
      <c r="E3152" s="1" t="s">
        <v>1981</v>
      </c>
      <c r="F3152" s="1" t="s">
        <v>304</v>
      </c>
    </row>
    <row r="3153" spans="1:6" ht="30" customHeight="1" x14ac:dyDescent="0.25">
      <c r="A3153" s="1" t="s">
        <v>6381</v>
      </c>
      <c r="B3153" s="1" t="str">
        <f>"9789290216704"</f>
        <v>9789290216704</v>
      </c>
      <c r="C3153" s="1" t="s">
        <v>1981</v>
      </c>
      <c r="D3153" s="2">
        <v>39448</v>
      </c>
      <c r="E3153" s="1" t="s">
        <v>1981</v>
      </c>
      <c r="F3153" s="1" t="s">
        <v>158</v>
      </c>
    </row>
    <row r="3154" spans="1:6" ht="30" customHeight="1" x14ac:dyDescent="0.25">
      <c r="A3154" s="1" t="s">
        <v>6383</v>
      </c>
      <c r="B3154" s="1" t="str">
        <f>"9789240683594"</f>
        <v>9789240683594</v>
      </c>
      <c r="C3154" s="1" t="s">
        <v>1981</v>
      </c>
      <c r="D3154" s="2">
        <v>39814</v>
      </c>
      <c r="E3154" s="1" t="s">
        <v>1981</v>
      </c>
      <c r="F3154" s="1" t="s">
        <v>6384</v>
      </c>
    </row>
    <row r="3155" spans="1:6" ht="30" customHeight="1" x14ac:dyDescent="0.25">
      <c r="A3155" s="1" t="s">
        <v>6385</v>
      </c>
      <c r="B3155" s="1" t="str">
        <f>"9789290216711"</f>
        <v>9789290216711</v>
      </c>
      <c r="C3155" s="1" t="s">
        <v>1981</v>
      </c>
      <c r="D3155" s="2">
        <v>39448</v>
      </c>
      <c r="E3155" s="1" t="s">
        <v>1981</v>
      </c>
      <c r="F3155" s="1" t="s">
        <v>6386</v>
      </c>
    </row>
    <row r="3156" spans="1:6" ht="30" customHeight="1" x14ac:dyDescent="0.25">
      <c r="A3156" s="1" t="s">
        <v>6387</v>
      </c>
      <c r="B3156" s="1" t="str">
        <f>"9789290613688"</f>
        <v>9789290613688</v>
      </c>
      <c r="C3156" s="1" t="s">
        <v>1981</v>
      </c>
      <c r="D3156" s="2">
        <v>36526</v>
      </c>
      <c r="E3156" s="1" t="s">
        <v>1981</v>
      </c>
      <c r="F3156" s="1" t="s">
        <v>356</v>
      </c>
    </row>
    <row r="3157" spans="1:6" ht="30" customHeight="1" x14ac:dyDescent="0.25">
      <c r="A3157" s="1" t="s">
        <v>6388</v>
      </c>
      <c r="B3157" s="1" t="str">
        <f>"9789290216728"</f>
        <v>9789290216728</v>
      </c>
      <c r="C3157" s="1" t="s">
        <v>1981</v>
      </c>
      <c r="D3157" s="2">
        <v>39448</v>
      </c>
      <c r="E3157" s="1" t="s">
        <v>1981</v>
      </c>
      <c r="F3157" s="1" t="s">
        <v>30</v>
      </c>
    </row>
    <row r="3158" spans="1:6" ht="30" customHeight="1" x14ac:dyDescent="0.25">
      <c r="A3158" s="1" t="s">
        <v>6389</v>
      </c>
      <c r="B3158" s="1" t="str">
        <f>"9789283221982"</f>
        <v>9789283221982</v>
      </c>
      <c r="C3158" s="1" t="s">
        <v>1981</v>
      </c>
      <c r="D3158" s="2">
        <v>39448</v>
      </c>
      <c r="E3158" s="1" t="s">
        <v>6390</v>
      </c>
      <c r="F3158" s="1" t="s">
        <v>33</v>
      </c>
    </row>
    <row r="3159" spans="1:6" ht="30" customHeight="1" x14ac:dyDescent="0.25">
      <c r="A3159" s="1" t="s">
        <v>6391</v>
      </c>
      <c r="B3159" s="1" t="str">
        <f>"9789291737901"</f>
        <v>9789291737901</v>
      </c>
      <c r="C3159" s="1" t="s">
        <v>1981</v>
      </c>
      <c r="D3159" s="2">
        <v>39448</v>
      </c>
      <c r="E3159" s="1" t="s">
        <v>1981</v>
      </c>
      <c r="F3159" s="1" t="s">
        <v>30</v>
      </c>
    </row>
    <row r="3160" spans="1:6" ht="30" customHeight="1" x14ac:dyDescent="0.25">
      <c r="A3160" s="1" t="s">
        <v>6392</v>
      </c>
      <c r="B3160" s="1" t="str">
        <f>"9781847424211"</f>
        <v>9781847424211</v>
      </c>
      <c r="C3160" s="1" t="s">
        <v>5446</v>
      </c>
      <c r="D3160" s="2">
        <v>39771</v>
      </c>
      <c r="E3160" s="1" t="s">
        <v>6393</v>
      </c>
      <c r="F3160" s="1" t="s">
        <v>95</v>
      </c>
    </row>
    <row r="3161" spans="1:6" ht="30" customHeight="1" x14ac:dyDescent="0.25">
      <c r="A3161" s="1" t="s">
        <v>6394</v>
      </c>
      <c r="B3161" s="1" t="str">
        <f>"9781847142917"</f>
        <v>9781847142917</v>
      </c>
      <c r="C3161" s="1" t="s">
        <v>3759</v>
      </c>
      <c r="D3161" s="2">
        <v>36039</v>
      </c>
      <c r="E3161" s="1" t="s">
        <v>6395</v>
      </c>
      <c r="F3161" s="1" t="s">
        <v>87</v>
      </c>
    </row>
    <row r="3162" spans="1:6" ht="30" customHeight="1" x14ac:dyDescent="0.25">
      <c r="A3162" s="1" t="s">
        <v>6396</v>
      </c>
      <c r="B3162" s="1" t="str">
        <f>"9781847143341"</f>
        <v>9781847143341</v>
      </c>
      <c r="C3162" s="1" t="s">
        <v>3759</v>
      </c>
      <c r="D3162" s="2">
        <v>40374</v>
      </c>
      <c r="E3162" s="1" t="s">
        <v>6397</v>
      </c>
      <c r="F3162" s="1" t="s">
        <v>87</v>
      </c>
    </row>
    <row r="3163" spans="1:6" ht="30" customHeight="1" x14ac:dyDescent="0.25">
      <c r="A3163" s="1" t="s">
        <v>6398</v>
      </c>
      <c r="B3163" s="1" t="str">
        <f>"9781847144584"</f>
        <v>9781847144584</v>
      </c>
      <c r="C3163" s="1" t="s">
        <v>3759</v>
      </c>
      <c r="D3163" s="2">
        <v>37438</v>
      </c>
      <c r="E3163" s="1" t="s">
        <v>6399</v>
      </c>
      <c r="F3163" s="1" t="s">
        <v>3075</v>
      </c>
    </row>
    <row r="3164" spans="1:6" ht="30" customHeight="1" x14ac:dyDescent="0.25">
      <c r="A3164" s="1" t="s">
        <v>6400</v>
      </c>
      <c r="B3164" s="1" t="str">
        <f>"9781847142399"</f>
        <v>9781847142399</v>
      </c>
      <c r="C3164" s="1" t="s">
        <v>3759</v>
      </c>
      <c r="D3164" s="2">
        <v>35796</v>
      </c>
      <c r="E3164" s="1" t="s">
        <v>6401</v>
      </c>
      <c r="F3164" s="1" t="s">
        <v>95</v>
      </c>
    </row>
    <row r="3165" spans="1:6" ht="30" customHeight="1" x14ac:dyDescent="0.25">
      <c r="A3165" s="1" t="s">
        <v>6402</v>
      </c>
      <c r="B3165" s="1" t="str">
        <f>"9781847141460"</f>
        <v>9781847141460</v>
      </c>
      <c r="C3165" s="1" t="s">
        <v>3759</v>
      </c>
      <c r="D3165" s="2">
        <v>36800</v>
      </c>
      <c r="E3165" s="1" t="s">
        <v>6403</v>
      </c>
      <c r="F3165" s="1" t="s">
        <v>13</v>
      </c>
    </row>
    <row r="3166" spans="1:6" ht="30" customHeight="1" x14ac:dyDescent="0.25">
      <c r="A3166" s="1" t="s">
        <v>6404</v>
      </c>
      <c r="B3166" s="1" t="str">
        <f>"9781444306392"</f>
        <v>9781444306392</v>
      </c>
      <c r="C3166" s="1" t="s">
        <v>65</v>
      </c>
      <c r="D3166" s="2">
        <v>39930</v>
      </c>
      <c r="E3166" s="1" t="s">
        <v>6405</v>
      </c>
      <c r="F3166" s="1" t="s">
        <v>13</v>
      </c>
    </row>
    <row r="3167" spans="1:6" ht="30" customHeight="1" x14ac:dyDescent="0.25">
      <c r="A3167" s="1" t="s">
        <v>6406</v>
      </c>
      <c r="B3167" s="1" t="str">
        <f>"9781444312935"</f>
        <v>9781444312935</v>
      </c>
      <c r="C3167" s="1" t="s">
        <v>65</v>
      </c>
      <c r="D3167" s="2">
        <v>39930</v>
      </c>
      <c r="E3167" s="1" t="s">
        <v>6407</v>
      </c>
      <c r="F3167" s="1" t="s">
        <v>13</v>
      </c>
    </row>
    <row r="3168" spans="1:6" ht="30" customHeight="1" x14ac:dyDescent="0.25">
      <c r="A3168" s="1" t="s">
        <v>6408</v>
      </c>
      <c r="B3168" s="1" t="str">
        <f>"9781444308068"</f>
        <v>9781444308068</v>
      </c>
      <c r="C3168" s="1" t="s">
        <v>65</v>
      </c>
      <c r="D3168" s="2">
        <v>39867</v>
      </c>
      <c r="E3168" s="1" t="s">
        <v>6409</v>
      </c>
      <c r="F3168" s="1" t="s">
        <v>13</v>
      </c>
    </row>
    <row r="3169" spans="1:6" ht="30" customHeight="1" x14ac:dyDescent="0.25">
      <c r="A3169" s="1" t="s">
        <v>6410</v>
      </c>
      <c r="B3169" s="1" t="str">
        <f>"9781444308129"</f>
        <v>9781444308129</v>
      </c>
      <c r="C3169" s="1" t="s">
        <v>65</v>
      </c>
      <c r="D3169" s="2">
        <v>39867</v>
      </c>
      <c r="E3169" s="1" t="s">
        <v>6411</v>
      </c>
      <c r="F3169" s="1" t="s">
        <v>13</v>
      </c>
    </row>
    <row r="3170" spans="1:6" ht="30" customHeight="1" x14ac:dyDescent="0.25">
      <c r="A3170" s="1" t="s">
        <v>6412</v>
      </c>
      <c r="B3170" s="1" t="str">
        <f>"9781444304404"</f>
        <v>9781444304404</v>
      </c>
      <c r="C3170" s="1" t="s">
        <v>65</v>
      </c>
      <c r="D3170" s="2">
        <v>39867</v>
      </c>
      <c r="E3170" s="1" t="s">
        <v>6413</v>
      </c>
      <c r="F3170" s="1" t="s">
        <v>95</v>
      </c>
    </row>
    <row r="3171" spans="1:6" ht="30" customHeight="1" x14ac:dyDescent="0.25">
      <c r="A3171" s="1" t="s">
        <v>6414</v>
      </c>
      <c r="B3171" s="1" t="str">
        <f>"9781444305814"</f>
        <v>9781444305814</v>
      </c>
      <c r="C3171" s="1" t="s">
        <v>65</v>
      </c>
      <c r="D3171" s="2">
        <v>39855</v>
      </c>
      <c r="E3171" s="1" t="s">
        <v>6415</v>
      </c>
      <c r="F3171" s="1" t="s">
        <v>13</v>
      </c>
    </row>
    <row r="3172" spans="1:6" ht="30" customHeight="1" x14ac:dyDescent="0.25">
      <c r="A3172" s="1" t="s">
        <v>6416</v>
      </c>
      <c r="B3172" s="1" t="str">
        <f>"9781444308044"</f>
        <v>9781444308044</v>
      </c>
      <c r="C3172" s="1" t="s">
        <v>65</v>
      </c>
      <c r="D3172" s="2">
        <v>39867</v>
      </c>
      <c r="E3172" s="1" t="s">
        <v>6417</v>
      </c>
      <c r="F3172" s="1" t="s">
        <v>13</v>
      </c>
    </row>
    <row r="3173" spans="1:6" ht="30" customHeight="1" x14ac:dyDescent="0.25">
      <c r="A3173" s="1" t="s">
        <v>6418</v>
      </c>
      <c r="B3173" s="1" t="str">
        <f>"9780470743164"</f>
        <v>9780470743164</v>
      </c>
      <c r="C3173" s="1" t="s">
        <v>65</v>
      </c>
      <c r="D3173" s="2">
        <v>39861</v>
      </c>
      <c r="E3173" s="1" t="s">
        <v>6419</v>
      </c>
      <c r="F3173" s="1" t="s">
        <v>33</v>
      </c>
    </row>
    <row r="3174" spans="1:6" ht="30" customHeight="1" x14ac:dyDescent="0.25">
      <c r="A3174" s="1" t="s">
        <v>6420</v>
      </c>
      <c r="B3174" s="1" t="str">
        <f>"9781444308204"</f>
        <v>9781444308204</v>
      </c>
      <c r="C3174" s="1" t="s">
        <v>65</v>
      </c>
      <c r="D3174" s="2">
        <v>39867</v>
      </c>
      <c r="E3174" s="1" t="s">
        <v>6421</v>
      </c>
      <c r="F3174" s="1" t="s">
        <v>13</v>
      </c>
    </row>
    <row r="3175" spans="1:6" ht="30" customHeight="1" x14ac:dyDescent="0.25">
      <c r="A3175" s="1" t="s">
        <v>6422</v>
      </c>
      <c r="B3175" s="1" t="str">
        <f>"9788122427189"</f>
        <v>9788122427189</v>
      </c>
      <c r="C3175" s="1" t="s">
        <v>4001</v>
      </c>
      <c r="D3175" s="2">
        <v>38353</v>
      </c>
      <c r="E3175" s="1" t="s">
        <v>4839</v>
      </c>
      <c r="F3175" s="1" t="s">
        <v>6423</v>
      </c>
    </row>
    <row r="3176" spans="1:6" ht="30" customHeight="1" x14ac:dyDescent="0.25">
      <c r="A3176" s="1" t="s">
        <v>6424</v>
      </c>
      <c r="B3176" s="1" t="str">
        <f>"9781859592243"</f>
        <v>9781859592243</v>
      </c>
      <c r="C3176" s="1" t="s">
        <v>1024</v>
      </c>
      <c r="D3176" s="2">
        <v>39962</v>
      </c>
      <c r="E3176" s="1" t="s">
        <v>6425</v>
      </c>
      <c r="F3176" s="1" t="s">
        <v>13</v>
      </c>
    </row>
    <row r="3177" spans="1:6" ht="30" customHeight="1" x14ac:dyDescent="0.25">
      <c r="A3177" s="1" t="s">
        <v>6426</v>
      </c>
      <c r="B3177" s="1" t="str">
        <f>"9781859592151"</f>
        <v>9781859592151</v>
      </c>
      <c r="C3177" s="1" t="s">
        <v>1024</v>
      </c>
      <c r="D3177" s="2">
        <v>39939</v>
      </c>
      <c r="E3177" s="1" t="s">
        <v>6427</v>
      </c>
      <c r="F3177" s="1" t="s">
        <v>13</v>
      </c>
    </row>
    <row r="3178" spans="1:6" ht="30" customHeight="1" x14ac:dyDescent="0.25">
      <c r="A3178" s="1" t="s">
        <v>6428</v>
      </c>
      <c r="B3178" s="1" t="str">
        <f>"9780754689287"</f>
        <v>9780754689287</v>
      </c>
      <c r="C3178" s="1" t="s">
        <v>68</v>
      </c>
      <c r="D3178" s="2">
        <v>39753</v>
      </c>
      <c r="E3178" s="1" t="s">
        <v>6429</v>
      </c>
      <c r="F3178" s="1" t="s">
        <v>6430</v>
      </c>
    </row>
    <row r="3179" spans="1:6" ht="30" customHeight="1" x14ac:dyDescent="0.25">
      <c r="A3179" s="1" t="s">
        <v>6431</v>
      </c>
      <c r="B3179" s="1" t="str">
        <f>"9780754684268"</f>
        <v>9780754684268</v>
      </c>
      <c r="C3179" s="1" t="s">
        <v>68</v>
      </c>
      <c r="D3179" s="2">
        <v>39387</v>
      </c>
      <c r="E3179" s="1" t="s">
        <v>6432</v>
      </c>
      <c r="F3179" s="1" t="s">
        <v>87</v>
      </c>
    </row>
    <row r="3180" spans="1:6" ht="30" customHeight="1" x14ac:dyDescent="0.25">
      <c r="A3180" s="1" t="s">
        <v>6433</v>
      </c>
      <c r="B3180" s="1" t="str">
        <f>"9780754687214"</f>
        <v>9780754687214</v>
      </c>
      <c r="C3180" s="1" t="s">
        <v>6126</v>
      </c>
      <c r="D3180" s="2">
        <v>39569</v>
      </c>
      <c r="E3180" s="1" t="s">
        <v>6434</v>
      </c>
      <c r="F3180" s="1" t="s">
        <v>13</v>
      </c>
    </row>
    <row r="3181" spans="1:6" ht="30" customHeight="1" x14ac:dyDescent="0.25">
      <c r="A3181" s="1" t="s">
        <v>6435</v>
      </c>
      <c r="B3181" s="1" t="str">
        <f>"9780754684343"</f>
        <v>9780754684343</v>
      </c>
      <c r="C3181" s="1" t="s">
        <v>68</v>
      </c>
      <c r="D3181" s="2">
        <v>39387</v>
      </c>
      <c r="E3181" s="1" t="s">
        <v>6436</v>
      </c>
      <c r="F3181" s="1" t="s">
        <v>95</v>
      </c>
    </row>
    <row r="3182" spans="1:6" ht="30" customHeight="1" x14ac:dyDescent="0.25">
      <c r="A3182" s="1" t="s">
        <v>6437</v>
      </c>
      <c r="B3182" s="1" t="str">
        <f>"9780754690856"</f>
        <v>9780754690856</v>
      </c>
      <c r="C3182" s="1" t="s">
        <v>6126</v>
      </c>
      <c r="D3182" s="2">
        <v>39596</v>
      </c>
      <c r="E3182" s="1" t="s">
        <v>6438</v>
      </c>
      <c r="F3182" s="1" t="s">
        <v>158</v>
      </c>
    </row>
    <row r="3183" spans="1:6" ht="30" customHeight="1" x14ac:dyDescent="0.25">
      <c r="A3183" s="1" t="s">
        <v>6439</v>
      </c>
      <c r="B3183" s="1" t="str">
        <f>"9780754692959"</f>
        <v>9780754692959</v>
      </c>
      <c r="C3183" s="1" t="s">
        <v>68</v>
      </c>
      <c r="D3183" s="2">
        <v>39566</v>
      </c>
      <c r="E3183" s="1" t="s">
        <v>6440</v>
      </c>
      <c r="F3183" s="1" t="s">
        <v>205</v>
      </c>
    </row>
    <row r="3184" spans="1:6" ht="30" customHeight="1" x14ac:dyDescent="0.25">
      <c r="A3184" s="1" t="s">
        <v>6441</v>
      </c>
      <c r="B3184" s="1" t="str">
        <f>"9780754686170"</f>
        <v>9780754686170</v>
      </c>
      <c r="C3184" s="1" t="s">
        <v>6126</v>
      </c>
      <c r="D3184" s="2">
        <v>39444</v>
      </c>
      <c r="E3184" s="1" t="s">
        <v>6442</v>
      </c>
      <c r="F3184" s="1" t="s">
        <v>3261</v>
      </c>
    </row>
    <row r="3185" spans="1:6" ht="30" customHeight="1" x14ac:dyDescent="0.25">
      <c r="A3185" s="1" t="s">
        <v>6443</v>
      </c>
      <c r="B3185" s="1" t="str">
        <f>"9788122428629"</f>
        <v>9788122428629</v>
      </c>
      <c r="C3185" s="1" t="s">
        <v>4001</v>
      </c>
      <c r="D3185" s="2">
        <v>39873</v>
      </c>
      <c r="E3185" s="1" t="s">
        <v>6444</v>
      </c>
      <c r="F3185" s="1" t="s">
        <v>13</v>
      </c>
    </row>
    <row r="3186" spans="1:6" ht="30" customHeight="1" x14ac:dyDescent="0.25">
      <c r="A3186" s="1" t="s">
        <v>6445</v>
      </c>
      <c r="B3186" s="1" t="str">
        <f>"9788122428704"</f>
        <v>9788122428704</v>
      </c>
      <c r="C3186" s="1" t="s">
        <v>4001</v>
      </c>
      <c r="D3186" s="2">
        <v>38718</v>
      </c>
      <c r="E3186" s="1" t="s">
        <v>6446</v>
      </c>
      <c r="F3186" s="1" t="s">
        <v>6447</v>
      </c>
    </row>
    <row r="3187" spans="1:6" ht="30" customHeight="1" x14ac:dyDescent="0.25">
      <c r="A3187" s="1" t="s">
        <v>6448</v>
      </c>
      <c r="B3187" s="1" t="str">
        <f>"9788122428674"</f>
        <v>9788122428674</v>
      </c>
      <c r="C3187" s="1" t="s">
        <v>4001</v>
      </c>
      <c r="D3187" s="2">
        <v>39508</v>
      </c>
      <c r="E3187" s="1" t="s">
        <v>4839</v>
      </c>
      <c r="F3187" s="1" t="s">
        <v>6449</v>
      </c>
    </row>
    <row r="3188" spans="1:6" ht="30" customHeight="1" x14ac:dyDescent="0.25">
      <c r="A3188" s="1" t="s">
        <v>6450</v>
      </c>
      <c r="B3188" s="1" t="str">
        <f>"9780511539022"</f>
        <v>9780511539022</v>
      </c>
      <c r="C3188" s="1" t="s">
        <v>25</v>
      </c>
      <c r="D3188" s="2">
        <v>39961</v>
      </c>
      <c r="E3188" s="1" t="s">
        <v>6451</v>
      </c>
      <c r="F3188" s="1" t="s">
        <v>13</v>
      </c>
    </row>
    <row r="3189" spans="1:6" ht="30" customHeight="1" x14ac:dyDescent="0.25">
      <c r="A3189" s="1" t="s">
        <v>6452</v>
      </c>
      <c r="B3189" s="1" t="str">
        <f>"9780511532825"</f>
        <v>9780511532825</v>
      </c>
      <c r="C3189" s="1" t="s">
        <v>25</v>
      </c>
      <c r="D3189" s="2">
        <v>39904</v>
      </c>
      <c r="E3189" s="1" t="s">
        <v>6453</v>
      </c>
      <c r="F3189" s="1" t="s">
        <v>13</v>
      </c>
    </row>
    <row r="3190" spans="1:6" ht="30" customHeight="1" x14ac:dyDescent="0.25">
      <c r="A3190" s="1" t="s">
        <v>6454</v>
      </c>
      <c r="B3190" s="1" t="str">
        <f>"9780511539312"</f>
        <v>9780511539312</v>
      </c>
      <c r="C3190" s="1" t="s">
        <v>25</v>
      </c>
      <c r="D3190" s="2">
        <v>39961</v>
      </c>
      <c r="E3190" s="1" t="s">
        <v>6455</v>
      </c>
      <c r="F3190" s="1" t="s">
        <v>13</v>
      </c>
    </row>
    <row r="3191" spans="1:6" ht="30" customHeight="1" x14ac:dyDescent="0.25">
      <c r="A3191" s="1" t="s">
        <v>6456</v>
      </c>
      <c r="B3191" s="1" t="str">
        <f>"9780511539220"</f>
        <v>9780511539220</v>
      </c>
      <c r="C3191" s="1" t="s">
        <v>25</v>
      </c>
      <c r="D3191" s="2">
        <v>39934</v>
      </c>
      <c r="E3191" s="1" t="s">
        <v>6457</v>
      </c>
      <c r="F3191" s="1" t="s">
        <v>21</v>
      </c>
    </row>
    <row r="3192" spans="1:6" ht="30" customHeight="1" x14ac:dyDescent="0.25">
      <c r="A3192" s="1" t="s">
        <v>6458</v>
      </c>
      <c r="B3192" s="1" t="str">
        <f>"9781604861808"</f>
        <v>9781604861808</v>
      </c>
      <c r="C3192" s="1" t="s">
        <v>6459</v>
      </c>
      <c r="D3192" s="2">
        <v>39934</v>
      </c>
      <c r="E3192" s="1" t="s">
        <v>6460</v>
      </c>
      <c r="F3192" s="1" t="s">
        <v>95</v>
      </c>
    </row>
    <row r="3193" spans="1:6" ht="30" customHeight="1" x14ac:dyDescent="0.25">
      <c r="A3193" s="1" t="s">
        <v>6461</v>
      </c>
      <c r="B3193" s="1" t="str">
        <f>"9781400825677"</f>
        <v>9781400825677</v>
      </c>
      <c r="C3193" s="1" t="s">
        <v>6462</v>
      </c>
      <c r="D3193" s="2">
        <v>37956</v>
      </c>
      <c r="E3193" s="1" t="s">
        <v>6463</v>
      </c>
      <c r="F3193" s="1" t="s">
        <v>30</v>
      </c>
    </row>
    <row r="3194" spans="1:6" ht="30" customHeight="1" x14ac:dyDescent="0.25">
      <c r="A3194" s="1" t="s">
        <v>6464</v>
      </c>
      <c r="B3194" s="1" t="str">
        <f>"9780826111289"</f>
        <v>9780826111289</v>
      </c>
      <c r="C3194" s="1" t="s">
        <v>2339</v>
      </c>
      <c r="D3194" s="2">
        <v>40148</v>
      </c>
      <c r="E3194" s="1" t="s">
        <v>6465</v>
      </c>
      <c r="F3194" s="1" t="s">
        <v>13</v>
      </c>
    </row>
    <row r="3195" spans="1:6" ht="30" customHeight="1" x14ac:dyDescent="0.25">
      <c r="A3195" s="1" t="s">
        <v>6466</v>
      </c>
      <c r="B3195" s="1" t="str">
        <f>"9780826138279"</f>
        <v>9780826138279</v>
      </c>
      <c r="C3195" s="1" t="s">
        <v>2339</v>
      </c>
      <c r="D3195" s="2">
        <v>40148</v>
      </c>
      <c r="E3195" s="1" t="s">
        <v>6467</v>
      </c>
      <c r="F3195" s="1" t="s">
        <v>82</v>
      </c>
    </row>
    <row r="3196" spans="1:6" ht="30" customHeight="1" x14ac:dyDescent="0.25">
      <c r="A3196" s="1" t="s">
        <v>6468</v>
      </c>
      <c r="B3196" s="1" t="str">
        <f>"9780826132482"</f>
        <v>9780826132482</v>
      </c>
      <c r="C3196" s="1" t="s">
        <v>2339</v>
      </c>
      <c r="D3196" s="2">
        <v>39995</v>
      </c>
      <c r="E3196" s="1" t="s">
        <v>6469</v>
      </c>
      <c r="F3196" s="1" t="s">
        <v>13</v>
      </c>
    </row>
    <row r="3197" spans="1:6" ht="30" customHeight="1" x14ac:dyDescent="0.25">
      <c r="A3197" s="1" t="s">
        <v>6470</v>
      </c>
      <c r="B3197" s="1" t="str">
        <f>"9780826117380"</f>
        <v>9780826117380</v>
      </c>
      <c r="C3197" s="1" t="s">
        <v>2339</v>
      </c>
      <c r="D3197" s="2">
        <v>39995</v>
      </c>
      <c r="E3197" s="1" t="s">
        <v>6471</v>
      </c>
      <c r="F3197" s="1" t="s">
        <v>13</v>
      </c>
    </row>
    <row r="3198" spans="1:6" ht="30" customHeight="1" x14ac:dyDescent="0.25">
      <c r="A3198" s="1" t="s">
        <v>6472</v>
      </c>
      <c r="B3198" s="1" t="str">
        <f>"9780826116871"</f>
        <v>9780826116871</v>
      </c>
      <c r="C3198" s="1" t="s">
        <v>2339</v>
      </c>
      <c r="D3198" s="2">
        <v>39965</v>
      </c>
      <c r="E3198" s="1" t="s">
        <v>6473</v>
      </c>
      <c r="F3198" s="1" t="s">
        <v>13</v>
      </c>
    </row>
    <row r="3199" spans="1:6" ht="30" customHeight="1" x14ac:dyDescent="0.25">
      <c r="A3199" s="1" t="s">
        <v>6474</v>
      </c>
      <c r="B3199" s="1" t="str">
        <f>"9780826110602"</f>
        <v>9780826110602</v>
      </c>
      <c r="C3199" s="1" t="s">
        <v>2339</v>
      </c>
      <c r="D3199" s="2">
        <v>40148</v>
      </c>
      <c r="E3199" s="1" t="s">
        <v>6475</v>
      </c>
      <c r="F3199" s="1" t="s">
        <v>33</v>
      </c>
    </row>
    <row r="3200" spans="1:6" ht="30" customHeight="1" x14ac:dyDescent="0.25">
      <c r="A3200" s="1" t="s">
        <v>6476</v>
      </c>
      <c r="B3200" s="1" t="str">
        <f>"9780826115522"</f>
        <v>9780826115522</v>
      </c>
      <c r="C3200" s="1" t="s">
        <v>2339</v>
      </c>
      <c r="D3200" s="2">
        <v>39965</v>
      </c>
      <c r="E3200" s="1" t="s">
        <v>6477</v>
      </c>
      <c r="F3200" s="1" t="s">
        <v>13</v>
      </c>
    </row>
    <row r="3201" spans="1:6" ht="30" customHeight="1" x14ac:dyDescent="0.25">
      <c r="A3201" s="1" t="s">
        <v>6478</v>
      </c>
      <c r="B3201" s="1" t="str">
        <f>"9780754690634"</f>
        <v>9780754690634</v>
      </c>
      <c r="C3201" s="1" t="s">
        <v>68</v>
      </c>
      <c r="D3201" s="2">
        <v>39995</v>
      </c>
      <c r="E3201" s="1" t="s">
        <v>6479</v>
      </c>
      <c r="F3201" s="1" t="s">
        <v>13</v>
      </c>
    </row>
    <row r="3202" spans="1:6" ht="30" customHeight="1" x14ac:dyDescent="0.25">
      <c r="A3202" s="1" t="s">
        <v>6480</v>
      </c>
      <c r="B3202" s="1" t="str">
        <f>"9780470461792"</f>
        <v>9780470461792</v>
      </c>
      <c r="C3202" s="1" t="s">
        <v>11</v>
      </c>
      <c r="D3202" s="2">
        <v>39960</v>
      </c>
      <c r="E3202" s="1" t="s">
        <v>6481</v>
      </c>
      <c r="F3202" s="1" t="s">
        <v>13</v>
      </c>
    </row>
    <row r="3203" spans="1:6" ht="30" customHeight="1" x14ac:dyDescent="0.25">
      <c r="A3203" s="1" t="s">
        <v>6482</v>
      </c>
      <c r="B3203" s="1" t="str">
        <f>"9780470495773"</f>
        <v>9780470495773</v>
      </c>
      <c r="C3203" s="1" t="s">
        <v>65</v>
      </c>
      <c r="D3203" s="2">
        <v>39979</v>
      </c>
      <c r="E3203" s="1" t="s">
        <v>6483</v>
      </c>
      <c r="F3203" s="1" t="s">
        <v>30</v>
      </c>
    </row>
    <row r="3204" spans="1:6" ht="30" customHeight="1" x14ac:dyDescent="0.25">
      <c r="A3204" s="1" t="s">
        <v>6484</v>
      </c>
      <c r="B3204" s="1" t="str">
        <f>"9780470482988"</f>
        <v>9780470482988</v>
      </c>
      <c r="C3204" s="1" t="s">
        <v>65</v>
      </c>
      <c r="D3204" s="2">
        <v>39960</v>
      </c>
      <c r="E3204" s="1" t="s">
        <v>6485</v>
      </c>
      <c r="F3204" s="1" t="s">
        <v>95</v>
      </c>
    </row>
    <row r="3205" spans="1:6" ht="30" customHeight="1" x14ac:dyDescent="0.25">
      <c r="A3205" s="1" t="s">
        <v>6486</v>
      </c>
      <c r="B3205" s="1" t="str">
        <f>"9780754695776"</f>
        <v>9780754695776</v>
      </c>
      <c r="C3205" s="1" t="s">
        <v>6126</v>
      </c>
      <c r="D3205" s="2">
        <v>40084</v>
      </c>
      <c r="E3205" s="1" t="s">
        <v>6487</v>
      </c>
      <c r="F3205" s="1" t="s">
        <v>13</v>
      </c>
    </row>
    <row r="3206" spans="1:6" ht="30" customHeight="1" x14ac:dyDescent="0.25">
      <c r="A3206" s="1" t="s">
        <v>6488</v>
      </c>
      <c r="B3206" s="1" t="str">
        <f>"9781935281221"</f>
        <v>9781935281221</v>
      </c>
      <c r="C3206" s="1" t="s">
        <v>2342</v>
      </c>
      <c r="D3206" s="2">
        <v>39877</v>
      </c>
      <c r="E3206" s="1" t="s">
        <v>6489</v>
      </c>
      <c r="F3206" s="1" t="s">
        <v>13</v>
      </c>
    </row>
    <row r="3207" spans="1:6" ht="30" customHeight="1" x14ac:dyDescent="0.25">
      <c r="A3207" s="1" t="s">
        <v>6490</v>
      </c>
      <c r="B3207" s="1" t="str">
        <f>"9781935281177"</f>
        <v>9781935281177</v>
      </c>
      <c r="C3207" s="1" t="s">
        <v>2342</v>
      </c>
      <c r="D3207" s="2">
        <v>39908</v>
      </c>
      <c r="E3207" s="1" t="s">
        <v>6491</v>
      </c>
      <c r="F3207" s="1" t="s">
        <v>13</v>
      </c>
    </row>
    <row r="3208" spans="1:6" ht="30" customHeight="1" x14ac:dyDescent="0.25">
      <c r="A3208" s="1" t="s">
        <v>6492</v>
      </c>
      <c r="B3208" s="1" t="str">
        <f>"9781934559550"</f>
        <v>9781934559550</v>
      </c>
      <c r="C3208" s="1" t="s">
        <v>2342</v>
      </c>
      <c r="D3208" s="2">
        <v>39877</v>
      </c>
      <c r="E3208" s="1" t="s">
        <v>6493</v>
      </c>
      <c r="F3208" s="1" t="s">
        <v>13</v>
      </c>
    </row>
    <row r="3209" spans="1:6" ht="30" customHeight="1" x14ac:dyDescent="0.25">
      <c r="A3209" s="1" t="s">
        <v>6494</v>
      </c>
      <c r="B3209" s="1" t="str">
        <f>"9781934559703"</f>
        <v>9781934559703</v>
      </c>
      <c r="C3209" s="1" t="s">
        <v>2342</v>
      </c>
      <c r="D3209" s="2">
        <v>37270</v>
      </c>
      <c r="E3209" s="1" t="s">
        <v>6495</v>
      </c>
      <c r="F3209" s="1" t="s">
        <v>13</v>
      </c>
    </row>
    <row r="3210" spans="1:6" ht="30" customHeight="1" x14ac:dyDescent="0.25">
      <c r="A3210" s="1" t="s">
        <v>6496</v>
      </c>
      <c r="B3210" s="1" t="str">
        <f>"9781935281238"</f>
        <v>9781935281238</v>
      </c>
      <c r="C3210" s="1" t="s">
        <v>2339</v>
      </c>
      <c r="D3210" s="2">
        <v>39736</v>
      </c>
      <c r="E3210" s="1" t="s">
        <v>6497</v>
      </c>
      <c r="F3210" s="1" t="s">
        <v>13</v>
      </c>
    </row>
    <row r="3211" spans="1:6" ht="30" customHeight="1" x14ac:dyDescent="0.25">
      <c r="A3211" s="1" t="s">
        <v>6498</v>
      </c>
      <c r="B3211" s="1" t="str">
        <f>"9781935281214"</f>
        <v>9781935281214</v>
      </c>
      <c r="C3211" s="1" t="s">
        <v>2342</v>
      </c>
      <c r="D3211" s="2">
        <v>39877</v>
      </c>
      <c r="E3211" s="1" t="s">
        <v>6499</v>
      </c>
      <c r="F3211" s="1" t="s">
        <v>13</v>
      </c>
    </row>
    <row r="3212" spans="1:6" ht="30" customHeight="1" x14ac:dyDescent="0.25">
      <c r="A3212" s="1" t="s">
        <v>6500</v>
      </c>
      <c r="B3212" s="1" t="str">
        <f>"9781934559734"</f>
        <v>9781934559734</v>
      </c>
      <c r="C3212" s="1" t="s">
        <v>2339</v>
      </c>
      <c r="D3212" s="2">
        <v>36434</v>
      </c>
      <c r="E3212" s="1" t="s">
        <v>6501</v>
      </c>
      <c r="F3212" s="1" t="s">
        <v>13</v>
      </c>
    </row>
    <row r="3213" spans="1:6" ht="30" customHeight="1" x14ac:dyDescent="0.25">
      <c r="A3213" s="1" t="s">
        <v>6502</v>
      </c>
      <c r="B3213" s="1" t="str">
        <f>"9781935281085"</f>
        <v>9781935281085</v>
      </c>
      <c r="C3213" s="1" t="s">
        <v>2342</v>
      </c>
      <c r="D3213" s="2">
        <v>35809</v>
      </c>
      <c r="E3213" s="1" t="s">
        <v>6503</v>
      </c>
      <c r="F3213" s="1" t="s">
        <v>13</v>
      </c>
    </row>
    <row r="3214" spans="1:6" ht="30" customHeight="1" x14ac:dyDescent="0.25">
      <c r="A3214" s="1" t="s">
        <v>6504</v>
      </c>
      <c r="B3214" s="1" t="str">
        <f>"9781935281139"</f>
        <v>9781935281139</v>
      </c>
      <c r="C3214" s="1" t="s">
        <v>2342</v>
      </c>
      <c r="D3214" s="2">
        <v>38464</v>
      </c>
      <c r="E3214" s="1" t="s">
        <v>6505</v>
      </c>
      <c r="F3214" s="1" t="s">
        <v>13</v>
      </c>
    </row>
    <row r="3215" spans="1:6" ht="30" customHeight="1" x14ac:dyDescent="0.25">
      <c r="A3215" s="1" t="s">
        <v>6506</v>
      </c>
      <c r="B3215" s="1" t="str">
        <f>"9781935281061"</f>
        <v>9781935281061</v>
      </c>
      <c r="C3215" s="1" t="s">
        <v>2339</v>
      </c>
      <c r="D3215" s="2">
        <v>39402</v>
      </c>
      <c r="E3215" s="1" t="s">
        <v>6507</v>
      </c>
      <c r="F3215" s="1" t="s">
        <v>13</v>
      </c>
    </row>
    <row r="3216" spans="1:6" ht="30" customHeight="1" x14ac:dyDescent="0.25">
      <c r="A3216" s="1" t="s">
        <v>6508</v>
      </c>
      <c r="B3216" s="1" t="str">
        <f>"9781935281146"</f>
        <v>9781935281146</v>
      </c>
      <c r="C3216" s="1" t="s">
        <v>2339</v>
      </c>
      <c r="D3216" s="2">
        <v>39801</v>
      </c>
      <c r="E3216" s="1" t="s">
        <v>6509</v>
      </c>
      <c r="F3216" s="1" t="s">
        <v>13</v>
      </c>
    </row>
    <row r="3217" spans="1:6" ht="30" customHeight="1" x14ac:dyDescent="0.25">
      <c r="A3217" s="1" t="s">
        <v>6510</v>
      </c>
      <c r="B3217" s="1" t="str">
        <f>"9781935281153"</f>
        <v>9781935281153</v>
      </c>
      <c r="C3217" s="1" t="s">
        <v>2342</v>
      </c>
      <c r="D3217" s="2">
        <v>38425</v>
      </c>
      <c r="E3217" s="1" t="s">
        <v>6511</v>
      </c>
      <c r="F3217" s="1" t="s">
        <v>13</v>
      </c>
    </row>
    <row r="3218" spans="1:6" ht="30" customHeight="1" x14ac:dyDescent="0.25">
      <c r="A3218" s="1" t="s">
        <v>6512</v>
      </c>
      <c r="B3218" s="1" t="str">
        <f>"9781935281078"</f>
        <v>9781935281078</v>
      </c>
      <c r="C3218" s="1" t="s">
        <v>2342</v>
      </c>
      <c r="D3218" s="2">
        <v>38425</v>
      </c>
      <c r="E3218" s="1" t="s">
        <v>6513</v>
      </c>
      <c r="F3218" s="1" t="s">
        <v>3261</v>
      </c>
    </row>
    <row r="3219" spans="1:6" ht="30" customHeight="1" x14ac:dyDescent="0.25">
      <c r="A3219" s="1" t="s">
        <v>6514</v>
      </c>
      <c r="B3219" s="1" t="str">
        <f>"9781935281054"</f>
        <v>9781935281054</v>
      </c>
      <c r="C3219" s="1" t="s">
        <v>2339</v>
      </c>
      <c r="D3219" s="2">
        <v>39772</v>
      </c>
      <c r="E3219" s="1" t="s">
        <v>6515</v>
      </c>
      <c r="F3219" s="1" t="s">
        <v>13</v>
      </c>
    </row>
    <row r="3220" spans="1:6" ht="30" customHeight="1" x14ac:dyDescent="0.25">
      <c r="A3220" s="1" t="s">
        <v>6516</v>
      </c>
      <c r="B3220" s="1" t="str">
        <f>"9781589016057"</f>
        <v>9781589016057</v>
      </c>
      <c r="C3220" s="1" t="s">
        <v>6517</v>
      </c>
      <c r="D3220" s="2">
        <v>39905</v>
      </c>
      <c r="E3220" s="1" t="s">
        <v>6518</v>
      </c>
      <c r="F3220" s="1" t="s">
        <v>3261</v>
      </c>
    </row>
    <row r="3221" spans="1:6" ht="30" customHeight="1" x14ac:dyDescent="0.25">
      <c r="A3221" s="1" t="s">
        <v>6519</v>
      </c>
      <c r="B3221" s="1" t="str">
        <f>"9781589015937"</f>
        <v>9781589015937</v>
      </c>
      <c r="C3221" s="1" t="s">
        <v>6517</v>
      </c>
      <c r="D3221" s="2">
        <v>39887</v>
      </c>
      <c r="E3221" s="1" t="s">
        <v>6520</v>
      </c>
      <c r="F3221" s="1" t="s">
        <v>205</v>
      </c>
    </row>
    <row r="3222" spans="1:6" ht="30" customHeight="1" x14ac:dyDescent="0.25">
      <c r="A3222" s="1" t="s">
        <v>6521</v>
      </c>
      <c r="B3222" s="1" t="str">
        <f>"9789062998456"</f>
        <v>9789062998456</v>
      </c>
      <c r="C3222" s="1" t="s">
        <v>3412</v>
      </c>
      <c r="D3222" s="2">
        <v>39902</v>
      </c>
      <c r="E3222" s="1" t="s">
        <v>6522</v>
      </c>
      <c r="F3222" s="1" t="s">
        <v>3429</v>
      </c>
    </row>
    <row r="3223" spans="1:6" ht="30" customHeight="1" x14ac:dyDescent="0.25">
      <c r="A3223" s="1" t="s">
        <v>6523</v>
      </c>
      <c r="B3223" s="1" t="str">
        <f>"9789062998494"</f>
        <v>9789062998494</v>
      </c>
      <c r="C3223" s="1" t="s">
        <v>3412</v>
      </c>
      <c r="D3223" s="2">
        <v>39742</v>
      </c>
      <c r="E3223" s="1" t="s">
        <v>6524</v>
      </c>
      <c r="F3223" s="1" t="s">
        <v>13</v>
      </c>
    </row>
    <row r="3224" spans="1:6" ht="30" customHeight="1" x14ac:dyDescent="0.25">
      <c r="A3224" s="1" t="s">
        <v>6525</v>
      </c>
      <c r="B3224" s="1" t="str">
        <f>"9789062998463"</f>
        <v>9789062998463</v>
      </c>
      <c r="C3224" s="1" t="s">
        <v>3412</v>
      </c>
      <c r="D3224" s="2">
        <v>39894</v>
      </c>
      <c r="E3224" s="1" t="s">
        <v>6526</v>
      </c>
      <c r="F3224" s="1" t="s">
        <v>780</v>
      </c>
    </row>
    <row r="3225" spans="1:6" ht="30" customHeight="1" x14ac:dyDescent="0.25">
      <c r="A3225" s="1" t="s">
        <v>6527</v>
      </c>
      <c r="B3225" s="1" t="str">
        <f>"9789062998470"</f>
        <v>9789062998470</v>
      </c>
      <c r="C3225" s="1" t="s">
        <v>3412</v>
      </c>
      <c r="D3225" s="2">
        <v>39892</v>
      </c>
      <c r="E3225" s="1" t="s">
        <v>6528</v>
      </c>
      <c r="F3225" s="1" t="s">
        <v>6529</v>
      </c>
    </row>
    <row r="3226" spans="1:6" ht="30" customHeight="1" x14ac:dyDescent="0.25">
      <c r="A3226" s="1" t="s">
        <v>6530</v>
      </c>
      <c r="B3226" s="1" t="str">
        <f>"9781843924494"</f>
        <v>9781843924494</v>
      </c>
      <c r="C3226" s="1" t="s">
        <v>6531</v>
      </c>
      <c r="D3226" s="2">
        <v>37987</v>
      </c>
      <c r="E3226" s="1" t="s">
        <v>6532</v>
      </c>
      <c r="F3226" s="1" t="s">
        <v>6533</v>
      </c>
    </row>
    <row r="3227" spans="1:6" ht="30" customHeight="1" x14ac:dyDescent="0.25">
      <c r="A3227" s="1" t="s">
        <v>6534</v>
      </c>
      <c r="B3227" s="1" t="str">
        <f>"9780511579516"</f>
        <v>9780511579516</v>
      </c>
      <c r="C3227" s="1" t="s">
        <v>25</v>
      </c>
      <c r="D3227" s="2">
        <v>39995</v>
      </c>
      <c r="E3227" s="1" t="s">
        <v>6535</v>
      </c>
      <c r="F3227" s="1" t="s">
        <v>13</v>
      </c>
    </row>
    <row r="3228" spans="1:6" ht="30" customHeight="1" x14ac:dyDescent="0.25">
      <c r="A3228" s="1" t="s">
        <v>6536</v>
      </c>
      <c r="B3228" s="1" t="str">
        <f>"9780511593475"</f>
        <v>9780511593475</v>
      </c>
      <c r="C3228" s="1" t="s">
        <v>25</v>
      </c>
      <c r="D3228" s="2">
        <v>40021</v>
      </c>
      <c r="E3228" s="1" t="s">
        <v>6537</v>
      </c>
      <c r="F3228" s="1" t="s">
        <v>137</v>
      </c>
    </row>
    <row r="3229" spans="1:6" ht="30" customHeight="1" x14ac:dyDescent="0.25">
      <c r="A3229" s="1" t="s">
        <v>6538</v>
      </c>
      <c r="B3229" s="1" t="str">
        <f>"9780511593567"</f>
        <v>9780511593567</v>
      </c>
      <c r="C3229" s="1" t="s">
        <v>25</v>
      </c>
      <c r="D3229" s="2">
        <v>40026</v>
      </c>
      <c r="E3229" s="1" t="s">
        <v>6539</v>
      </c>
      <c r="F3229" s="1" t="s">
        <v>13</v>
      </c>
    </row>
    <row r="3230" spans="1:6" ht="30" customHeight="1" x14ac:dyDescent="0.25">
      <c r="A3230" s="1" t="s">
        <v>6540</v>
      </c>
      <c r="B3230" s="1" t="str">
        <f>"9780511579196"</f>
        <v>9780511579196</v>
      </c>
      <c r="C3230" s="1" t="s">
        <v>25</v>
      </c>
      <c r="D3230" s="2">
        <v>39930</v>
      </c>
      <c r="E3230" s="1" t="s">
        <v>6541</v>
      </c>
      <c r="F3230" s="1" t="s">
        <v>13</v>
      </c>
    </row>
    <row r="3231" spans="1:6" ht="30" customHeight="1" x14ac:dyDescent="0.25">
      <c r="A3231" s="1" t="s">
        <v>6542</v>
      </c>
      <c r="B3231" s="1" t="str">
        <f>"9781846639555"</f>
        <v>9781846639555</v>
      </c>
      <c r="C3231" s="1" t="s">
        <v>971</v>
      </c>
      <c r="D3231" s="2">
        <v>39654</v>
      </c>
      <c r="E3231" s="1" t="s">
        <v>6543</v>
      </c>
      <c r="F3231" s="1" t="s">
        <v>95</v>
      </c>
    </row>
    <row r="3232" spans="1:6" ht="30" customHeight="1" x14ac:dyDescent="0.25">
      <c r="A3232" s="1" t="s">
        <v>6544</v>
      </c>
      <c r="B3232" s="1" t="str">
        <f>"9781848552159"</f>
        <v>9781848552159</v>
      </c>
      <c r="C3232" s="1" t="s">
        <v>971</v>
      </c>
      <c r="D3232" s="2">
        <v>39783</v>
      </c>
      <c r="E3232" s="1" t="s">
        <v>6545</v>
      </c>
      <c r="F3232" s="1" t="s">
        <v>30</v>
      </c>
    </row>
    <row r="3233" spans="1:6" ht="30" customHeight="1" x14ac:dyDescent="0.25">
      <c r="A3233" s="1" t="s">
        <v>6546</v>
      </c>
      <c r="B3233" s="1" t="str">
        <f>"9781848551817"</f>
        <v>9781848551817</v>
      </c>
      <c r="C3233" s="1" t="s">
        <v>971</v>
      </c>
      <c r="D3233" s="2">
        <v>39734</v>
      </c>
      <c r="E3233" s="1" t="s">
        <v>6547</v>
      </c>
      <c r="F3233" s="1" t="s">
        <v>95</v>
      </c>
    </row>
    <row r="3234" spans="1:6" ht="30" customHeight="1" x14ac:dyDescent="0.25">
      <c r="A3234" s="1" t="s">
        <v>6548</v>
      </c>
      <c r="B3234" s="1" t="str">
        <f>"9781848551619"</f>
        <v>9781848551619</v>
      </c>
      <c r="C3234" s="1" t="s">
        <v>971</v>
      </c>
      <c r="D3234" s="2">
        <v>39742</v>
      </c>
      <c r="E3234" s="1" t="s">
        <v>6549</v>
      </c>
      <c r="F3234" s="1" t="s">
        <v>30</v>
      </c>
    </row>
    <row r="3235" spans="1:6" ht="30" customHeight="1" x14ac:dyDescent="0.25">
      <c r="A3235" s="1" t="s">
        <v>6550</v>
      </c>
      <c r="B3235" s="1" t="str">
        <f>"9780199705061"</f>
        <v>9780199705061</v>
      </c>
      <c r="C3235" s="1" t="s">
        <v>1120</v>
      </c>
      <c r="D3235" s="2">
        <v>39967</v>
      </c>
      <c r="E3235" s="1" t="s">
        <v>6551</v>
      </c>
      <c r="F3235" s="1" t="s">
        <v>13</v>
      </c>
    </row>
    <row r="3236" spans="1:6" ht="30" customHeight="1" x14ac:dyDescent="0.25">
      <c r="A3236" s="1" t="s">
        <v>6552</v>
      </c>
      <c r="B3236" s="1" t="str">
        <f>"9780191550164"</f>
        <v>9780191550164</v>
      </c>
      <c r="C3236" s="1" t="s">
        <v>5397</v>
      </c>
      <c r="D3236" s="2">
        <v>40148</v>
      </c>
      <c r="E3236" s="1" t="s">
        <v>6553</v>
      </c>
      <c r="F3236" s="1" t="s">
        <v>4351</v>
      </c>
    </row>
    <row r="3237" spans="1:6" ht="30" customHeight="1" x14ac:dyDescent="0.25">
      <c r="A3237" s="1" t="s">
        <v>6554</v>
      </c>
      <c r="B3237" s="1" t="str">
        <f>"9780199716210"</f>
        <v>9780199716210</v>
      </c>
      <c r="C3237" s="1" t="s">
        <v>1123</v>
      </c>
      <c r="D3237" s="2">
        <v>40023</v>
      </c>
      <c r="E3237" s="1" t="s">
        <v>6555</v>
      </c>
      <c r="F3237" s="1" t="s">
        <v>13</v>
      </c>
    </row>
    <row r="3238" spans="1:6" ht="30" customHeight="1" x14ac:dyDescent="0.25">
      <c r="A3238" s="1" t="s">
        <v>6556</v>
      </c>
      <c r="B3238" s="1" t="str">
        <f>"9780199716098"</f>
        <v>9780199716098</v>
      </c>
      <c r="C3238" s="1" t="s">
        <v>1120</v>
      </c>
      <c r="D3238" s="2">
        <v>40010</v>
      </c>
      <c r="E3238" s="1" t="s">
        <v>6557</v>
      </c>
      <c r="F3238" s="1" t="s">
        <v>541</v>
      </c>
    </row>
    <row r="3239" spans="1:6" ht="30" customHeight="1" x14ac:dyDescent="0.25">
      <c r="A3239" s="1" t="s">
        <v>6184</v>
      </c>
      <c r="B3239" s="1" t="str">
        <f>"9780199707911"</f>
        <v>9780199707911</v>
      </c>
      <c r="C3239" s="1" t="s">
        <v>1120</v>
      </c>
      <c r="D3239" s="2">
        <v>39930</v>
      </c>
      <c r="E3239" s="1" t="s">
        <v>6558</v>
      </c>
      <c r="F3239" s="1" t="s">
        <v>13</v>
      </c>
    </row>
    <row r="3240" spans="1:6" ht="30" customHeight="1" x14ac:dyDescent="0.25">
      <c r="A3240" s="1" t="s">
        <v>6559</v>
      </c>
      <c r="B3240" s="1" t="str">
        <f>"9780199708666"</f>
        <v>9780199708666</v>
      </c>
      <c r="C3240" s="1" t="s">
        <v>1123</v>
      </c>
      <c r="D3240" s="2">
        <v>39967</v>
      </c>
      <c r="E3240" s="1" t="s">
        <v>6560</v>
      </c>
      <c r="F3240" s="1" t="s">
        <v>356</v>
      </c>
    </row>
    <row r="3241" spans="1:6" ht="30" customHeight="1" x14ac:dyDescent="0.25">
      <c r="A3241" s="1" t="s">
        <v>6561</v>
      </c>
      <c r="B3241" s="1" t="str">
        <f>"9780199720729"</f>
        <v>9780199720729</v>
      </c>
      <c r="C3241" s="1" t="s">
        <v>1123</v>
      </c>
      <c r="D3241" s="2">
        <v>39994</v>
      </c>
      <c r="E3241" s="1" t="s">
        <v>6562</v>
      </c>
      <c r="F3241" s="1" t="s">
        <v>599</v>
      </c>
    </row>
    <row r="3242" spans="1:6" ht="30" customHeight="1" x14ac:dyDescent="0.25">
      <c r="A3242" s="1" t="s">
        <v>6563</v>
      </c>
      <c r="B3242" s="1" t="str">
        <f>"9780470698181"</f>
        <v>9780470698181</v>
      </c>
      <c r="C3242" s="1" t="s">
        <v>65</v>
      </c>
      <c r="D3242" s="2">
        <v>39568</v>
      </c>
      <c r="E3242" s="1" t="s">
        <v>6564</v>
      </c>
      <c r="F3242" s="1" t="s">
        <v>33</v>
      </c>
    </row>
    <row r="3243" spans="1:6" ht="30" customHeight="1" x14ac:dyDescent="0.25">
      <c r="A3243" s="1" t="s">
        <v>6565</v>
      </c>
      <c r="B3243" s="1" t="str">
        <f>"9780470699669"</f>
        <v>9780470699669</v>
      </c>
      <c r="C3243" s="1" t="s">
        <v>65</v>
      </c>
      <c r="D3243" s="2">
        <v>40002</v>
      </c>
      <c r="E3243" s="1" t="s">
        <v>6566</v>
      </c>
      <c r="F3243" s="1" t="s">
        <v>13</v>
      </c>
    </row>
    <row r="3244" spans="1:6" ht="30" customHeight="1" x14ac:dyDescent="0.25">
      <c r="A3244" s="1" t="s">
        <v>6567</v>
      </c>
      <c r="B3244" s="1" t="str">
        <f>"9780470698341"</f>
        <v>9780470698341</v>
      </c>
      <c r="C3244" s="1" t="s">
        <v>65</v>
      </c>
      <c r="D3244" s="2">
        <v>39568</v>
      </c>
      <c r="E3244" s="1" t="s">
        <v>6568</v>
      </c>
      <c r="F3244" s="1" t="s">
        <v>126</v>
      </c>
    </row>
    <row r="3245" spans="1:6" ht="30" customHeight="1" x14ac:dyDescent="0.25">
      <c r="A3245" s="1" t="s">
        <v>6569</v>
      </c>
      <c r="B3245" s="1" t="str">
        <f>"9780470010846"</f>
        <v>9780470010846</v>
      </c>
      <c r="C3245" s="1" t="s">
        <v>65</v>
      </c>
      <c r="D3245" s="2">
        <v>38380</v>
      </c>
      <c r="E3245" s="1" t="s">
        <v>6570</v>
      </c>
      <c r="F3245" s="1" t="s">
        <v>13</v>
      </c>
    </row>
    <row r="3246" spans="1:6" ht="30" customHeight="1" x14ac:dyDescent="0.25">
      <c r="A3246" s="1" t="s">
        <v>6571</v>
      </c>
      <c r="B3246" s="1" t="str">
        <f>"9780470745908"</f>
        <v>9780470745908</v>
      </c>
      <c r="C3246" s="1" t="s">
        <v>65</v>
      </c>
      <c r="D3246" s="2">
        <v>39974</v>
      </c>
      <c r="E3246" s="1" t="s">
        <v>6572</v>
      </c>
      <c r="F3246" s="1" t="s">
        <v>13</v>
      </c>
    </row>
    <row r="3247" spans="1:6" ht="30" customHeight="1" x14ac:dyDescent="0.25">
      <c r="A3247" s="1" t="s">
        <v>6573</v>
      </c>
      <c r="B3247" s="1" t="str">
        <f>"9781444316995"</f>
        <v>9781444316995</v>
      </c>
      <c r="C3247" s="1" t="s">
        <v>65</v>
      </c>
      <c r="D3247" s="2">
        <v>40000</v>
      </c>
      <c r="E3247" s="1" t="s">
        <v>6574</v>
      </c>
      <c r="F3247" s="1" t="s">
        <v>158</v>
      </c>
    </row>
    <row r="3248" spans="1:6" ht="30" customHeight="1" x14ac:dyDescent="0.25">
      <c r="A3248" s="1" t="s">
        <v>6575</v>
      </c>
      <c r="B3248" s="1" t="str">
        <f>"9780470030936"</f>
        <v>9780470030936</v>
      </c>
      <c r="C3248" s="1" t="s">
        <v>65</v>
      </c>
      <c r="D3248" s="2">
        <v>40008</v>
      </c>
      <c r="E3248" s="1" t="s">
        <v>6576</v>
      </c>
      <c r="F3248" s="1" t="s">
        <v>13</v>
      </c>
    </row>
    <row r="3249" spans="1:6" ht="30" customHeight="1" x14ac:dyDescent="0.25">
      <c r="A3249" s="1" t="s">
        <v>6577</v>
      </c>
      <c r="B3249" s="1" t="str">
        <f>"9780470747568"</f>
        <v>9780470747568</v>
      </c>
      <c r="C3249" s="1" t="s">
        <v>65</v>
      </c>
      <c r="D3249" s="2">
        <v>40011</v>
      </c>
      <c r="E3249" s="1" t="s">
        <v>6578</v>
      </c>
      <c r="F3249" s="1" t="s">
        <v>13</v>
      </c>
    </row>
    <row r="3250" spans="1:6" ht="30" customHeight="1" x14ac:dyDescent="0.25">
      <c r="A3250" s="1" t="s">
        <v>6579</v>
      </c>
      <c r="B3250" s="1" t="str">
        <f>"9781444312102"</f>
        <v>9781444312102</v>
      </c>
      <c r="C3250" s="1" t="s">
        <v>65</v>
      </c>
      <c r="D3250" s="2">
        <v>39965</v>
      </c>
      <c r="E3250" s="1" t="s">
        <v>6580</v>
      </c>
      <c r="F3250" s="1" t="s">
        <v>13</v>
      </c>
    </row>
    <row r="3251" spans="1:6" ht="30" customHeight="1" x14ac:dyDescent="0.25">
      <c r="A3251" s="1" t="s">
        <v>6581</v>
      </c>
      <c r="B3251" s="1" t="str">
        <f>"9781444309997"</f>
        <v>9781444309997</v>
      </c>
      <c r="C3251" s="1" t="s">
        <v>65</v>
      </c>
      <c r="D3251" s="2">
        <v>40052</v>
      </c>
      <c r="E3251" s="1" t="s">
        <v>6582</v>
      </c>
      <c r="F3251" s="1" t="s">
        <v>13</v>
      </c>
    </row>
    <row r="3252" spans="1:6" ht="30" customHeight="1" x14ac:dyDescent="0.25">
      <c r="A3252" s="1" t="s">
        <v>6583</v>
      </c>
      <c r="B3252" s="1" t="str">
        <f>"9781444313208"</f>
        <v>9781444313208</v>
      </c>
      <c r="C3252" s="1" t="s">
        <v>65</v>
      </c>
      <c r="D3252" s="2">
        <v>39965</v>
      </c>
      <c r="E3252" s="1" t="s">
        <v>6052</v>
      </c>
      <c r="F3252" s="1" t="s">
        <v>480</v>
      </c>
    </row>
    <row r="3253" spans="1:6" ht="30" customHeight="1" x14ac:dyDescent="0.25">
      <c r="A3253" s="1" t="s">
        <v>6584</v>
      </c>
      <c r="B3253" s="1" t="str">
        <f>"9780470376584"</f>
        <v>9780470376584</v>
      </c>
      <c r="C3253" s="1" t="s">
        <v>65</v>
      </c>
      <c r="D3253" s="2">
        <v>39486</v>
      </c>
      <c r="E3253" s="1" t="s">
        <v>6585</v>
      </c>
      <c r="F3253" s="1" t="s">
        <v>30</v>
      </c>
    </row>
    <row r="3254" spans="1:6" ht="30" customHeight="1" x14ac:dyDescent="0.25">
      <c r="A3254" s="1" t="s">
        <v>6586</v>
      </c>
      <c r="B3254" s="1" t="str">
        <f>"9780470515914"</f>
        <v>9780470515914</v>
      </c>
      <c r="C3254" s="1" t="s">
        <v>65</v>
      </c>
      <c r="D3254" s="2">
        <v>40045</v>
      </c>
      <c r="E3254" s="1" t="s">
        <v>6587</v>
      </c>
      <c r="F3254" s="1" t="s">
        <v>13</v>
      </c>
    </row>
    <row r="3255" spans="1:6" ht="30" customHeight="1" x14ac:dyDescent="0.25">
      <c r="A3255" s="1" t="s">
        <v>6588</v>
      </c>
      <c r="B3255" s="1" t="str">
        <f>"9780817382605"</f>
        <v>9780817382605</v>
      </c>
      <c r="C3255" s="1" t="s">
        <v>6589</v>
      </c>
      <c r="D3255" s="2">
        <v>31382</v>
      </c>
      <c r="E3255" s="1" t="s">
        <v>6590</v>
      </c>
      <c r="F3255" s="1" t="s">
        <v>126</v>
      </c>
    </row>
    <row r="3256" spans="1:6" ht="30" customHeight="1" x14ac:dyDescent="0.25">
      <c r="A3256" s="1" t="s">
        <v>6591</v>
      </c>
      <c r="B3256" s="1" t="str">
        <f>"9780817380373"</f>
        <v>9780817380373</v>
      </c>
      <c r="C3256" s="1" t="s">
        <v>6589</v>
      </c>
      <c r="D3256" s="2">
        <v>39783</v>
      </c>
      <c r="E3256" s="1" t="s">
        <v>6592</v>
      </c>
      <c r="F3256" s="1" t="s">
        <v>6593</v>
      </c>
    </row>
    <row r="3257" spans="1:6" ht="30" customHeight="1" x14ac:dyDescent="0.25">
      <c r="A3257" s="1" t="s">
        <v>6594</v>
      </c>
      <c r="B3257" s="1" t="str">
        <f>"9780817382674"</f>
        <v>9780817382674</v>
      </c>
      <c r="C3257" s="1" t="s">
        <v>6589</v>
      </c>
      <c r="D3257" s="2">
        <v>32843</v>
      </c>
      <c r="E3257" s="1" t="s">
        <v>6595</v>
      </c>
      <c r="F3257" s="1" t="s">
        <v>70</v>
      </c>
    </row>
    <row r="3258" spans="1:6" ht="30" customHeight="1" x14ac:dyDescent="0.25">
      <c r="A3258" s="1" t="s">
        <v>6596</v>
      </c>
      <c r="B3258" s="1" t="str">
        <f>"9780817382728"</f>
        <v>9780817382728</v>
      </c>
      <c r="C3258" s="1" t="s">
        <v>6589</v>
      </c>
      <c r="D3258" s="2">
        <v>38014</v>
      </c>
      <c r="E3258" s="1" t="s">
        <v>6597</v>
      </c>
      <c r="F3258" s="1" t="s">
        <v>6598</v>
      </c>
    </row>
    <row r="3259" spans="1:6" ht="30" customHeight="1" x14ac:dyDescent="0.25">
      <c r="A3259" s="1" t="s">
        <v>6599</v>
      </c>
      <c r="B3259" s="1" t="str">
        <f>"9780807894071"</f>
        <v>9780807894071</v>
      </c>
      <c r="C3259" s="1" t="s">
        <v>6600</v>
      </c>
      <c r="D3259" s="2">
        <v>39933</v>
      </c>
      <c r="E3259" s="1" t="s">
        <v>6601</v>
      </c>
      <c r="F3259" s="1" t="s">
        <v>95</v>
      </c>
    </row>
    <row r="3260" spans="1:6" ht="30" customHeight="1" x14ac:dyDescent="0.25">
      <c r="A3260" s="1" t="s">
        <v>6602</v>
      </c>
      <c r="B3260" s="1" t="str">
        <f>"9780807888643"</f>
        <v>9780807888643</v>
      </c>
      <c r="C3260" s="1" t="s">
        <v>6600</v>
      </c>
      <c r="D3260" s="2">
        <v>40148</v>
      </c>
      <c r="E3260" s="1" t="s">
        <v>6603</v>
      </c>
      <c r="F3260" s="1" t="s">
        <v>205</v>
      </c>
    </row>
    <row r="3261" spans="1:6" ht="30" customHeight="1" x14ac:dyDescent="0.25">
      <c r="A3261" s="1" t="s">
        <v>6604</v>
      </c>
      <c r="B3261" s="1" t="str">
        <f>"9781921513237"</f>
        <v>9781921513237</v>
      </c>
      <c r="C3261" s="1" t="s">
        <v>3199</v>
      </c>
      <c r="D3261" s="2">
        <v>39845</v>
      </c>
      <c r="E3261" s="1" t="s">
        <v>6605</v>
      </c>
      <c r="F3261" s="1" t="s">
        <v>13</v>
      </c>
    </row>
    <row r="3262" spans="1:6" ht="30" customHeight="1" x14ac:dyDescent="0.25">
      <c r="A3262" s="1" t="s">
        <v>6606</v>
      </c>
      <c r="B3262" s="1" t="str">
        <f>"9781921513152"</f>
        <v>9781921513152</v>
      </c>
      <c r="C3262" s="1" t="s">
        <v>3199</v>
      </c>
      <c r="D3262" s="2">
        <v>41808</v>
      </c>
      <c r="E3262" s="1" t="s">
        <v>6607</v>
      </c>
      <c r="F3262" s="1" t="s">
        <v>13</v>
      </c>
    </row>
    <row r="3263" spans="1:6" ht="30" customHeight="1" x14ac:dyDescent="0.25">
      <c r="A3263" s="1" t="s">
        <v>6608</v>
      </c>
      <c r="B3263" s="1" t="str">
        <f>"9781921513169"</f>
        <v>9781921513169</v>
      </c>
      <c r="C3263" s="1" t="s">
        <v>3199</v>
      </c>
      <c r="D3263" s="2">
        <v>39600</v>
      </c>
      <c r="E3263" s="1" t="s">
        <v>6609</v>
      </c>
      <c r="F3263" s="1" t="s">
        <v>6610</v>
      </c>
    </row>
    <row r="3264" spans="1:6" ht="30" customHeight="1" x14ac:dyDescent="0.25">
      <c r="A3264" s="1" t="s">
        <v>6611</v>
      </c>
      <c r="B3264" s="1" t="str">
        <f>"9780253003331"</f>
        <v>9780253003331</v>
      </c>
      <c r="C3264" s="1" t="s">
        <v>19</v>
      </c>
      <c r="D3264" s="2">
        <v>39993</v>
      </c>
      <c r="E3264" s="1" t="s">
        <v>6612</v>
      </c>
      <c r="F3264" s="1" t="s">
        <v>30</v>
      </c>
    </row>
    <row r="3265" spans="1:6" ht="30" customHeight="1" x14ac:dyDescent="0.25">
      <c r="A3265" s="1" t="s">
        <v>6613</v>
      </c>
      <c r="B3265" s="1" t="str">
        <f>"9780470500484"</f>
        <v>9780470500484</v>
      </c>
      <c r="C3265" s="1" t="s">
        <v>65</v>
      </c>
      <c r="D3265" s="2">
        <v>40038</v>
      </c>
      <c r="E3265" s="1" t="s">
        <v>6614</v>
      </c>
      <c r="F3265" s="1" t="s">
        <v>13</v>
      </c>
    </row>
    <row r="3266" spans="1:6" ht="30" customHeight="1" x14ac:dyDescent="0.25">
      <c r="A3266" s="1" t="s">
        <v>6615</v>
      </c>
      <c r="B3266" s="1" t="str">
        <f>"9780470431788"</f>
        <v>9780470431788</v>
      </c>
      <c r="C3266" s="1" t="s">
        <v>11</v>
      </c>
      <c r="D3266" s="2">
        <v>40025</v>
      </c>
      <c r="E3266" s="1" t="s">
        <v>6616</v>
      </c>
      <c r="F3266" s="1" t="s">
        <v>176</v>
      </c>
    </row>
    <row r="3267" spans="1:6" ht="30" customHeight="1" x14ac:dyDescent="0.25">
      <c r="A3267" s="1" t="s">
        <v>6617</v>
      </c>
      <c r="B3267" s="1" t="str">
        <f>"9780470475966"</f>
        <v>9780470475966</v>
      </c>
      <c r="C3267" s="1" t="s">
        <v>11</v>
      </c>
      <c r="D3267" s="2">
        <v>40031</v>
      </c>
      <c r="E3267" s="1" t="s">
        <v>6618</v>
      </c>
      <c r="F3267" s="1" t="s">
        <v>963</v>
      </c>
    </row>
    <row r="3268" spans="1:6" ht="30" customHeight="1" x14ac:dyDescent="0.25">
      <c r="A3268" s="1" t="s">
        <v>6619</v>
      </c>
      <c r="B3268" s="1" t="str">
        <f>"9780470504048"</f>
        <v>9780470504048</v>
      </c>
      <c r="C3268" s="1" t="s">
        <v>65</v>
      </c>
      <c r="D3268" s="2">
        <v>40044</v>
      </c>
      <c r="E3268" s="1" t="s">
        <v>6620</v>
      </c>
      <c r="F3268" s="1" t="s">
        <v>599</v>
      </c>
    </row>
    <row r="3269" spans="1:6" ht="30" customHeight="1" x14ac:dyDescent="0.25">
      <c r="A3269" s="1" t="s">
        <v>6621</v>
      </c>
      <c r="B3269" s="1" t="str">
        <f>"9780470502587"</f>
        <v>9780470502587</v>
      </c>
      <c r="C3269" s="1" t="s">
        <v>65</v>
      </c>
      <c r="D3269" s="2">
        <v>40025</v>
      </c>
      <c r="E3269" s="1" t="s">
        <v>6622</v>
      </c>
      <c r="F3269" s="1" t="s">
        <v>13</v>
      </c>
    </row>
    <row r="3270" spans="1:6" ht="30" customHeight="1" x14ac:dyDescent="0.25">
      <c r="A3270" s="1" t="s">
        <v>6623</v>
      </c>
      <c r="B3270" s="1" t="str">
        <f>"9780470475904"</f>
        <v>9780470475904</v>
      </c>
      <c r="C3270" s="1" t="s">
        <v>65</v>
      </c>
      <c r="D3270" s="2">
        <v>40044</v>
      </c>
      <c r="E3270" s="1" t="s">
        <v>6624</v>
      </c>
      <c r="F3270" s="1" t="s">
        <v>13</v>
      </c>
    </row>
    <row r="3271" spans="1:6" ht="30" customHeight="1" x14ac:dyDescent="0.25">
      <c r="A3271" s="1" t="s">
        <v>6625</v>
      </c>
      <c r="B3271" s="1" t="str">
        <f>"9781444318357"</f>
        <v>9781444318357</v>
      </c>
      <c r="C3271" s="1" t="s">
        <v>65</v>
      </c>
      <c r="D3271" s="2">
        <v>40044</v>
      </c>
      <c r="E3271" s="1" t="s">
        <v>6626</v>
      </c>
      <c r="F3271" s="1" t="s">
        <v>13</v>
      </c>
    </row>
    <row r="3272" spans="1:6" ht="30" customHeight="1" x14ac:dyDescent="0.25">
      <c r="A3272" s="1" t="s">
        <v>6627</v>
      </c>
      <c r="B3272" s="1" t="str">
        <f>"9781444309973"</f>
        <v>9781444309973</v>
      </c>
      <c r="C3272" s="1" t="s">
        <v>65</v>
      </c>
      <c r="D3272" s="2">
        <v>40050</v>
      </c>
      <c r="E3272" s="1" t="s">
        <v>6628</v>
      </c>
      <c r="F3272" s="1" t="s">
        <v>126</v>
      </c>
    </row>
    <row r="3273" spans="1:6" ht="30" customHeight="1" x14ac:dyDescent="0.25">
      <c r="A3273" s="1" t="s">
        <v>6629</v>
      </c>
      <c r="B3273" s="1" t="str">
        <f>"9780470475942"</f>
        <v>9780470475942</v>
      </c>
      <c r="C3273" s="1" t="s">
        <v>11</v>
      </c>
      <c r="D3273" s="2">
        <v>40031</v>
      </c>
      <c r="E3273" s="1" t="s">
        <v>6630</v>
      </c>
      <c r="F3273" s="1" t="s">
        <v>268</v>
      </c>
    </row>
    <row r="3274" spans="1:6" ht="30" customHeight="1" x14ac:dyDescent="0.25">
      <c r="A3274" s="1" t="s">
        <v>6631</v>
      </c>
      <c r="B3274" s="1" t="str">
        <f>"9789290216841"</f>
        <v>9789290216841</v>
      </c>
      <c r="C3274" s="1" t="s">
        <v>1981</v>
      </c>
      <c r="D3274" s="2">
        <v>39448</v>
      </c>
      <c r="E3274" s="1" t="s">
        <v>6632</v>
      </c>
      <c r="F3274" s="1" t="s">
        <v>6633</v>
      </c>
    </row>
    <row r="3275" spans="1:6" ht="30" customHeight="1" x14ac:dyDescent="0.25">
      <c r="A3275" s="1" t="s">
        <v>6634</v>
      </c>
      <c r="B3275" s="1" t="str">
        <f>"9789240683853"</f>
        <v>9789240683853</v>
      </c>
      <c r="C3275" s="1" t="s">
        <v>1981</v>
      </c>
      <c r="D3275" s="2">
        <v>39448</v>
      </c>
      <c r="E3275" s="1" t="s">
        <v>6635</v>
      </c>
      <c r="F3275" s="1" t="s">
        <v>158</v>
      </c>
    </row>
    <row r="3276" spans="1:6" ht="30" customHeight="1" x14ac:dyDescent="0.25">
      <c r="A3276" s="1" t="s">
        <v>6636</v>
      </c>
      <c r="B3276" s="1" t="str">
        <f>"9789290223474"</f>
        <v>9789290223474</v>
      </c>
      <c r="C3276" s="1" t="s">
        <v>1981</v>
      </c>
      <c r="D3276" s="2">
        <v>39448</v>
      </c>
      <c r="E3276" s="1" t="s">
        <v>6637</v>
      </c>
      <c r="F3276" s="1" t="s">
        <v>70</v>
      </c>
    </row>
    <row r="3277" spans="1:6" ht="30" customHeight="1" x14ac:dyDescent="0.25">
      <c r="A3277" s="1" t="s">
        <v>6638</v>
      </c>
      <c r="B3277" s="1" t="str">
        <f>"9789290223481"</f>
        <v>9789290223481</v>
      </c>
      <c r="C3277" s="1" t="s">
        <v>1981</v>
      </c>
      <c r="D3277" s="2">
        <v>39448</v>
      </c>
      <c r="E3277" s="1" t="s">
        <v>6637</v>
      </c>
      <c r="F3277" s="1" t="s">
        <v>158</v>
      </c>
    </row>
    <row r="3278" spans="1:6" ht="30" customHeight="1" x14ac:dyDescent="0.25">
      <c r="A3278" s="1" t="s">
        <v>6639</v>
      </c>
      <c r="B3278" s="1" t="str">
        <f>"9789291738175"</f>
        <v>9789291738175</v>
      </c>
      <c r="C3278" s="1" t="s">
        <v>1981</v>
      </c>
      <c r="D3278" s="2">
        <v>39448</v>
      </c>
      <c r="E3278" s="1" t="s">
        <v>2116</v>
      </c>
      <c r="F3278" s="1" t="s">
        <v>33</v>
      </c>
    </row>
    <row r="3279" spans="1:6" ht="30" customHeight="1" x14ac:dyDescent="0.25">
      <c r="A3279" s="1" t="s">
        <v>6640</v>
      </c>
      <c r="B3279" s="1" t="str">
        <f>"9789291738205"</f>
        <v>9789291738205</v>
      </c>
      <c r="C3279" s="1" t="s">
        <v>1981</v>
      </c>
      <c r="D3279" s="2">
        <v>39448</v>
      </c>
      <c r="E3279" s="1" t="s">
        <v>2116</v>
      </c>
      <c r="F3279" s="1" t="s">
        <v>158</v>
      </c>
    </row>
    <row r="3280" spans="1:6" ht="30" customHeight="1" x14ac:dyDescent="0.25">
      <c r="A3280" s="1" t="s">
        <v>6641</v>
      </c>
      <c r="B3280" s="1" t="str">
        <f>"9789291738151"</f>
        <v>9789291738151</v>
      </c>
      <c r="C3280" s="1" t="s">
        <v>1981</v>
      </c>
      <c r="D3280" s="2">
        <v>39448</v>
      </c>
      <c r="E3280" s="1" t="s">
        <v>2116</v>
      </c>
      <c r="F3280" s="1" t="s">
        <v>95</v>
      </c>
    </row>
    <row r="3281" spans="1:6" ht="30" customHeight="1" x14ac:dyDescent="0.25">
      <c r="A3281" s="1" t="s">
        <v>6642</v>
      </c>
      <c r="B3281" s="1" t="str">
        <f>"9789291738212"</f>
        <v>9789291738212</v>
      </c>
      <c r="C3281" s="1" t="s">
        <v>1981</v>
      </c>
      <c r="D3281" s="2">
        <v>39448</v>
      </c>
      <c r="E3281" s="1" t="s">
        <v>6643</v>
      </c>
      <c r="F3281" s="1" t="s">
        <v>176</v>
      </c>
    </row>
    <row r="3282" spans="1:6" ht="30" customHeight="1" x14ac:dyDescent="0.25">
      <c r="A3282" s="1" t="s">
        <v>6644</v>
      </c>
      <c r="B3282" s="1" t="str">
        <f>"9789291737468"</f>
        <v>9789291737468</v>
      </c>
      <c r="C3282" s="1" t="s">
        <v>1981</v>
      </c>
      <c r="D3282" s="2">
        <v>39652</v>
      </c>
      <c r="E3282" s="1" t="s">
        <v>2116</v>
      </c>
      <c r="F3282" s="1" t="s">
        <v>95</v>
      </c>
    </row>
    <row r="3283" spans="1:6" ht="30" customHeight="1" x14ac:dyDescent="0.25">
      <c r="A3283" s="1" t="s">
        <v>6645</v>
      </c>
      <c r="B3283" s="1" t="str">
        <f>"9789291738168"</f>
        <v>9789291738168</v>
      </c>
      <c r="C3283" s="1" t="s">
        <v>1981</v>
      </c>
      <c r="D3283" s="2">
        <v>39448</v>
      </c>
      <c r="E3283" s="1" t="s">
        <v>2116</v>
      </c>
      <c r="F3283" s="1" t="s">
        <v>158</v>
      </c>
    </row>
    <row r="3284" spans="1:6" ht="30" customHeight="1" x14ac:dyDescent="0.25">
      <c r="A3284" s="1" t="s">
        <v>6646</v>
      </c>
      <c r="B3284" s="1" t="str">
        <f>"9789291738144"</f>
        <v>9789291738144</v>
      </c>
      <c r="C3284" s="1" t="s">
        <v>1981</v>
      </c>
      <c r="D3284" s="2">
        <v>39448</v>
      </c>
      <c r="E3284" s="1" t="s">
        <v>2116</v>
      </c>
      <c r="F3284" s="1" t="s">
        <v>6647</v>
      </c>
    </row>
    <row r="3285" spans="1:6" ht="30" customHeight="1" x14ac:dyDescent="0.25">
      <c r="A3285" s="1" t="s">
        <v>6648</v>
      </c>
      <c r="B3285" s="1" t="str">
        <f>"9789240683785"</f>
        <v>9789240683785</v>
      </c>
      <c r="C3285" s="1" t="s">
        <v>1981</v>
      </c>
      <c r="D3285" s="2">
        <v>39448</v>
      </c>
      <c r="E3285" s="1" t="s">
        <v>5055</v>
      </c>
      <c r="F3285" s="1" t="s">
        <v>1319</v>
      </c>
    </row>
    <row r="3286" spans="1:6" ht="30" customHeight="1" x14ac:dyDescent="0.25">
      <c r="A3286" s="1" t="s">
        <v>6649</v>
      </c>
      <c r="B3286" s="1" t="str">
        <f>"9789240683808"</f>
        <v>9789240683808</v>
      </c>
      <c r="C3286" s="1" t="s">
        <v>1981</v>
      </c>
      <c r="D3286" s="2">
        <v>39448</v>
      </c>
      <c r="E3286" s="1" t="s">
        <v>3256</v>
      </c>
      <c r="F3286" s="1" t="s">
        <v>3888</v>
      </c>
    </row>
    <row r="3287" spans="1:6" ht="30" customHeight="1" x14ac:dyDescent="0.25">
      <c r="A3287" s="1" t="s">
        <v>6650</v>
      </c>
      <c r="B3287" s="1" t="str">
        <f>"9789289042857"</f>
        <v>9789289042857</v>
      </c>
      <c r="C3287" s="1" t="s">
        <v>1981</v>
      </c>
      <c r="D3287" s="2">
        <v>39448</v>
      </c>
      <c r="E3287" s="1" t="s">
        <v>6651</v>
      </c>
      <c r="F3287" s="1" t="s">
        <v>95</v>
      </c>
    </row>
    <row r="3288" spans="1:6" ht="30" customHeight="1" x14ac:dyDescent="0.25">
      <c r="A3288" s="1" t="s">
        <v>6652</v>
      </c>
      <c r="B3288" s="1" t="str">
        <f>"9789240683679"</f>
        <v>9789240683679</v>
      </c>
      <c r="C3288" s="1" t="s">
        <v>1981</v>
      </c>
      <c r="D3288" s="2">
        <v>39448</v>
      </c>
      <c r="E3288" s="1" t="s">
        <v>1981</v>
      </c>
      <c r="F3288" s="1" t="s">
        <v>95</v>
      </c>
    </row>
    <row r="3289" spans="1:6" ht="30" customHeight="1" x14ac:dyDescent="0.25">
      <c r="A3289" s="1" t="s">
        <v>6653</v>
      </c>
      <c r="B3289" s="1" t="str">
        <f>"9789240683730"</f>
        <v>9789240683730</v>
      </c>
      <c r="C3289" s="1" t="s">
        <v>1981</v>
      </c>
      <c r="D3289" s="2">
        <v>39448</v>
      </c>
      <c r="E3289" s="1" t="s">
        <v>1981</v>
      </c>
      <c r="F3289" s="1" t="s">
        <v>3261</v>
      </c>
    </row>
    <row r="3290" spans="1:6" ht="30" customHeight="1" x14ac:dyDescent="0.25">
      <c r="A3290" s="1" t="s">
        <v>6654</v>
      </c>
      <c r="B3290" s="1" t="str">
        <f>"9789240683662"</f>
        <v>9789240683662</v>
      </c>
      <c r="C3290" s="1" t="s">
        <v>1981</v>
      </c>
      <c r="D3290" s="2">
        <v>39448</v>
      </c>
      <c r="E3290" s="1" t="s">
        <v>1981</v>
      </c>
      <c r="F3290" s="1" t="s">
        <v>6655</v>
      </c>
    </row>
    <row r="3291" spans="1:6" ht="30" customHeight="1" x14ac:dyDescent="0.25">
      <c r="A3291" s="1" t="s">
        <v>6656</v>
      </c>
      <c r="B3291" s="1" t="str">
        <f>"9789240683723"</f>
        <v>9789240683723</v>
      </c>
      <c r="C3291" s="1" t="s">
        <v>1981</v>
      </c>
      <c r="D3291" s="2">
        <v>39448</v>
      </c>
      <c r="E3291" s="1" t="s">
        <v>1981</v>
      </c>
      <c r="F3291" s="1" t="s">
        <v>95</v>
      </c>
    </row>
    <row r="3292" spans="1:6" ht="30" customHeight="1" x14ac:dyDescent="0.25">
      <c r="A3292" s="1" t="s">
        <v>6657</v>
      </c>
      <c r="B3292" s="1" t="str">
        <f>"9789240683709"</f>
        <v>9789240683709</v>
      </c>
      <c r="C3292" s="1" t="s">
        <v>1981</v>
      </c>
      <c r="D3292" s="2">
        <v>39448</v>
      </c>
      <c r="E3292" s="1" t="s">
        <v>1981</v>
      </c>
      <c r="F3292" s="1" t="s">
        <v>599</v>
      </c>
    </row>
    <row r="3293" spans="1:6" ht="30" customHeight="1" x14ac:dyDescent="0.25">
      <c r="A3293" s="1" t="s">
        <v>6658</v>
      </c>
      <c r="B3293" s="1" t="str">
        <f>"9789240683778"</f>
        <v>9789240683778</v>
      </c>
      <c r="C3293" s="1" t="s">
        <v>1981</v>
      </c>
      <c r="D3293" s="2">
        <v>39448</v>
      </c>
      <c r="E3293" s="1" t="s">
        <v>6659</v>
      </c>
      <c r="F3293" s="1" t="s">
        <v>6377</v>
      </c>
    </row>
    <row r="3294" spans="1:6" ht="30" customHeight="1" x14ac:dyDescent="0.25">
      <c r="A3294" s="1" t="s">
        <v>6660</v>
      </c>
      <c r="B3294" s="1" t="str">
        <f>"9789240683754"</f>
        <v>9789240683754</v>
      </c>
      <c r="C3294" s="1" t="s">
        <v>1981</v>
      </c>
      <c r="D3294" s="2">
        <v>39448</v>
      </c>
      <c r="E3294" s="1" t="s">
        <v>2149</v>
      </c>
      <c r="F3294" s="1" t="s">
        <v>137</v>
      </c>
    </row>
    <row r="3295" spans="1:6" ht="30" customHeight="1" x14ac:dyDescent="0.25">
      <c r="A3295" s="1" t="s">
        <v>6661</v>
      </c>
      <c r="B3295" s="1" t="str">
        <f>"9789240683761"</f>
        <v>9789240683761</v>
      </c>
      <c r="C3295" s="1" t="s">
        <v>1981</v>
      </c>
      <c r="D3295" s="2">
        <v>39448</v>
      </c>
      <c r="E3295" s="1" t="s">
        <v>2149</v>
      </c>
      <c r="F3295" s="1" t="s">
        <v>13</v>
      </c>
    </row>
    <row r="3296" spans="1:6" ht="30" customHeight="1" x14ac:dyDescent="0.25">
      <c r="A3296" s="1" t="s">
        <v>6662</v>
      </c>
      <c r="B3296" s="1" t="str">
        <f>"9789290614388"</f>
        <v>9789290614388</v>
      </c>
      <c r="C3296" s="1" t="s">
        <v>1981</v>
      </c>
      <c r="D3296" s="2">
        <v>39448</v>
      </c>
      <c r="E3296" s="1" t="s">
        <v>6663</v>
      </c>
      <c r="F3296" s="1" t="s">
        <v>214</v>
      </c>
    </row>
    <row r="3297" spans="1:6" ht="30" customHeight="1" x14ac:dyDescent="0.25">
      <c r="A3297" s="1" t="s">
        <v>6664</v>
      </c>
      <c r="B3297" s="1" t="str">
        <f>"9789290614395"</f>
        <v>9789290614395</v>
      </c>
      <c r="C3297" s="1" t="s">
        <v>1981</v>
      </c>
      <c r="D3297" s="2">
        <v>39448</v>
      </c>
      <c r="E3297" s="1" t="s">
        <v>6663</v>
      </c>
      <c r="F3297" s="1" t="s">
        <v>356</v>
      </c>
    </row>
    <row r="3298" spans="1:6" ht="30" customHeight="1" x14ac:dyDescent="0.25">
      <c r="A3298" s="1" t="s">
        <v>6665</v>
      </c>
      <c r="B3298" s="1" t="str">
        <f>"9781849206785"</f>
        <v>9781849206785</v>
      </c>
      <c r="C3298" s="1" t="s">
        <v>1228</v>
      </c>
      <c r="D3298" s="2">
        <v>36119</v>
      </c>
      <c r="E3298" s="1" t="s">
        <v>6666</v>
      </c>
      <c r="F3298" s="1" t="s">
        <v>291</v>
      </c>
    </row>
    <row r="3299" spans="1:6" ht="30" customHeight="1" x14ac:dyDescent="0.25">
      <c r="A3299" s="1" t="s">
        <v>6667</v>
      </c>
      <c r="B3299" s="1" t="str">
        <f>"9781849207102"</f>
        <v>9781849207102</v>
      </c>
      <c r="C3299" s="1" t="s">
        <v>1228</v>
      </c>
      <c r="D3299" s="2">
        <v>35613</v>
      </c>
      <c r="E3299" s="1" t="s">
        <v>6668</v>
      </c>
      <c r="F3299" s="1" t="s">
        <v>13</v>
      </c>
    </row>
    <row r="3300" spans="1:6" ht="30" customHeight="1" x14ac:dyDescent="0.25">
      <c r="A3300" s="1" t="s">
        <v>6669</v>
      </c>
      <c r="B3300" s="1" t="str">
        <f>"9781849206914"</f>
        <v>9781849206914</v>
      </c>
      <c r="C3300" s="1" t="s">
        <v>1228</v>
      </c>
      <c r="D3300" s="2">
        <v>35299</v>
      </c>
      <c r="E3300" s="1" t="s">
        <v>6670</v>
      </c>
      <c r="F3300" s="1" t="s">
        <v>13</v>
      </c>
    </row>
    <row r="3301" spans="1:6" ht="30" customHeight="1" x14ac:dyDescent="0.25">
      <c r="A3301" s="1" t="s">
        <v>6671</v>
      </c>
      <c r="B3301" s="1" t="str">
        <f>"9781849206945"</f>
        <v>9781849206945</v>
      </c>
      <c r="C3301" s="1" t="s">
        <v>1228</v>
      </c>
      <c r="D3301" s="2">
        <v>35129</v>
      </c>
      <c r="E3301" s="1" t="s">
        <v>6670</v>
      </c>
      <c r="F3301" s="1" t="s">
        <v>13</v>
      </c>
    </row>
    <row r="3302" spans="1:6" ht="30" customHeight="1" x14ac:dyDescent="0.25">
      <c r="A3302" s="1" t="s">
        <v>6672</v>
      </c>
      <c r="B3302" s="1" t="str">
        <f>"9781849206587"</f>
        <v>9781849206587</v>
      </c>
      <c r="C3302" s="1" t="s">
        <v>1228</v>
      </c>
      <c r="D3302" s="2">
        <v>40043</v>
      </c>
      <c r="E3302" s="1" t="s">
        <v>6673</v>
      </c>
      <c r="F3302" s="1" t="s">
        <v>13</v>
      </c>
    </row>
    <row r="3303" spans="1:6" ht="30" customHeight="1" x14ac:dyDescent="0.25">
      <c r="A3303" s="1" t="s">
        <v>6674</v>
      </c>
      <c r="B3303" s="1" t="str">
        <f>"9781849206624"</f>
        <v>9781849206624</v>
      </c>
      <c r="C3303" s="1" t="s">
        <v>1228</v>
      </c>
      <c r="D3303" s="2">
        <v>37286</v>
      </c>
      <c r="E3303" s="1" t="s">
        <v>6675</v>
      </c>
      <c r="F3303" s="1" t="s">
        <v>13</v>
      </c>
    </row>
    <row r="3304" spans="1:6" ht="30" customHeight="1" x14ac:dyDescent="0.25">
      <c r="A3304" s="1" t="s">
        <v>107</v>
      </c>
      <c r="B3304" s="1" t="str">
        <f>"9781849206822"</f>
        <v>9781849206822</v>
      </c>
      <c r="C3304" s="1" t="s">
        <v>1228</v>
      </c>
      <c r="D3304" s="2">
        <v>36455</v>
      </c>
      <c r="E3304" s="1" t="s">
        <v>6676</v>
      </c>
      <c r="F3304" s="1" t="s">
        <v>13</v>
      </c>
    </row>
    <row r="3305" spans="1:6" ht="30" customHeight="1" x14ac:dyDescent="0.25">
      <c r="A3305" s="1" t="s">
        <v>6677</v>
      </c>
      <c r="B3305" s="1" t="str">
        <f>"9781596931459"</f>
        <v>9781596931459</v>
      </c>
      <c r="C3305" s="1" t="s">
        <v>4200</v>
      </c>
      <c r="D3305" s="2">
        <v>39629</v>
      </c>
      <c r="E3305" s="1" t="s">
        <v>6678</v>
      </c>
      <c r="F3305" s="1" t="s">
        <v>13</v>
      </c>
    </row>
    <row r="3306" spans="1:6" ht="30" customHeight="1" x14ac:dyDescent="0.25">
      <c r="A3306" s="1" t="s">
        <v>6679</v>
      </c>
      <c r="B3306" s="1" t="str">
        <f>"9781596931497"</f>
        <v>9781596931497</v>
      </c>
      <c r="C3306" s="1" t="s">
        <v>4200</v>
      </c>
      <c r="D3306" s="2">
        <v>39506</v>
      </c>
      <c r="E3306" s="1" t="s">
        <v>6680</v>
      </c>
      <c r="F3306" s="1" t="s">
        <v>3911</v>
      </c>
    </row>
    <row r="3307" spans="1:6" ht="30" customHeight="1" x14ac:dyDescent="0.25">
      <c r="A3307" s="1" t="s">
        <v>6681</v>
      </c>
      <c r="B3307" s="1" t="str">
        <f>"9781596932098"</f>
        <v>9781596932098</v>
      </c>
      <c r="C3307" s="1" t="s">
        <v>4200</v>
      </c>
      <c r="D3307" s="2">
        <v>39568</v>
      </c>
      <c r="E3307" s="1" t="s">
        <v>6682</v>
      </c>
      <c r="F3307" s="1" t="s">
        <v>13</v>
      </c>
    </row>
    <row r="3308" spans="1:6" ht="30" customHeight="1" x14ac:dyDescent="0.25">
      <c r="A3308" s="1" t="s">
        <v>6683</v>
      </c>
      <c r="B3308" s="1" t="str">
        <f>"9781596932371"</f>
        <v>9781596932371</v>
      </c>
      <c r="C3308" s="1" t="s">
        <v>4200</v>
      </c>
      <c r="D3308" s="2">
        <v>39660</v>
      </c>
      <c r="E3308" s="1" t="s">
        <v>6684</v>
      </c>
      <c r="F3308" s="1" t="s">
        <v>63</v>
      </c>
    </row>
    <row r="3309" spans="1:6" ht="30" customHeight="1" x14ac:dyDescent="0.25">
      <c r="A3309" s="1" t="s">
        <v>6685</v>
      </c>
      <c r="B3309" s="1" t="str">
        <f>"9781596931657"</f>
        <v>9781596931657</v>
      </c>
      <c r="C3309" s="1" t="s">
        <v>4200</v>
      </c>
      <c r="D3309" s="2">
        <v>39721</v>
      </c>
      <c r="E3309" s="1" t="s">
        <v>6686</v>
      </c>
      <c r="F3309" s="1" t="s">
        <v>158</v>
      </c>
    </row>
    <row r="3310" spans="1:6" ht="30" customHeight="1" x14ac:dyDescent="0.25">
      <c r="A3310" s="1" t="s">
        <v>6687</v>
      </c>
      <c r="B3310" s="1" t="str">
        <f>"9781596931978"</f>
        <v>9781596931978</v>
      </c>
      <c r="C3310" s="1" t="s">
        <v>4200</v>
      </c>
      <c r="D3310" s="2">
        <v>39782</v>
      </c>
      <c r="E3310" s="1" t="s">
        <v>6688</v>
      </c>
      <c r="F3310" s="1" t="s">
        <v>3429</v>
      </c>
    </row>
    <row r="3311" spans="1:6" ht="30" customHeight="1" x14ac:dyDescent="0.25">
      <c r="A3311" s="1" t="s">
        <v>6689</v>
      </c>
      <c r="B3311" s="1" t="str">
        <f>"9781596933088"</f>
        <v>9781596933088</v>
      </c>
      <c r="C3311" s="1" t="s">
        <v>4200</v>
      </c>
      <c r="D3311" s="2">
        <v>39721</v>
      </c>
      <c r="E3311" s="1" t="s">
        <v>6690</v>
      </c>
      <c r="F3311" s="1" t="s">
        <v>13</v>
      </c>
    </row>
    <row r="3312" spans="1:6" ht="30" customHeight="1" x14ac:dyDescent="0.25">
      <c r="A3312" s="1" t="s">
        <v>6691</v>
      </c>
      <c r="B3312" s="1" t="str">
        <f>"9781596932784"</f>
        <v>9781596932784</v>
      </c>
      <c r="C3312" s="1" t="s">
        <v>4200</v>
      </c>
      <c r="D3312" s="2">
        <v>39599</v>
      </c>
      <c r="E3312" s="1" t="s">
        <v>6692</v>
      </c>
      <c r="F3312" s="1" t="s">
        <v>13</v>
      </c>
    </row>
    <row r="3313" spans="1:6" ht="30" customHeight="1" x14ac:dyDescent="0.25">
      <c r="A3313" s="1" t="s">
        <v>6693</v>
      </c>
      <c r="B3313" s="1" t="str">
        <f>"9781596932050"</f>
        <v>9781596932050</v>
      </c>
      <c r="C3313" s="1" t="s">
        <v>4200</v>
      </c>
      <c r="D3313" s="2">
        <v>39903</v>
      </c>
      <c r="E3313" s="1" t="s">
        <v>6694</v>
      </c>
      <c r="F3313" s="1" t="s">
        <v>13</v>
      </c>
    </row>
    <row r="3314" spans="1:6" ht="30" customHeight="1" x14ac:dyDescent="0.25">
      <c r="A3314" s="1" t="s">
        <v>6695</v>
      </c>
      <c r="B3314" s="1" t="str">
        <f>"9781596933804"</f>
        <v>9781596933804</v>
      </c>
      <c r="C3314" s="1" t="s">
        <v>4200</v>
      </c>
      <c r="D3314" s="2">
        <v>39782</v>
      </c>
      <c r="E3314" s="1" t="s">
        <v>6696</v>
      </c>
      <c r="F3314" s="1" t="s">
        <v>13</v>
      </c>
    </row>
    <row r="3315" spans="1:6" ht="30" customHeight="1" x14ac:dyDescent="0.25">
      <c r="A3315" s="1" t="s">
        <v>6697</v>
      </c>
      <c r="B3315" s="1" t="str">
        <f>"9781596931596"</f>
        <v>9781596931596</v>
      </c>
      <c r="C3315" s="1" t="s">
        <v>4200</v>
      </c>
      <c r="D3315" s="2">
        <v>39782</v>
      </c>
      <c r="E3315" s="1" t="s">
        <v>6698</v>
      </c>
      <c r="F3315" s="1" t="s">
        <v>13</v>
      </c>
    </row>
    <row r="3316" spans="1:6" ht="30" customHeight="1" x14ac:dyDescent="0.25">
      <c r="A3316" s="1" t="s">
        <v>6699</v>
      </c>
      <c r="B3316" s="1" t="str">
        <f>"9781400826773"</f>
        <v>9781400826773</v>
      </c>
      <c r="C3316" s="1" t="s">
        <v>6462</v>
      </c>
      <c r="D3316" s="2">
        <v>39823</v>
      </c>
      <c r="E3316" s="1" t="s">
        <v>6700</v>
      </c>
      <c r="F3316" s="1" t="s">
        <v>21</v>
      </c>
    </row>
    <row r="3317" spans="1:6" ht="30" customHeight="1" x14ac:dyDescent="0.25">
      <c r="A3317" s="1" t="s">
        <v>6701</v>
      </c>
      <c r="B3317" s="1" t="str">
        <f>"9780821370452"</f>
        <v>9780821370452</v>
      </c>
      <c r="C3317" s="1" t="s">
        <v>6702</v>
      </c>
      <c r="D3317" s="2">
        <v>39256</v>
      </c>
      <c r="E3317" s="1" t="s">
        <v>6704</v>
      </c>
      <c r="F3317" s="1" t="s">
        <v>95</v>
      </c>
    </row>
    <row r="3318" spans="1:6" ht="30" customHeight="1" x14ac:dyDescent="0.25">
      <c r="A3318" s="1" t="s">
        <v>6705</v>
      </c>
      <c r="B3318" s="1" t="str">
        <f>"9780821362655"</f>
        <v>9780821362655</v>
      </c>
      <c r="C3318" s="1" t="s">
        <v>6702</v>
      </c>
      <c r="D3318" s="2">
        <v>38580</v>
      </c>
      <c r="E3318" s="1" t="s">
        <v>6706</v>
      </c>
      <c r="F3318" s="1" t="s">
        <v>30</v>
      </c>
    </row>
    <row r="3319" spans="1:6" ht="30" customHeight="1" x14ac:dyDescent="0.25">
      <c r="A3319" s="1" t="s">
        <v>6707</v>
      </c>
      <c r="B3319" s="1" t="str">
        <f>"9780821371862"</f>
        <v>9780821371862</v>
      </c>
      <c r="C3319" s="1" t="s">
        <v>6702</v>
      </c>
      <c r="D3319" s="2">
        <v>39443</v>
      </c>
      <c r="E3319" s="1" t="s">
        <v>6708</v>
      </c>
      <c r="F3319" s="1" t="s">
        <v>95</v>
      </c>
    </row>
    <row r="3320" spans="1:6" ht="30" customHeight="1" x14ac:dyDescent="0.25">
      <c r="A3320" s="1" t="s">
        <v>6709</v>
      </c>
      <c r="B3320" s="1" t="str">
        <f>"9780821379363"</f>
        <v>9780821379363</v>
      </c>
      <c r="C3320" s="1" t="s">
        <v>6702</v>
      </c>
      <c r="D3320" s="2">
        <v>39898</v>
      </c>
      <c r="E3320" s="1" t="s">
        <v>6710</v>
      </c>
      <c r="F3320" s="1" t="s">
        <v>30</v>
      </c>
    </row>
    <row r="3321" spans="1:6" ht="30" customHeight="1" x14ac:dyDescent="0.25">
      <c r="A3321" s="1" t="s">
        <v>6711</v>
      </c>
      <c r="B3321" s="1" t="str">
        <f>"9780821365724"</f>
        <v>9780821365724</v>
      </c>
      <c r="C3321" s="1" t="s">
        <v>6702</v>
      </c>
      <c r="D3321" s="2">
        <v>38888</v>
      </c>
      <c r="E3321" s="1" t="s">
        <v>6712</v>
      </c>
      <c r="F3321" s="1" t="s">
        <v>30</v>
      </c>
    </row>
    <row r="3322" spans="1:6" ht="30" customHeight="1" x14ac:dyDescent="0.25">
      <c r="A3322" s="1" t="s">
        <v>6713</v>
      </c>
      <c r="B3322" s="1" t="str">
        <f>"9780821362129"</f>
        <v>9780821362129</v>
      </c>
      <c r="C3322" s="1" t="s">
        <v>6702</v>
      </c>
      <c r="D3322" s="2">
        <v>38671</v>
      </c>
      <c r="E3322" s="1" t="s">
        <v>6714</v>
      </c>
      <c r="F3322" s="1" t="s">
        <v>2383</v>
      </c>
    </row>
    <row r="3323" spans="1:6" ht="30" customHeight="1" x14ac:dyDescent="0.25">
      <c r="A3323" s="1" t="s">
        <v>6715</v>
      </c>
      <c r="B3323" s="1" t="str">
        <f>"9780821363980"</f>
        <v>9780821363980</v>
      </c>
      <c r="C3323" s="1" t="s">
        <v>6702</v>
      </c>
      <c r="D3323" s="2">
        <v>38859</v>
      </c>
      <c r="E3323" s="1" t="s">
        <v>6716</v>
      </c>
      <c r="F3323" s="1" t="s">
        <v>30</v>
      </c>
    </row>
    <row r="3324" spans="1:6" ht="30" customHeight="1" x14ac:dyDescent="0.25">
      <c r="A3324" s="1" t="s">
        <v>6717</v>
      </c>
      <c r="B3324" s="1" t="str">
        <f>"9780821379790"</f>
        <v>9780821379790</v>
      </c>
      <c r="C3324" s="1" t="s">
        <v>6702</v>
      </c>
      <c r="D3324" s="2">
        <v>40037</v>
      </c>
      <c r="E3324" s="1" t="s">
        <v>6718</v>
      </c>
      <c r="F3324" s="1" t="s">
        <v>30</v>
      </c>
    </row>
    <row r="3325" spans="1:6" ht="30" customHeight="1" x14ac:dyDescent="0.25">
      <c r="A3325" s="1" t="s">
        <v>6719</v>
      </c>
      <c r="B3325" s="1" t="str">
        <f>"9780821362693"</f>
        <v>9780821362693</v>
      </c>
      <c r="C3325" s="1" t="s">
        <v>6702</v>
      </c>
      <c r="D3325" s="2">
        <v>38527</v>
      </c>
      <c r="E3325" s="1" t="s">
        <v>6720</v>
      </c>
      <c r="F3325" s="1" t="s">
        <v>1985</v>
      </c>
    </row>
    <row r="3326" spans="1:6" ht="30" customHeight="1" x14ac:dyDescent="0.25">
      <c r="A3326" s="1" t="s">
        <v>6721</v>
      </c>
      <c r="B3326" s="1" t="str">
        <f>"9780821366141"</f>
        <v>9780821366141</v>
      </c>
      <c r="C3326" s="1" t="s">
        <v>6702</v>
      </c>
      <c r="D3326" s="2">
        <v>38891</v>
      </c>
      <c r="E3326" s="1" t="s">
        <v>6722</v>
      </c>
      <c r="F3326" s="1" t="s">
        <v>70</v>
      </c>
    </row>
    <row r="3327" spans="1:6" ht="30" customHeight="1" x14ac:dyDescent="0.25">
      <c r="A3327" s="1" t="s">
        <v>6723</v>
      </c>
      <c r="B3327" s="1" t="str">
        <f>"9780821371527"</f>
        <v>9780821371527</v>
      </c>
      <c r="C3327" s="1" t="s">
        <v>6702</v>
      </c>
      <c r="D3327" s="2">
        <v>39261</v>
      </c>
      <c r="E3327" s="1" t="s">
        <v>6724</v>
      </c>
      <c r="F3327" s="1" t="s">
        <v>6725</v>
      </c>
    </row>
    <row r="3328" spans="1:6" ht="30" customHeight="1" x14ac:dyDescent="0.25">
      <c r="A3328" s="1" t="s">
        <v>6726</v>
      </c>
      <c r="B3328" s="1" t="str">
        <f>"9780821378038"</f>
        <v>9780821378038</v>
      </c>
      <c r="C3328" s="1" t="s">
        <v>6702</v>
      </c>
      <c r="D3328" s="2">
        <v>39920</v>
      </c>
      <c r="E3328" s="1" t="s">
        <v>6727</v>
      </c>
      <c r="F3328" s="1" t="s">
        <v>30</v>
      </c>
    </row>
    <row r="3329" spans="1:6" ht="30" customHeight="1" x14ac:dyDescent="0.25">
      <c r="A3329" s="1" t="s">
        <v>6728</v>
      </c>
      <c r="B3329" s="1" t="str">
        <f>"9780821371381"</f>
        <v>9780821371381</v>
      </c>
      <c r="C3329" s="1" t="s">
        <v>6702</v>
      </c>
      <c r="D3329" s="2">
        <v>39326</v>
      </c>
      <c r="E3329" s="1" t="s">
        <v>6729</v>
      </c>
      <c r="F3329" s="1" t="s">
        <v>4854</v>
      </c>
    </row>
    <row r="3330" spans="1:6" ht="30" customHeight="1" x14ac:dyDescent="0.25">
      <c r="A3330" s="1" t="s">
        <v>6730</v>
      </c>
      <c r="B3330" s="1" t="str">
        <f>"9780821371060"</f>
        <v>9780821371060</v>
      </c>
      <c r="C3330" s="1" t="s">
        <v>6702</v>
      </c>
      <c r="D3330" s="2">
        <v>39316</v>
      </c>
      <c r="E3330" s="1" t="s">
        <v>6731</v>
      </c>
      <c r="F3330" s="1" t="s">
        <v>3261</v>
      </c>
    </row>
    <row r="3331" spans="1:6" ht="30" customHeight="1" x14ac:dyDescent="0.25">
      <c r="A3331" s="1" t="s">
        <v>6732</v>
      </c>
      <c r="B3331" s="1" t="str">
        <f>"9780821373835"</f>
        <v>9780821373835</v>
      </c>
      <c r="C3331" s="1" t="s">
        <v>6702</v>
      </c>
      <c r="D3331" s="2">
        <v>39485</v>
      </c>
      <c r="E3331" s="1" t="s">
        <v>6733</v>
      </c>
      <c r="F3331" s="1" t="s">
        <v>6734</v>
      </c>
    </row>
    <row r="3332" spans="1:6" ht="30" customHeight="1" x14ac:dyDescent="0.25">
      <c r="A3332" s="1" t="s">
        <v>6735</v>
      </c>
      <c r="B3332" s="1" t="str">
        <f>"9780821362778"</f>
        <v>9780821362778</v>
      </c>
      <c r="C3332" s="1" t="s">
        <v>6702</v>
      </c>
      <c r="D3332" s="2">
        <v>38518</v>
      </c>
      <c r="E3332" s="1" t="s">
        <v>6736</v>
      </c>
      <c r="F3332" s="1" t="s">
        <v>70</v>
      </c>
    </row>
    <row r="3333" spans="1:6" ht="30" customHeight="1" x14ac:dyDescent="0.25">
      <c r="A3333" s="1" t="s">
        <v>6737</v>
      </c>
      <c r="B3333" s="1" t="str">
        <f>"9780821363959"</f>
        <v>9780821363959</v>
      </c>
      <c r="C3333" s="1" t="s">
        <v>6702</v>
      </c>
      <c r="D3333" s="2">
        <v>38643</v>
      </c>
      <c r="E3333" s="1" t="s">
        <v>6738</v>
      </c>
      <c r="F3333" s="1" t="s">
        <v>95</v>
      </c>
    </row>
    <row r="3334" spans="1:6" ht="30" customHeight="1" x14ac:dyDescent="0.25">
      <c r="A3334" s="1" t="s">
        <v>6739</v>
      </c>
      <c r="B3334" s="1" t="str">
        <f>"9780821362310"</f>
        <v>9780821362310</v>
      </c>
      <c r="C3334" s="1" t="s">
        <v>6702</v>
      </c>
      <c r="D3334" s="2">
        <v>38504</v>
      </c>
      <c r="E3334" s="1" t="s">
        <v>6740</v>
      </c>
      <c r="F3334" s="1" t="s">
        <v>95</v>
      </c>
    </row>
    <row r="3335" spans="1:6" ht="30" customHeight="1" x14ac:dyDescent="0.25">
      <c r="A3335" s="1" t="s">
        <v>6741</v>
      </c>
      <c r="B3335" s="1" t="str">
        <f>"9780821365861"</f>
        <v>9780821365861</v>
      </c>
      <c r="C3335" s="1" t="s">
        <v>6702</v>
      </c>
      <c r="D3335" s="2">
        <v>38806</v>
      </c>
      <c r="E3335" s="1" t="s">
        <v>6742</v>
      </c>
      <c r="F3335" s="1" t="s">
        <v>30</v>
      </c>
    </row>
    <row r="3336" spans="1:6" ht="30" customHeight="1" x14ac:dyDescent="0.25">
      <c r="A3336" s="1" t="s">
        <v>6743</v>
      </c>
      <c r="B3336" s="1" t="str">
        <f>"9780821375129"</f>
        <v>9780821375129</v>
      </c>
      <c r="C3336" s="1" t="s">
        <v>6702</v>
      </c>
      <c r="D3336" s="2">
        <v>39629</v>
      </c>
      <c r="E3336" s="1" t="s">
        <v>6744</v>
      </c>
      <c r="F3336" s="1" t="s">
        <v>95</v>
      </c>
    </row>
    <row r="3337" spans="1:6" ht="30" customHeight="1" x14ac:dyDescent="0.25">
      <c r="A3337" s="1" t="s">
        <v>6745</v>
      </c>
      <c r="B3337" s="1" t="str">
        <f>"9780821371800"</f>
        <v>9780821371800</v>
      </c>
      <c r="C3337" s="1" t="s">
        <v>6702</v>
      </c>
      <c r="D3337" s="2">
        <v>39567</v>
      </c>
      <c r="E3337" s="1" t="s">
        <v>6746</v>
      </c>
      <c r="F3337" s="1" t="s">
        <v>3753</v>
      </c>
    </row>
    <row r="3338" spans="1:6" ht="30" customHeight="1" x14ac:dyDescent="0.25">
      <c r="A3338" s="1" t="s">
        <v>6747</v>
      </c>
      <c r="B3338" s="1" t="str">
        <f>"9780821359624"</f>
        <v>9780821359624</v>
      </c>
      <c r="C3338" s="1" t="s">
        <v>6702</v>
      </c>
      <c r="D3338" s="2">
        <v>38593</v>
      </c>
      <c r="E3338" s="1" t="s">
        <v>6748</v>
      </c>
      <c r="F3338" s="1" t="s">
        <v>95</v>
      </c>
    </row>
    <row r="3339" spans="1:6" ht="30" customHeight="1" x14ac:dyDescent="0.25">
      <c r="A3339" s="1" t="s">
        <v>6749</v>
      </c>
      <c r="B3339" s="1" t="str">
        <f>"9780821378267"</f>
        <v>9780821378267</v>
      </c>
      <c r="C3339" s="1" t="s">
        <v>6702</v>
      </c>
      <c r="D3339" s="2">
        <v>39863</v>
      </c>
      <c r="E3339" s="1" t="s">
        <v>6750</v>
      </c>
      <c r="F3339" s="1" t="s">
        <v>30</v>
      </c>
    </row>
    <row r="3340" spans="1:6" ht="30" customHeight="1" x14ac:dyDescent="0.25">
      <c r="A3340" s="1" t="s">
        <v>6751</v>
      </c>
      <c r="B3340" s="1" t="str">
        <f>"9780821362617"</f>
        <v>9780821362617</v>
      </c>
      <c r="C3340" s="1" t="s">
        <v>6702</v>
      </c>
      <c r="D3340" s="2">
        <v>38809</v>
      </c>
      <c r="E3340" s="1" t="s">
        <v>6752</v>
      </c>
      <c r="F3340" s="1" t="s">
        <v>95</v>
      </c>
    </row>
    <row r="3341" spans="1:6" ht="30" customHeight="1" x14ac:dyDescent="0.25">
      <c r="A3341" s="1" t="s">
        <v>6753</v>
      </c>
      <c r="B3341" s="1" t="str">
        <f>"9780821362792"</f>
        <v>9780821362792</v>
      </c>
      <c r="C3341" s="1" t="s">
        <v>6702</v>
      </c>
      <c r="D3341" s="2">
        <v>38534</v>
      </c>
      <c r="E3341" s="1" t="s">
        <v>6754</v>
      </c>
      <c r="F3341" s="1" t="s">
        <v>95</v>
      </c>
    </row>
    <row r="3342" spans="1:6" ht="30" customHeight="1" x14ac:dyDescent="0.25">
      <c r="A3342" s="1" t="s">
        <v>6755</v>
      </c>
      <c r="B3342" s="1" t="str">
        <f>"9780821373590"</f>
        <v>9780821373590</v>
      </c>
      <c r="C3342" s="1" t="s">
        <v>6702</v>
      </c>
      <c r="D3342" s="2">
        <v>39591</v>
      </c>
      <c r="E3342" s="1" t="s">
        <v>6756</v>
      </c>
      <c r="F3342" s="1" t="s">
        <v>95</v>
      </c>
    </row>
    <row r="3343" spans="1:6" ht="30" customHeight="1" x14ac:dyDescent="0.25">
      <c r="A3343" s="1" t="s">
        <v>6757</v>
      </c>
      <c r="B3343" s="1" t="str">
        <f>"9780821378243"</f>
        <v>9780821378243</v>
      </c>
      <c r="C3343" s="1" t="s">
        <v>6702</v>
      </c>
      <c r="D3343" s="2">
        <v>39947</v>
      </c>
      <c r="E3343" s="1" t="s">
        <v>6758</v>
      </c>
      <c r="F3343" s="1" t="s">
        <v>2256</v>
      </c>
    </row>
    <row r="3344" spans="1:6" ht="30" customHeight="1" x14ac:dyDescent="0.25">
      <c r="A3344" s="1" t="s">
        <v>6759</v>
      </c>
      <c r="B3344" s="1" t="str">
        <f>"9780821375372"</f>
        <v>9780821375372</v>
      </c>
      <c r="C3344" s="1" t="s">
        <v>6702</v>
      </c>
      <c r="D3344" s="2">
        <v>39611</v>
      </c>
      <c r="E3344" s="1" t="s">
        <v>6760</v>
      </c>
      <c r="F3344" s="1" t="s">
        <v>30</v>
      </c>
    </row>
    <row r="3345" spans="1:6" ht="30" customHeight="1" x14ac:dyDescent="0.25">
      <c r="A3345" s="1" t="s">
        <v>6761</v>
      </c>
      <c r="B3345" s="1" t="str">
        <f>"9780821362631"</f>
        <v>9780821362631</v>
      </c>
      <c r="C3345" s="1" t="s">
        <v>6702</v>
      </c>
      <c r="D3345" s="2">
        <v>38809</v>
      </c>
      <c r="E3345" s="1" t="s">
        <v>6762</v>
      </c>
      <c r="F3345" s="1" t="s">
        <v>95</v>
      </c>
    </row>
    <row r="3346" spans="1:6" ht="30" customHeight="1" x14ac:dyDescent="0.25">
      <c r="A3346" s="1" t="s">
        <v>6763</v>
      </c>
      <c r="B3346" s="1" t="str">
        <f>"9780821376539"</f>
        <v>9780821376539</v>
      </c>
      <c r="C3346" s="1" t="s">
        <v>6702</v>
      </c>
      <c r="D3346" s="2">
        <v>39976</v>
      </c>
      <c r="E3346" s="1" t="s">
        <v>6764</v>
      </c>
      <c r="F3346" s="1" t="s">
        <v>30</v>
      </c>
    </row>
    <row r="3347" spans="1:6" ht="30" customHeight="1" x14ac:dyDescent="0.25">
      <c r="A3347" s="1" t="s">
        <v>6765</v>
      </c>
      <c r="B3347" s="1" t="str">
        <f>"9780821373385"</f>
        <v>9780821373385</v>
      </c>
      <c r="C3347" s="1" t="s">
        <v>6702</v>
      </c>
      <c r="D3347" s="2">
        <v>39505</v>
      </c>
      <c r="E3347" s="1" t="s">
        <v>6766</v>
      </c>
      <c r="F3347" s="1" t="s">
        <v>2256</v>
      </c>
    </row>
    <row r="3348" spans="1:6" ht="30" customHeight="1" x14ac:dyDescent="0.25">
      <c r="A3348" s="1" t="s">
        <v>6767</v>
      </c>
      <c r="B3348" s="1" t="str">
        <f>"9780821375396"</f>
        <v>9780821375396</v>
      </c>
      <c r="C3348" s="1" t="s">
        <v>6702</v>
      </c>
      <c r="D3348" s="2">
        <v>39626</v>
      </c>
      <c r="E3348" s="1" t="s">
        <v>6768</v>
      </c>
      <c r="F3348" s="1" t="s">
        <v>6769</v>
      </c>
    </row>
    <row r="3349" spans="1:6" ht="30" customHeight="1" x14ac:dyDescent="0.25">
      <c r="A3349" s="1" t="s">
        <v>6770</v>
      </c>
      <c r="B3349" s="1" t="str">
        <f>"9780821367582"</f>
        <v>9780821367582</v>
      </c>
      <c r="C3349" s="1" t="s">
        <v>6702</v>
      </c>
      <c r="D3349" s="2">
        <v>38937</v>
      </c>
      <c r="E3349" s="1" t="s">
        <v>6771</v>
      </c>
      <c r="F3349" s="1" t="s">
        <v>30</v>
      </c>
    </row>
    <row r="3350" spans="1:6" ht="30" customHeight="1" x14ac:dyDescent="0.25">
      <c r="A3350" s="1" t="s">
        <v>6772</v>
      </c>
      <c r="B3350" s="1" t="str">
        <f>"9780821369487"</f>
        <v>9780821369487</v>
      </c>
      <c r="C3350" s="1" t="s">
        <v>6702</v>
      </c>
      <c r="D3350" s="2">
        <v>39263</v>
      </c>
      <c r="E3350" s="1" t="s">
        <v>6773</v>
      </c>
      <c r="F3350" s="1" t="s">
        <v>95</v>
      </c>
    </row>
    <row r="3351" spans="1:6" ht="30" customHeight="1" x14ac:dyDescent="0.25">
      <c r="A3351" s="1" t="s">
        <v>6774</v>
      </c>
      <c r="B3351" s="1" t="str">
        <f>"9780821370575"</f>
        <v>9780821370575</v>
      </c>
      <c r="C3351" s="1" t="s">
        <v>6702</v>
      </c>
      <c r="D3351" s="2">
        <v>39241</v>
      </c>
      <c r="E3351" s="1" t="s">
        <v>6775</v>
      </c>
      <c r="F3351" s="1" t="s">
        <v>395</v>
      </c>
    </row>
    <row r="3352" spans="1:6" ht="30" customHeight="1" x14ac:dyDescent="0.25">
      <c r="A3352" s="1" t="s">
        <v>6776</v>
      </c>
      <c r="B3352" s="1" t="str">
        <f>"9780821369340"</f>
        <v>9780821369340</v>
      </c>
      <c r="C3352" s="1" t="s">
        <v>6702</v>
      </c>
      <c r="D3352" s="2">
        <v>39382</v>
      </c>
      <c r="E3352" s="1" t="s">
        <v>6777</v>
      </c>
      <c r="F3352" s="1" t="s">
        <v>158</v>
      </c>
    </row>
    <row r="3353" spans="1:6" ht="30" customHeight="1" x14ac:dyDescent="0.25">
      <c r="A3353" s="1" t="s">
        <v>6778</v>
      </c>
      <c r="B3353" s="1" t="str">
        <f>"9780821375457"</f>
        <v>9780821375457</v>
      </c>
      <c r="C3353" s="1" t="s">
        <v>6702</v>
      </c>
      <c r="D3353" s="2">
        <v>39611</v>
      </c>
      <c r="E3353" s="1" t="s">
        <v>6779</v>
      </c>
      <c r="F3353" s="1" t="s">
        <v>158</v>
      </c>
    </row>
    <row r="3354" spans="1:6" ht="30" customHeight="1" x14ac:dyDescent="0.25">
      <c r="A3354" s="1" t="s">
        <v>6780</v>
      </c>
      <c r="B3354" s="1" t="str">
        <f>"9780821379431"</f>
        <v>9780821379431</v>
      </c>
      <c r="C3354" s="1" t="s">
        <v>6702</v>
      </c>
      <c r="D3354" s="2">
        <v>39952</v>
      </c>
      <c r="E3354" s="1" t="s">
        <v>6781</v>
      </c>
      <c r="F3354" s="1" t="s">
        <v>30</v>
      </c>
    </row>
    <row r="3355" spans="1:6" ht="30" customHeight="1" x14ac:dyDescent="0.25">
      <c r="A3355" s="1" t="s">
        <v>6782</v>
      </c>
      <c r="B3355" s="1" t="str">
        <f>"9780821378052"</f>
        <v>9780821378052</v>
      </c>
      <c r="C3355" s="1" t="s">
        <v>6702</v>
      </c>
      <c r="D3355" s="2">
        <v>39805</v>
      </c>
      <c r="E3355" s="1" t="s">
        <v>6783</v>
      </c>
      <c r="F3355" s="1" t="s">
        <v>4869</v>
      </c>
    </row>
    <row r="3356" spans="1:6" ht="30" customHeight="1" x14ac:dyDescent="0.25">
      <c r="A3356" s="1" t="s">
        <v>6784</v>
      </c>
      <c r="B3356" s="1" t="str">
        <f>"9780821365489"</f>
        <v>9780821365489</v>
      </c>
      <c r="C3356" s="1" t="s">
        <v>6702</v>
      </c>
      <c r="D3356" s="2">
        <v>39189</v>
      </c>
      <c r="E3356" s="1" t="s">
        <v>6785</v>
      </c>
      <c r="F3356" s="1" t="s">
        <v>6786</v>
      </c>
    </row>
    <row r="3357" spans="1:6" ht="30" customHeight="1" x14ac:dyDescent="0.25">
      <c r="A3357" s="1" t="s">
        <v>6787</v>
      </c>
      <c r="B3357" s="1" t="str">
        <f>"9780821367568"</f>
        <v>9780821367568</v>
      </c>
      <c r="C3357" s="1" t="s">
        <v>6702</v>
      </c>
      <c r="D3357" s="2">
        <v>38972</v>
      </c>
      <c r="E3357" s="1" t="s">
        <v>6788</v>
      </c>
      <c r="F3357" s="1" t="s">
        <v>33</v>
      </c>
    </row>
    <row r="3358" spans="1:6" ht="30" customHeight="1" x14ac:dyDescent="0.25">
      <c r="A3358" s="1" t="s">
        <v>6789</v>
      </c>
      <c r="B3358" s="1" t="str">
        <f>"9780821371848"</f>
        <v>9780821371848</v>
      </c>
      <c r="C3358" s="1" t="s">
        <v>6702</v>
      </c>
      <c r="D3358" s="2">
        <v>39300</v>
      </c>
      <c r="E3358" s="1" t="s">
        <v>6790</v>
      </c>
      <c r="F3358" s="1" t="s">
        <v>87</v>
      </c>
    </row>
    <row r="3359" spans="1:6" ht="30" customHeight="1" x14ac:dyDescent="0.25">
      <c r="A3359" s="1" t="s">
        <v>6791</v>
      </c>
      <c r="B3359" s="1" t="str">
        <f>"9780821375495"</f>
        <v>9780821375495</v>
      </c>
      <c r="C3359" s="1" t="s">
        <v>6702</v>
      </c>
      <c r="D3359" s="2">
        <v>39611</v>
      </c>
      <c r="E3359" s="1" t="s">
        <v>6792</v>
      </c>
      <c r="F3359" s="1" t="s">
        <v>95</v>
      </c>
    </row>
    <row r="3360" spans="1:6" ht="30" customHeight="1" x14ac:dyDescent="0.25">
      <c r="A3360" s="1" t="s">
        <v>6793</v>
      </c>
      <c r="B3360" s="1" t="str">
        <f>"9780821376607"</f>
        <v>9780821376607</v>
      </c>
      <c r="C3360" s="1" t="s">
        <v>6702</v>
      </c>
      <c r="D3360" s="2">
        <v>39962</v>
      </c>
      <c r="E3360" s="1" t="s">
        <v>6794</v>
      </c>
      <c r="F3360" s="1" t="s">
        <v>6795</v>
      </c>
    </row>
    <row r="3361" spans="1:6" ht="30" customHeight="1" x14ac:dyDescent="0.25">
      <c r="A3361" s="1" t="s">
        <v>6796</v>
      </c>
      <c r="B3361" s="1" t="str">
        <f>"9780821374412"</f>
        <v>9780821374412</v>
      </c>
      <c r="C3361" s="1" t="s">
        <v>6702</v>
      </c>
      <c r="D3361" s="2">
        <v>39730</v>
      </c>
      <c r="E3361" s="1" t="s">
        <v>6797</v>
      </c>
      <c r="F3361" s="1" t="s">
        <v>33</v>
      </c>
    </row>
    <row r="3362" spans="1:6" ht="30" customHeight="1" x14ac:dyDescent="0.25">
      <c r="A3362" s="1" t="s">
        <v>6798</v>
      </c>
      <c r="B3362" s="1" t="str">
        <f>"9780821379837"</f>
        <v>9780821379837</v>
      </c>
      <c r="C3362" s="1" t="s">
        <v>6702</v>
      </c>
      <c r="D3362" s="2">
        <v>39979</v>
      </c>
      <c r="E3362" s="1" t="s">
        <v>6799</v>
      </c>
      <c r="F3362" s="1" t="s">
        <v>30</v>
      </c>
    </row>
    <row r="3363" spans="1:6" ht="30" customHeight="1" x14ac:dyDescent="0.25">
      <c r="A3363" s="1" t="s">
        <v>6800</v>
      </c>
      <c r="B3363" s="1" t="str">
        <f>"9780821377833"</f>
        <v>9780821377833</v>
      </c>
      <c r="C3363" s="1" t="s">
        <v>6702</v>
      </c>
      <c r="D3363" s="2">
        <v>39836</v>
      </c>
      <c r="E3363" s="1" t="s">
        <v>6801</v>
      </c>
      <c r="F3363" s="1" t="s">
        <v>95</v>
      </c>
    </row>
    <row r="3364" spans="1:6" ht="30" customHeight="1" x14ac:dyDescent="0.25">
      <c r="A3364" s="1" t="s">
        <v>6802</v>
      </c>
      <c r="B3364" s="1" t="str">
        <f>"9780821363775"</f>
        <v>9780821363775</v>
      </c>
      <c r="C3364" s="1" t="s">
        <v>6702</v>
      </c>
      <c r="D3364" s="2">
        <v>38611</v>
      </c>
      <c r="E3364" s="1" t="s">
        <v>6803</v>
      </c>
      <c r="F3364" s="1" t="s">
        <v>158</v>
      </c>
    </row>
    <row r="3365" spans="1:6" ht="30" customHeight="1" x14ac:dyDescent="0.25">
      <c r="A3365" s="1" t="s">
        <v>6804</v>
      </c>
      <c r="B3365" s="1" t="str">
        <f>"9780821375181"</f>
        <v>9780821375181</v>
      </c>
      <c r="C3365" s="1" t="s">
        <v>6702</v>
      </c>
      <c r="D3365" s="2">
        <v>39576</v>
      </c>
      <c r="E3365" s="1" t="s">
        <v>6805</v>
      </c>
      <c r="F3365" s="1" t="s">
        <v>6806</v>
      </c>
    </row>
    <row r="3366" spans="1:6" ht="30" customHeight="1" x14ac:dyDescent="0.25">
      <c r="A3366" s="1" t="s">
        <v>6807</v>
      </c>
      <c r="B3366" s="1" t="str">
        <f>"9780821369883"</f>
        <v>9780821369883</v>
      </c>
      <c r="C3366" s="1" t="s">
        <v>6702</v>
      </c>
      <c r="D3366" s="2">
        <v>39314</v>
      </c>
      <c r="E3366" s="1" t="s">
        <v>6808</v>
      </c>
      <c r="F3366" s="1" t="s">
        <v>4854</v>
      </c>
    </row>
    <row r="3367" spans="1:6" ht="30" customHeight="1" x14ac:dyDescent="0.25">
      <c r="A3367" s="1" t="s">
        <v>6809</v>
      </c>
      <c r="B3367" s="1" t="str">
        <f>"9780821379516"</f>
        <v>9780821379516</v>
      </c>
      <c r="C3367" s="1" t="s">
        <v>6702</v>
      </c>
      <c r="D3367" s="2">
        <v>39979</v>
      </c>
      <c r="E3367" s="1" t="s">
        <v>6810</v>
      </c>
      <c r="F3367" s="1" t="s">
        <v>30</v>
      </c>
    </row>
    <row r="3368" spans="1:6" ht="30" customHeight="1" x14ac:dyDescent="0.25">
      <c r="A3368" s="1" t="s">
        <v>6811</v>
      </c>
      <c r="B3368" s="1" t="str">
        <f>"9780821372371"</f>
        <v>9780821372371</v>
      </c>
      <c r="C3368" s="1" t="s">
        <v>6702</v>
      </c>
      <c r="D3368" s="2">
        <v>39615</v>
      </c>
      <c r="E3368" s="1" t="s">
        <v>6812</v>
      </c>
      <c r="F3368" s="1" t="s">
        <v>13</v>
      </c>
    </row>
    <row r="3369" spans="1:6" ht="30" customHeight="1" x14ac:dyDescent="0.25">
      <c r="A3369" s="1" t="s">
        <v>6813</v>
      </c>
      <c r="B3369" s="1" t="str">
        <f>"9780821374498"</f>
        <v>9780821374498</v>
      </c>
      <c r="C3369" s="1" t="s">
        <v>6702</v>
      </c>
      <c r="D3369" s="2">
        <v>39518</v>
      </c>
      <c r="E3369" s="1" t="s">
        <v>6812</v>
      </c>
      <c r="F3369" s="1" t="s">
        <v>95</v>
      </c>
    </row>
    <row r="3370" spans="1:6" ht="30" customHeight="1" x14ac:dyDescent="0.25">
      <c r="A3370" s="1" t="s">
        <v>6814</v>
      </c>
      <c r="B3370" s="1" t="str">
        <f>"9780821376089"</f>
        <v>9780821376089</v>
      </c>
      <c r="C3370" s="1" t="s">
        <v>6702</v>
      </c>
      <c r="D3370" s="2">
        <v>39755</v>
      </c>
      <c r="E3370" s="1" t="s">
        <v>6815</v>
      </c>
      <c r="F3370" s="1" t="s">
        <v>95</v>
      </c>
    </row>
    <row r="3371" spans="1:6" ht="30" customHeight="1" x14ac:dyDescent="0.25">
      <c r="A3371" s="1" t="s">
        <v>6816</v>
      </c>
      <c r="B3371" s="1" t="str">
        <f>"9780821370537"</f>
        <v>9780821370537</v>
      </c>
      <c r="C3371" s="1" t="s">
        <v>6702</v>
      </c>
      <c r="D3371" s="2">
        <v>39229</v>
      </c>
      <c r="E3371" s="1" t="s">
        <v>6817</v>
      </c>
      <c r="F3371" s="1" t="s">
        <v>95</v>
      </c>
    </row>
    <row r="3372" spans="1:6" ht="30" customHeight="1" x14ac:dyDescent="0.25">
      <c r="A3372" s="1" t="s">
        <v>6818</v>
      </c>
      <c r="B3372" s="1" t="str">
        <f>"9780821362006"</f>
        <v>9780821362006</v>
      </c>
      <c r="C3372" s="1" t="s">
        <v>6702</v>
      </c>
      <c r="D3372" s="2">
        <v>38527</v>
      </c>
      <c r="E3372" s="1" t="s">
        <v>6812</v>
      </c>
      <c r="F3372" s="1" t="s">
        <v>95</v>
      </c>
    </row>
    <row r="3373" spans="1:6" ht="30" customHeight="1" x14ac:dyDescent="0.25">
      <c r="A3373" s="1" t="s">
        <v>6819</v>
      </c>
      <c r="B3373" s="1" t="str">
        <f>"9780821371947"</f>
        <v>9780821371947</v>
      </c>
      <c r="C3373" s="1" t="s">
        <v>6702</v>
      </c>
      <c r="D3373" s="2">
        <v>39323</v>
      </c>
      <c r="E3373" s="1" t="s">
        <v>6812</v>
      </c>
      <c r="F3373" s="1" t="s">
        <v>95</v>
      </c>
    </row>
    <row r="3374" spans="1:6" ht="30" customHeight="1" x14ac:dyDescent="0.25">
      <c r="A3374" s="1" t="s">
        <v>6820</v>
      </c>
      <c r="B3374" s="1" t="str">
        <f>"9780821377659"</f>
        <v>9780821377659</v>
      </c>
      <c r="C3374" s="1" t="s">
        <v>6702</v>
      </c>
      <c r="D3374" s="2">
        <v>39772</v>
      </c>
      <c r="E3374" s="1" t="s">
        <v>6815</v>
      </c>
      <c r="F3374" s="1" t="s">
        <v>95</v>
      </c>
    </row>
    <row r="3375" spans="1:6" ht="30" customHeight="1" x14ac:dyDescent="0.25">
      <c r="A3375" s="1" t="s">
        <v>6821</v>
      </c>
      <c r="B3375" s="1" t="str">
        <f>"9780821361801"</f>
        <v>9780821361801</v>
      </c>
      <c r="C3375" s="1" t="s">
        <v>6702</v>
      </c>
      <c r="D3375" s="2">
        <v>38809</v>
      </c>
      <c r="E3375" s="1" t="s">
        <v>6822</v>
      </c>
      <c r="F3375" s="1" t="s">
        <v>95</v>
      </c>
    </row>
    <row r="3376" spans="1:6" ht="30" customHeight="1" x14ac:dyDescent="0.25">
      <c r="A3376" s="1" t="s">
        <v>6823</v>
      </c>
      <c r="B3376" s="1" t="str">
        <f>"9780821370209"</f>
        <v>9780821370209</v>
      </c>
      <c r="C3376" s="1" t="s">
        <v>6702</v>
      </c>
      <c r="D3376" s="2">
        <v>39135</v>
      </c>
      <c r="E3376" s="1" t="s">
        <v>6812</v>
      </c>
      <c r="F3376" s="1" t="s">
        <v>95</v>
      </c>
    </row>
    <row r="3377" spans="1:6" ht="30" customHeight="1" x14ac:dyDescent="0.25">
      <c r="A3377" s="1" t="s">
        <v>6824</v>
      </c>
      <c r="B3377" s="1" t="str">
        <f>"9780821374771"</f>
        <v>9780821374771</v>
      </c>
      <c r="C3377" s="1" t="s">
        <v>6702</v>
      </c>
      <c r="D3377" s="2">
        <v>39476</v>
      </c>
      <c r="E3377" s="1" t="s">
        <v>6812</v>
      </c>
      <c r="F3377" s="1" t="s">
        <v>30</v>
      </c>
    </row>
    <row r="3378" spans="1:6" ht="30" customHeight="1" x14ac:dyDescent="0.25">
      <c r="A3378" s="1" t="s">
        <v>6825</v>
      </c>
      <c r="B3378" s="1" t="str">
        <f>"9780821369708"</f>
        <v>9780821369708</v>
      </c>
      <c r="C3378" s="1" t="s">
        <v>6702</v>
      </c>
      <c r="D3378" s="2">
        <v>39239</v>
      </c>
      <c r="E3378" s="1" t="s">
        <v>6812</v>
      </c>
      <c r="F3378" s="1" t="s">
        <v>4854</v>
      </c>
    </row>
    <row r="3379" spans="1:6" ht="30" customHeight="1" x14ac:dyDescent="0.25">
      <c r="A3379" s="1" t="s">
        <v>6826</v>
      </c>
      <c r="B3379" s="1" t="str">
        <f>"9780821377406"</f>
        <v>9780821377406</v>
      </c>
      <c r="C3379" s="1" t="s">
        <v>6702</v>
      </c>
      <c r="D3379" s="2">
        <v>39821</v>
      </c>
      <c r="E3379" s="1" t="s">
        <v>6827</v>
      </c>
      <c r="F3379" s="1" t="s">
        <v>30</v>
      </c>
    </row>
    <row r="3380" spans="1:6" ht="30" customHeight="1" x14ac:dyDescent="0.25">
      <c r="A3380" s="1" t="s">
        <v>6828</v>
      </c>
      <c r="B3380" s="1" t="str">
        <f>"9788122429237"</f>
        <v>9788122429237</v>
      </c>
      <c r="C3380" s="1" t="s">
        <v>4001</v>
      </c>
      <c r="D3380" s="2">
        <v>39904</v>
      </c>
      <c r="E3380" s="1" t="s">
        <v>6829</v>
      </c>
      <c r="F3380" s="1" t="s">
        <v>291</v>
      </c>
    </row>
    <row r="3381" spans="1:6" ht="30" customHeight="1" x14ac:dyDescent="0.25">
      <c r="A3381" s="1" t="s">
        <v>6830</v>
      </c>
      <c r="B3381" s="1" t="str">
        <f>"9780511633157"</f>
        <v>9780511633157</v>
      </c>
      <c r="C3381" s="1" t="s">
        <v>25</v>
      </c>
      <c r="D3381" s="2">
        <v>40080</v>
      </c>
      <c r="E3381" s="1" t="s">
        <v>6831</v>
      </c>
      <c r="F3381" s="1" t="s">
        <v>13</v>
      </c>
    </row>
    <row r="3382" spans="1:6" ht="30" customHeight="1" x14ac:dyDescent="0.25">
      <c r="A3382" s="1" t="s">
        <v>6832</v>
      </c>
      <c r="B3382" s="1" t="str">
        <f>"9780511632853"</f>
        <v>9780511632853</v>
      </c>
      <c r="C3382" s="1" t="s">
        <v>25</v>
      </c>
      <c r="D3382" s="2">
        <v>40073</v>
      </c>
      <c r="E3382" s="1" t="s">
        <v>6833</v>
      </c>
      <c r="F3382" s="1" t="s">
        <v>13</v>
      </c>
    </row>
    <row r="3383" spans="1:6" ht="30" customHeight="1" x14ac:dyDescent="0.25">
      <c r="A3383" s="1" t="s">
        <v>6834</v>
      </c>
      <c r="B3383" s="1" t="str">
        <f>"9780511603556"</f>
        <v>9780511603556</v>
      </c>
      <c r="C3383" s="1" t="s">
        <v>25</v>
      </c>
      <c r="D3383" s="2">
        <v>40026</v>
      </c>
      <c r="E3383" s="1" t="s">
        <v>6835</v>
      </c>
      <c r="F3383" s="1" t="s">
        <v>95</v>
      </c>
    </row>
    <row r="3384" spans="1:6" ht="30" customHeight="1" x14ac:dyDescent="0.25">
      <c r="A3384" s="1" t="s">
        <v>6836</v>
      </c>
      <c r="B3384" s="1" t="str">
        <f>"9780511632440"</f>
        <v>9780511632440</v>
      </c>
      <c r="C3384" s="1" t="s">
        <v>25</v>
      </c>
      <c r="D3384" s="2">
        <v>40057</v>
      </c>
      <c r="E3384" s="1" t="s">
        <v>6837</v>
      </c>
      <c r="F3384" s="1" t="s">
        <v>70</v>
      </c>
    </row>
    <row r="3385" spans="1:6" ht="30" customHeight="1" x14ac:dyDescent="0.25">
      <c r="A3385" s="1" t="s">
        <v>6838</v>
      </c>
      <c r="B3385" s="1" t="str">
        <f>"9780511633102"</f>
        <v>9780511633102</v>
      </c>
      <c r="C3385" s="1" t="s">
        <v>25</v>
      </c>
      <c r="D3385" s="2">
        <v>40147</v>
      </c>
      <c r="E3385" s="1" t="s">
        <v>6839</v>
      </c>
      <c r="F3385" s="1" t="s">
        <v>13</v>
      </c>
    </row>
    <row r="3386" spans="1:6" ht="30" customHeight="1" x14ac:dyDescent="0.25">
      <c r="A3386" s="1" t="s">
        <v>6840</v>
      </c>
      <c r="B3386" s="1" t="str">
        <f>"9780511603730"</f>
        <v>9780511603730</v>
      </c>
      <c r="C3386" s="1" t="s">
        <v>25</v>
      </c>
      <c r="D3386" s="2">
        <v>40052</v>
      </c>
      <c r="E3386" s="1" t="s">
        <v>6841</v>
      </c>
      <c r="F3386" s="1" t="s">
        <v>13</v>
      </c>
    </row>
    <row r="3387" spans="1:6" ht="30" customHeight="1" x14ac:dyDescent="0.25">
      <c r="A3387" s="1" t="s">
        <v>6842</v>
      </c>
      <c r="B3387" s="1" t="str">
        <f>"9780511632754"</f>
        <v>9780511632754</v>
      </c>
      <c r="C3387" s="1" t="s">
        <v>25</v>
      </c>
      <c r="D3387" s="2">
        <v>40070</v>
      </c>
      <c r="E3387" s="1" t="s">
        <v>6843</v>
      </c>
      <c r="F3387" s="1" t="s">
        <v>13</v>
      </c>
    </row>
    <row r="3388" spans="1:6" ht="30" customHeight="1" x14ac:dyDescent="0.25">
      <c r="A3388" s="1" t="s">
        <v>6844</v>
      </c>
      <c r="B3388" s="1" t="str">
        <f>"9780873352857"</f>
        <v>9780873352857</v>
      </c>
      <c r="C3388" s="1" t="s">
        <v>6845</v>
      </c>
      <c r="D3388" s="2">
        <v>37073</v>
      </c>
      <c r="E3388" s="1" t="s">
        <v>6846</v>
      </c>
      <c r="F3388" s="1" t="s">
        <v>13</v>
      </c>
    </row>
    <row r="3389" spans="1:6" ht="30" customHeight="1" x14ac:dyDescent="0.25">
      <c r="A3389" s="1" t="s">
        <v>6847</v>
      </c>
      <c r="B3389" s="1" t="str">
        <f>"9780511639081"</f>
        <v>9780511639081</v>
      </c>
      <c r="C3389" s="1" t="s">
        <v>25</v>
      </c>
      <c r="D3389" s="2">
        <v>40101</v>
      </c>
      <c r="E3389" s="1" t="s">
        <v>6848</v>
      </c>
      <c r="F3389" s="1" t="s">
        <v>13</v>
      </c>
    </row>
    <row r="3390" spans="1:6" ht="30" customHeight="1" x14ac:dyDescent="0.25">
      <c r="A3390" s="1" t="s">
        <v>6849</v>
      </c>
      <c r="B3390" s="1" t="str">
        <f>"9780511639180"</f>
        <v>9780511639180</v>
      </c>
      <c r="C3390" s="1" t="s">
        <v>25</v>
      </c>
      <c r="D3390" s="2">
        <v>40087</v>
      </c>
      <c r="E3390" s="1" t="s">
        <v>6850</v>
      </c>
      <c r="F3390" s="1" t="s">
        <v>13</v>
      </c>
    </row>
    <row r="3391" spans="1:6" ht="30" customHeight="1" x14ac:dyDescent="0.25">
      <c r="A3391" s="1" t="s">
        <v>6851</v>
      </c>
      <c r="B3391" s="1" t="str">
        <f>"9780511639401"</f>
        <v>9780511639401</v>
      </c>
      <c r="C3391" s="1" t="s">
        <v>25</v>
      </c>
      <c r="D3391" s="2">
        <v>40087</v>
      </c>
      <c r="E3391" s="1" t="s">
        <v>6852</v>
      </c>
      <c r="F3391" s="1" t="s">
        <v>13</v>
      </c>
    </row>
    <row r="3392" spans="1:6" ht="30" customHeight="1" x14ac:dyDescent="0.25">
      <c r="A3392" s="1" t="s">
        <v>6853</v>
      </c>
      <c r="B3392" s="1" t="str">
        <f>"9781849207195"</f>
        <v>9781849207195</v>
      </c>
      <c r="C3392" s="1" t="s">
        <v>1228</v>
      </c>
      <c r="D3392" s="2">
        <v>33855</v>
      </c>
      <c r="E3392" s="1" t="s">
        <v>6670</v>
      </c>
      <c r="F3392" s="1" t="s">
        <v>87</v>
      </c>
    </row>
    <row r="3393" spans="1:6" ht="30" customHeight="1" x14ac:dyDescent="0.25">
      <c r="A3393" s="1" t="s">
        <v>6854</v>
      </c>
      <c r="B3393" s="1" t="str">
        <f>"9789290614432"</f>
        <v>9789290614432</v>
      </c>
      <c r="C3393" s="1" t="s">
        <v>1981</v>
      </c>
      <c r="D3393" s="2">
        <v>39448</v>
      </c>
      <c r="E3393" s="1" t="s">
        <v>3256</v>
      </c>
      <c r="F3393" s="1" t="s">
        <v>1349</v>
      </c>
    </row>
    <row r="3394" spans="1:6" ht="30" customHeight="1" x14ac:dyDescent="0.25">
      <c r="A3394" s="1" t="s">
        <v>6855</v>
      </c>
      <c r="B3394" s="1" t="str">
        <f>"9789290223382"</f>
        <v>9789290223382</v>
      </c>
      <c r="C3394" s="1" t="s">
        <v>1981</v>
      </c>
      <c r="D3394" s="2">
        <v>39448</v>
      </c>
      <c r="E3394" s="1" t="s">
        <v>3256</v>
      </c>
      <c r="F3394" s="1" t="s">
        <v>356</v>
      </c>
    </row>
    <row r="3395" spans="1:6" ht="30" customHeight="1" x14ac:dyDescent="0.25">
      <c r="A3395" s="1" t="s">
        <v>6856</v>
      </c>
      <c r="B3395" s="1" t="str">
        <f>"9789240683877"</f>
        <v>9789240683877</v>
      </c>
      <c r="C3395" s="1" t="s">
        <v>1981</v>
      </c>
      <c r="D3395" s="2">
        <v>39448</v>
      </c>
      <c r="E3395" s="1" t="s">
        <v>3256</v>
      </c>
      <c r="F3395" s="1" t="s">
        <v>114</v>
      </c>
    </row>
    <row r="3396" spans="1:6" ht="30" customHeight="1" x14ac:dyDescent="0.25">
      <c r="A3396" s="1" t="s">
        <v>6857</v>
      </c>
      <c r="B3396" s="1" t="str">
        <f>"9789240683884"</f>
        <v>9789240683884</v>
      </c>
      <c r="C3396" s="1" t="s">
        <v>1981</v>
      </c>
      <c r="D3396" s="2">
        <v>39448</v>
      </c>
      <c r="E3396" s="1" t="s">
        <v>3256</v>
      </c>
      <c r="F3396" s="1" t="s">
        <v>30</v>
      </c>
    </row>
    <row r="3397" spans="1:6" ht="30" customHeight="1" x14ac:dyDescent="0.25">
      <c r="A3397" s="1" t="s">
        <v>6858</v>
      </c>
      <c r="B3397" s="1" t="str">
        <f>"9789290223528"</f>
        <v>9789290223528</v>
      </c>
      <c r="C3397" s="1" t="s">
        <v>1981</v>
      </c>
      <c r="D3397" s="2">
        <v>39448</v>
      </c>
      <c r="E3397" s="1" t="s">
        <v>3256</v>
      </c>
      <c r="F3397" s="1" t="s">
        <v>95</v>
      </c>
    </row>
    <row r="3398" spans="1:6" ht="30" customHeight="1" x14ac:dyDescent="0.25">
      <c r="A3398" s="1" t="s">
        <v>6859</v>
      </c>
      <c r="B3398" s="1" t="str">
        <f>"9789240683891"</f>
        <v>9789240683891</v>
      </c>
      <c r="C3398" s="1" t="s">
        <v>1981</v>
      </c>
      <c r="D3398" s="2">
        <v>39448</v>
      </c>
      <c r="E3398" s="1" t="s">
        <v>3256</v>
      </c>
      <c r="F3398" s="1" t="s">
        <v>30</v>
      </c>
    </row>
    <row r="3399" spans="1:6" ht="30" customHeight="1" x14ac:dyDescent="0.25">
      <c r="A3399" s="1" t="s">
        <v>6860</v>
      </c>
      <c r="B3399" s="1" t="str">
        <f>"9781606230992"</f>
        <v>9781606230992</v>
      </c>
      <c r="C3399" s="1" t="s">
        <v>3308</v>
      </c>
      <c r="D3399" s="2">
        <v>39822</v>
      </c>
      <c r="E3399" s="1" t="s">
        <v>6861</v>
      </c>
      <c r="F3399" s="1" t="s">
        <v>1719</v>
      </c>
    </row>
    <row r="3400" spans="1:6" ht="30" customHeight="1" x14ac:dyDescent="0.25">
      <c r="A3400" s="1" t="s">
        <v>6862</v>
      </c>
      <c r="B3400" s="1" t="str">
        <f>"9781934559611"</f>
        <v>9781934559611</v>
      </c>
      <c r="C3400" s="1" t="s">
        <v>2342</v>
      </c>
      <c r="D3400" s="2">
        <v>39059</v>
      </c>
      <c r="E3400" s="1" t="s">
        <v>6863</v>
      </c>
      <c r="F3400" s="1" t="s">
        <v>95</v>
      </c>
    </row>
    <row r="3401" spans="1:6" ht="30" customHeight="1" x14ac:dyDescent="0.25">
      <c r="A3401" s="1" t="s">
        <v>6864</v>
      </c>
      <c r="B3401" s="1" t="str">
        <f>"9781935281252"</f>
        <v>9781935281252</v>
      </c>
      <c r="C3401" s="1" t="s">
        <v>2342</v>
      </c>
      <c r="D3401" s="2">
        <v>39374</v>
      </c>
      <c r="E3401" s="1" t="s">
        <v>6865</v>
      </c>
      <c r="F3401" s="1" t="s">
        <v>13</v>
      </c>
    </row>
    <row r="3402" spans="1:6" ht="30" customHeight="1" x14ac:dyDescent="0.25">
      <c r="A3402" s="1" t="s">
        <v>6866</v>
      </c>
      <c r="B3402" s="1" t="str">
        <f>"9781934559949"</f>
        <v>9781934559949</v>
      </c>
      <c r="C3402" s="1" t="s">
        <v>2342</v>
      </c>
      <c r="D3402" s="2">
        <v>39449</v>
      </c>
      <c r="E3402" s="1" t="s">
        <v>6867</v>
      </c>
      <c r="F3402" s="1" t="s">
        <v>3261</v>
      </c>
    </row>
    <row r="3403" spans="1:6" ht="30" customHeight="1" x14ac:dyDescent="0.25">
      <c r="A3403" s="1" t="s">
        <v>6868</v>
      </c>
      <c r="B3403" s="1" t="str">
        <f>"9781934559666"</f>
        <v>9781934559666</v>
      </c>
      <c r="C3403" s="1" t="s">
        <v>2342</v>
      </c>
      <c r="D3403" s="2">
        <v>38626</v>
      </c>
      <c r="E3403" s="1" t="s">
        <v>6869</v>
      </c>
      <c r="F3403" s="1" t="s">
        <v>13</v>
      </c>
    </row>
    <row r="3404" spans="1:6" ht="30" customHeight="1" x14ac:dyDescent="0.25">
      <c r="A3404" s="1" t="s">
        <v>6870</v>
      </c>
      <c r="B3404" s="1" t="str">
        <f>"9780857001948"</f>
        <v>9780857001948</v>
      </c>
      <c r="C3404" s="1" t="s">
        <v>2387</v>
      </c>
      <c r="D3404" s="2">
        <v>40071</v>
      </c>
      <c r="E3404" s="1" t="s">
        <v>6871</v>
      </c>
      <c r="F3404" s="1" t="s">
        <v>395</v>
      </c>
    </row>
    <row r="3405" spans="1:6" ht="30" customHeight="1" x14ac:dyDescent="0.25">
      <c r="A3405" s="1" t="s">
        <v>6872</v>
      </c>
      <c r="B3405" s="1" t="str">
        <f>"9781846429408"</f>
        <v>9781846429408</v>
      </c>
      <c r="C3405" s="1" t="s">
        <v>2387</v>
      </c>
      <c r="D3405" s="2">
        <v>39918</v>
      </c>
      <c r="E3405" s="1" t="s">
        <v>6873</v>
      </c>
      <c r="F3405" s="1" t="s">
        <v>13</v>
      </c>
    </row>
    <row r="3406" spans="1:6" ht="30" customHeight="1" x14ac:dyDescent="0.25">
      <c r="A3406" s="1" t="s">
        <v>6874</v>
      </c>
      <c r="B3406" s="1" t="str">
        <f>"9781846429620"</f>
        <v>9781846429620</v>
      </c>
      <c r="C3406" s="1" t="s">
        <v>2387</v>
      </c>
      <c r="D3406" s="2">
        <v>40009</v>
      </c>
      <c r="E3406" s="1" t="s">
        <v>6875</v>
      </c>
      <c r="F3406" s="1" t="s">
        <v>395</v>
      </c>
    </row>
    <row r="3407" spans="1:6" ht="30" customHeight="1" x14ac:dyDescent="0.25">
      <c r="A3407" s="1" t="s">
        <v>6876</v>
      </c>
      <c r="B3407" s="1" t="str">
        <f>"9781846429538"</f>
        <v>9781846429538</v>
      </c>
      <c r="C3407" s="1" t="s">
        <v>2387</v>
      </c>
      <c r="D3407" s="2">
        <v>39979</v>
      </c>
      <c r="E3407" s="1" t="s">
        <v>6877</v>
      </c>
      <c r="F3407" s="1" t="s">
        <v>304</v>
      </c>
    </row>
    <row r="3408" spans="1:6" ht="30" customHeight="1" x14ac:dyDescent="0.25">
      <c r="A3408" s="1" t="s">
        <v>6878</v>
      </c>
      <c r="B3408" s="1" t="str">
        <f>"9780857001894"</f>
        <v>9780857001894</v>
      </c>
      <c r="C3408" s="1" t="s">
        <v>2387</v>
      </c>
      <c r="D3408" s="2">
        <v>40040</v>
      </c>
      <c r="E3408" s="1" t="s">
        <v>6879</v>
      </c>
      <c r="F3408" s="1" t="s">
        <v>13</v>
      </c>
    </row>
    <row r="3409" spans="1:6" ht="30" customHeight="1" x14ac:dyDescent="0.25">
      <c r="A3409" s="1" t="s">
        <v>6880</v>
      </c>
      <c r="B3409" s="1" t="str">
        <f>"9781846429507"</f>
        <v>9781846429507</v>
      </c>
      <c r="C3409" s="1" t="s">
        <v>2387</v>
      </c>
      <c r="D3409" s="2">
        <v>39948</v>
      </c>
      <c r="E3409" s="1" t="s">
        <v>6881</v>
      </c>
      <c r="F3409" s="1" t="s">
        <v>13</v>
      </c>
    </row>
    <row r="3410" spans="1:6" ht="30" customHeight="1" x14ac:dyDescent="0.25">
      <c r="A3410" s="1" t="s">
        <v>6882</v>
      </c>
      <c r="B3410" s="1" t="str">
        <f>"9781846429323"</f>
        <v>9781846429323</v>
      </c>
      <c r="C3410" s="1" t="s">
        <v>2387</v>
      </c>
      <c r="D3410" s="2">
        <v>39887</v>
      </c>
      <c r="E3410" s="1" t="s">
        <v>6883</v>
      </c>
      <c r="F3410" s="1" t="s">
        <v>87</v>
      </c>
    </row>
    <row r="3411" spans="1:6" ht="30" customHeight="1" x14ac:dyDescent="0.25">
      <c r="A3411" s="1" t="s">
        <v>6884</v>
      </c>
      <c r="B3411" s="1" t="str">
        <f>"9781846429552"</f>
        <v>9781846429552</v>
      </c>
      <c r="C3411" s="1" t="s">
        <v>2387</v>
      </c>
      <c r="D3411" s="2">
        <v>39979</v>
      </c>
      <c r="E3411" s="1" t="s">
        <v>6883</v>
      </c>
      <c r="F3411" s="1" t="s">
        <v>87</v>
      </c>
    </row>
    <row r="3412" spans="1:6" ht="30" customHeight="1" x14ac:dyDescent="0.25">
      <c r="A3412" s="1" t="s">
        <v>6885</v>
      </c>
      <c r="B3412" s="1" t="str">
        <f>"9780857001917"</f>
        <v>9780857001917</v>
      </c>
      <c r="C3412" s="1" t="s">
        <v>2387</v>
      </c>
      <c r="D3412" s="2">
        <v>40040</v>
      </c>
      <c r="E3412" s="1" t="s">
        <v>6886</v>
      </c>
      <c r="F3412" s="1" t="s">
        <v>13</v>
      </c>
    </row>
    <row r="3413" spans="1:6" ht="30" customHeight="1" x14ac:dyDescent="0.25">
      <c r="A3413" s="1" t="s">
        <v>6887</v>
      </c>
      <c r="B3413" s="1" t="str">
        <f>"9780857000873"</f>
        <v>9780857000873</v>
      </c>
      <c r="C3413" s="1" t="s">
        <v>2387</v>
      </c>
      <c r="D3413" s="2">
        <v>40071</v>
      </c>
      <c r="E3413" s="1" t="s">
        <v>6888</v>
      </c>
      <c r="F3413" s="1" t="s">
        <v>87</v>
      </c>
    </row>
    <row r="3414" spans="1:6" ht="30" customHeight="1" x14ac:dyDescent="0.25">
      <c r="A3414" s="1" t="s">
        <v>6889</v>
      </c>
      <c r="B3414" s="1" t="str">
        <f>"9781846429637"</f>
        <v>9781846429637</v>
      </c>
      <c r="C3414" s="1" t="s">
        <v>2387</v>
      </c>
      <c r="D3414" s="2">
        <v>40009</v>
      </c>
      <c r="E3414" s="1" t="s">
        <v>6890</v>
      </c>
      <c r="F3414" s="1" t="s">
        <v>13</v>
      </c>
    </row>
    <row r="3415" spans="1:6" ht="30" customHeight="1" x14ac:dyDescent="0.25">
      <c r="A3415" s="1" t="s">
        <v>6891</v>
      </c>
      <c r="B3415" s="1" t="str">
        <f>"9781846429651"</f>
        <v>9781846429651</v>
      </c>
      <c r="C3415" s="1" t="s">
        <v>2387</v>
      </c>
      <c r="D3415" s="2">
        <v>40009</v>
      </c>
      <c r="E3415" s="1" t="s">
        <v>6892</v>
      </c>
      <c r="F3415" s="1" t="s">
        <v>13</v>
      </c>
    </row>
    <row r="3416" spans="1:6" ht="30" customHeight="1" x14ac:dyDescent="0.25">
      <c r="A3416" s="1" t="s">
        <v>6893</v>
      </c>
      <c r="B3416" s="1" t="str">
        <f>"9780857001849"</f>
        <v>9780857001849</v>
      </c>
      <c r="C3416" s="1" t="s">
        <v>2387</v>
      </c>
      <c r="D3416" s="2">
        <v>40071</v>
      </c>
      <c r="E3416" s="1" t="s">
        <v>6894</v>
      </c>
      <c r="F3416" s="1" t="s">
        <v>13</v>
      </c>
    </row>
    <row r="3417" spans="1:6" ht="30" customHeight="1" x14ac:dyDescent="0.25">
      <c r="A3417" s="1" t="s">
        <v>6895</v>
      </c>
      <c r="B3417" s="1" t="str">
        <f>"9781846429194"</f>
        <v>9781846429194</v>
      </c>
      <c r="C3417" s="1" t="s">
        <v>2387</v>
      </c>
      <c r="D3417" s="2">
        <v>39859</v>
      </c>
      <c r="E3417" s="1" t="s">
        <v>6896</v>
      </c>
      <c r="F3417" s="1" t="s">
        <v>13</v>
      </c>
    </row>
    <row r="3418" spans="1:6" ht="30" customHeight="1" x14ac:dyDescent="0.25">
      <c r="A3418" s="1" t="s">
        <v>6897</v>
      </c>
      <c r="B3418" s="1" t="str">
        <f>"9781846429491"</f>
        <v>9781846429491</v>
      </c>
      <c r="C3418" s="1" t="s">
        <v>2387</v>
      </c>
      <c r="D3418" s="2">
        <v>39948</v>
      </c>
      <c r="E3418" s="1" t="s">
        <v>6898</v>
      </c>
      <c r="F3418" s="1" t="s">
        <v>13</v>
      </c>
    </row>
    <row r="3419" spans="1:6" ht="30" customHeight="1" x14ac:dyDescent="0.25">
      <c r="A3419" s="1" t="s">
        <v>6899</v>
      </c>
      <c r="B3419" s="1" t="str">
        <f>"9781846429361"</f>
        <v>9781846429361</v>
      </c>
      <c r="C3419" s="1" t="s">
        <v>2387</v>
      </c>
      <c r="D3419" s="2">
        <v>39918</v>
      </c>
      <c r="E3419" s="1" t="s">
        <v>764</v>
      </c>
      <c r="F3419" s="1" t="s">
        <v>13</v>
      </c>
    </row>
    <row r="3420" spans="1:6" ht="30" customHeight="1" x14ac:dyDescent="0.25">
      <c r="A3420" s="1" t="s">
        <v>6900</v>
      </c>
      <c r="B3420" s="1" t="str">
        <f>"9780857000170"</f>
        <v>9780857000170</v>
      </c>
      <c r="C3420" s="1" t="s">
        <v>2387</v>
      </c>
      <c r="D3420" s="2">
        <v>40071</v>
      </c>
      <c r="E3420" s="1" t="s">
        <v>6901</v>
      </c>
      <c r="F3420" s="1" t="s">
        <v>13</v>
      </c>
    </row>
    <row r="3421" spans="1:6" ht="30" customHeight="1" x14ac:dyDescent="0.25">
      <c r="A3421" s="1" t="s">
        <v>6902</v>
      </c>
      <c r="B3421" s="1" t="str">
        <f>"9780765706355"</f>
        <v>9780765706355</v>
      </c>
      <c r="C3421" s="1" t="s">
        <v>6903</v>
      </c>
      <c r="D3421" s="2">
        <v>40514</v>
      </c>
      <c r="E3421" s="1" t="s">
        <v>6904</v>
      </c>
      <c r="F3421" s="1" t="s">
        <v>13</v>
      </c>
    </row>
    <row r="3422" spans="1:6" ht="30" customHeight="1" x14ac:dyDescent="0.25">
      <c r="A3422" s="1" t="s">
        <v>6905</v>
      </c>
      <c r="B3422" s="1" t="str">
        <f>"9789047404187"</f>
        <v>9789047404187</v>
      </c>
      <c r="C3422" s="1" t="s">
        <v>906</v>
      </c>
      <c r="D3422" s="2">
        <v>38718</v>
      </c>
      <c r="E3422" s="1" t="s">
        <v>6906</v>
      </c>
      <c r="F3422" s="1" t="s">
        <v>13</v>
      </c>
    </row>
    <row r="3423" spans="1:6" ht="30" customHeight="1" x14ac:dyDescent="0.25">
      <c r="A3423" s="1" t="s">
        <v>6907</v>
      </c>
      <c r="B3423" s="1" t="str">
        <f>"9789047429784"</f>
        <v>9789047429784</v>
      </c>
      <c r="C3423" s="1" t="s">
        <v>906</v>
      </c>
      <c r="D3423" s="2">
        <v>39965</v>
      </c>
      <c r="E3423" s="1" t="s">
        <v>6908</v>
      </c>
      <c r="F3423" s="1" t="s">
        <v>114</v>
      </c>
    </row>
    <row r="3424" spans="1:6" ht="30" customHeight="1" x14ac:dyDescent="0.25">
      <c r="A3424" s="1" t="s">
        <v>6909</v>
      </c>
      <c r="B3424" s="1" t="str">
        <f>"9789047420422"</f>
        <v>9789047420422</v>
      </c>
      <c r="C3424" s="1" t="s">
        <v>906</v>
      </c>
      <c r="D3424" s="2">
        <v>41773</v>
      </c>
      <c r="E3424" s="1" t="s">
        <v>6910</v>
      </c>
      <c r="F3424" s="1" t="s">
        <v>6911</v>
      </c>
    </row>
    <row r="3425" spans="1:6" ht="30" customHeight="1" x14ac:dyDescent="0.25">
      <c r="A3425" s="1" t="s">
        <v>6912</v>
      </c>
      <c r="B3425" s="1" t="str">
        <f>"9789047429074"</f>
        <v>9789047429074</v>
      </c>
      <c r="C3425" s="1" t="s">
        <v>906</v>
      </c>
      <c r="D3425" s="2">
        <v>39918</v>
      </c>
      <c r="E3425" s="1" t="s">
        <v>6913</v>
      </c>
      <c r="F3425" s="1" t="s">
        <v>13</v>
      </c>
    </row>
    <row r="3426" spans="1:6" ht="30" customHeight="1" x14ac:dyDescent="0.25">
      <c r="A3426" s="1" t="s">
        <v>6914</v>
      </c>
      <c r="B3426" s="1" t="str">
        <f>"9789047425977"</f>
        <v>9789047425977</v>
      </c>
      <c r="C3426" s="1" t="s">
        <v>906</v>
      </c>
      <c r="D3426" s="2">
        <v>39814</v>
      </c>
      <c r="E3426" s="1" t="s">
        <v>6915</v>
      </c>
      <c r="F3426" s="1" t="s">
        <v>70</v>
      </c>
    </row>
    <row r="3427" spans="1:6" ht="30" customHeight="1" x14ac:dyDescent="0.25">
      <c r="A3427" s="1" t="s">
        <v>6916</v>
      </c>
      <c r="B3427" s="1" t="str">
        <f>"9789047419044"</f>
        <v>9789047419044</v>
      </c>
      <c r="C3427" s="1" t="s">
        <v>906</v>
      </c>
      <c r="D3427" s="2">
        <v>41773</v>
      </c>
      <c r="E3427" s="1" t="s">
        <v>6917</v>
      </c>
      <c r="F3427" s="1" t="s">
        <v>268</v>
      </c>
    </row>
    <row r="3428" spans="1:6" ht="30" customHeight="1" x14ac:dyDescent="0.25">
      <c r="A3428" s="1" t="s">
        <v>6918</v>
      </c>
      <c r="B3428" s="1" t="str">
        <f>"9789047424550"</f>
        <v>9789047424550</v>
      </c>
      <c r="C3428" s="1" t="s">
        <v>906</v>
      </c>
      <c r="D3428" s="2">
        <v>39753</v>
      </c>
      <c r="E3428" s="1" t="s">
        <v>6919</v>
      </c>
      <c r="F3428" s="1" t="s">
        <v>268</v>
      </c>
    </row>
    <row r="3429" spans="1:6" ht="30" customHeight="1" x14ac:dyDescent="0.25">
      <c r="A3429" s="1" t="s">
        <v>6920</v>
      </c>
      <c r="B3429" s="1" t="str">
        <f>"9789047409311"</f>
        <v>9789047409311</v>
      </c>
      <c r="C3429" s="1" t="s">
        <v>906</v>
      </c>
      <c r="D3429" s="2">
        <v>38718</v>
      </c>
      <c r="E3429" s="1" t="s">
        <v>6921</v>
      </c>
      <c r="F3429" s="1" t="s">
        <v>30</v>
      </c>
    </row>
    <row r="3430" spans="1:6" ht="30" customHeight="1" x14ac:dyDescent="0.25">
      <c r="A3430" s="1" t="s">
        <v>6922</v>
      </c>
      <c r="B3430" s="1" t="str">
        <f>"9789047411710"</f>
        <v>9789047411710</v>
      </c>
      <c r="C3430" s="1" t="s">
        <v>906</v>
      </c>
      <c r="D3430" s="2">
        <v>41773</v>
      </c>
      <c r="E3430" s="1" t="s">
        <v>6923</v>
      </c>
      <c r="F3430" s="1" t="s">
        <v>3261</v>
      </c>
    </row>
    <row r="3431" spans="1:6" ht="30" customHeight="1" x14ac:dyDescent="0.25">
      <c r="A3431" s="1" t="s">
        <v>6924</v>
      </c>
      <c r="B3431" s="1" t="str">
        <f>"9789047431329"</f>
        <v>9789047431329</v>
      </c>
      <c r="C3431" s="1" t="s">
        <v>906</v>
      </c>
      <c r="D3431" s="2">
        <v>39264</v>
      </c>
      <c r="E3431" s="1" t="s">
        <v>6925</v>
      </c>
      <c r="F3431" s="1" t="s">
        <v>3261</v>
      </c>
    </row>
    <row r="3432" spans="1:6" ht="30" customHeight="1" x14ac:dyDescent="0.25">
      <c r="A3432" s="1" t="s">
        <v>6926</v>
      </c>
      <c r="B3432" s="1" t="str">
        <f>"9789047423058"</f>
        <v>9789047423058</v>
      </c>
      <c r="C3432" s="1" t="s">
        <v>906</v>
      </c>
      <c r="D3432" s="2">
        <v>41773</v>
      </c>
      <c r="E3432" s="1" t="s">
        <v>6927</v>
      </c>
      <c r="F3432" s="1" t="s">
        <v>541</v>
      </c>
    </row>
    <row r="3433" spans="1:6" ht="30" customHeight="1" x14ac:dyDescent="0.25">
      <c r="A3433" s="1" t="s">
        <v>6928</v>
      </c>
      <c r="B3433" s="1" t="str">
        <f>"9789047421245"</f>
        <v>9789047421245</v>
      </c>
      <c r="C3433" s="1" t="s">
        <v>906</v>
      </c>
      <c r="D3433" s="2">
        <v>41773</v>
      </c>
      <c r="E3433" s="1" t="s">
        <v>6929</v>
      </c>
      <c r="F3433" s="1" t="s">
        <v>214</v>
      </c>
    </row>
    <row r="3434" spans="1:6" ht="30" customHeight="1" x14ac:dyDescent="0.25">
      <c r="A3434" s="1" t="s">
        <v>6930</v>
      </c>
      <c r="B3434" s="1" t="str">
        <f>"9789047420460"</f>
        <v>9789047420460</v>
      </c>
      <c r="C3434" s="1" t="s">
        <v>906</v>
      </c>
      <c r="D3434" s="2">
        <v>39083</v>
      </c>
      <c r="E3434" s="1" t="s">
        <v>6931</v>
      </c>
      <c r="F3434" s="1" t="s">
        <v>1879</v>
      </c>
    </row>
    <row r="3435" spans="1:6" ht="30" customHeight="1" x14ac:dyDescent="0.25">
      <c r="A3435" s="1" t="s">
        <v>6932</v>
      </c>
      <c r="B3435" s="1" t="str">
        <f>"9789047422105"</f>
        <v>9789047422105</v>
      </c>
      <c r="C3435" s="1" t="s">
        <v>906</v>
      </c>
      <c r="D3435" s="2">
        <v>39370</v>
      </c>
      <c r="E3435" s="1" t="s">
        <v>6933</v>
      </c>
      <c r="F3435" s="1" t="s">
        <v>13</v>
      </c>
    </row>
    <row r="3436" spans="1:6" ht="30" customHeight="1" x14ac:dyDescent="0.25">
      <c r="A3436" s="1" t="s">
        <v>6934</v>
      </c>
      <c r="B3436" s="1" t="str">
        <f>"9789047424864"</f>
        <v>9789047424864</v>
      </c>
      <c r="C3436" s="1" t="s">
        <v>906</v>
      </c>
      <c r="D3436" s="2">
        <v>39753</v>
      </c>
      <c r="E3436" s="1" t="s">
        <v>6935</v>
      </c>
      <c r="F3436" s="1" t="s">
        <v>137</v>
      </c>
    </row>
    <row r="3437" spans="1:6" ht="30" customHeight="1" x14ac:dyDescent="0.25">
      <c r="A3437" s="1" t="s">
        <v>6936</v>
      </c>
      <c r="B3437" s="1" t="str">
        <f>"9780470484814"</f>
        <v>9780470484814</v>
      </c>
      <c r="C3437" s="1" t="s">
        <v>65</v>
      </c>
      <c r="D3437" s="2">
        <v>40094</v>
      </c>
      <c r="E3437" s="1" t="s">
        <v>6937</v>
      </c>
      <c r="F3437" s="1" t="s">
        <v>13</v>
      </c>
    </row>
    <row r="3438" spans="1:6" ht="30" customHeight="1" x14ac:dyDescent="0.25">
      <c r="A3438" s="1" t="s">
        <v>6938</v>
      </c>
      <c r="B3438" s="1" t="str">
        <f>"9780470276310"</f>
        <v>9780470276310</v>
      </c>
      <c r="C3438" s="1" t="s">
        <v>65</v>
      </c>
      <c r="D3438" s="2">
        <v>36202</v>
      </c>
      <c r="E3438" s="1" t="s">
        <v>6939</v>
      </c>
      <c r="F3438" s="1" t="s">
        <v>681</v>
      </c>
    </row>
    <row r="3439" spans="1:6" ht="30" customHeight="1" x14ac:dyDescent="0.25">
      <c r="A3439" s="1" t="s">
        <v>6940</v>
      </c>
      <c r="B3439" s="1" t="str">
        <f>"9780470522899"</f>
        <v>9780470522899</v>
      </c>
      <c r="C3439" s="1" t="s">
        <v>11</v>
      </c>
      <c r="D3439" s="2">
        <v>40071</v>
      </c>
      <c r="E3439" s="1" t="s">
        <v>6941</v>
      </c>
      <c r="F3439" s="1" t="s">
        <v>95</v>
      </c>
    </row>
    <row r="3440" spans="1:6" ht="30" customHeight="1" x14ac:dyDescent="0.25">
      <c r="A3440" s="1" t="s">
        <v>6942</v>
      </c>
      <c r="B3440" s="1" t="str">
        <f>"9780471463719"</f>
        <v>9780471463719</v>
      </c>
      <c r="C3440" s="1" t="s">
        <v>65</v>
      </c>
      <c r="D3440" s="2">
        <v>38100</v>
      </c>
      <c r="E3440" s="1" t="s">
        <v>6943</v>
      </c>
      <c r="F3440" s="1" t="s">
        <v>137</v>
      </c>
    </row>
    <row r="3441" spans="1:6" ht="30" customHeight="1" x14ac:dyDescent="0.25">
      <c r="A3441" s="1" t="s">
        <v>6944</v>
      </c>
      <c r="B3441" s="1" t="str">
        <f>"9780470376362"</f>
        <v>9780470376362</v>
      </c>
      <c r="C3441" s="1" t="s">
        <v>65</v>
      </c>
      <c r="D3441" s="2">
        <v>39553</v>
      </c>
      <c r="E3441" s="1" t="s">
        <v>6945</v>
      </c>
      <c r="F3441" s="1" t="s">
        <v>681</v>
      </c>
    </row>
    <row r="3442" spans="1:6" ht="30" customHeight="1" x14ac:dyDescent="0.25">
      <c r="A3442" s="1" t="s">
        <v>6946</v>
      </c>
      <c r="B3442" s="1" t="str">
        <f>"9780470390283"</f>
        <v>9780470390283</v>
      </c>
      <c r="C3442" s="1" t="s">
        <v>11</v>
      </c>
      <c r="D3442" s="2">
        <v>23391</v>
      </c>
      <c r="E3442" s="1" t="s">
        <v>6947</v>
      </c>
      <c r="F3442" s="1" t="s">
        <v>13</v>
      </c>
    </row>
    <row r="3443" spans="1:6" ht="30" customHeight="1" x14ac:dyDescent="0.25">
      <c r="A3443" s="1" t="s">
        <v>6948</v>
      </c>
      <c r="B3443" s="1" t="str">
        <f>"9780470473276"</f>
        <v>9780470473276</v>
      </c>
      <c r="C3443" s="1" t="s">
        <v>65</v>
      </c>
      <c r="D3443" s="2">
        <v>39981</v>
      </c>
      <c r="E3443" s="1" t="s">
        <v>6949</v>
      </c>
      <c r="F3443" s="1" t="s">
        <v>359</v>
      </c>
    </row>
    <row r="3444" spans="1:6" ht="30" customHeight="1" x14ac:dyDescent="0.25">
      <c r="A3444" s="1" t="s">
        <v>6950</v>
      </c>
      <c r="B3444" s="1" t="str">
        <f>"9780813809229"</f>
        <v>9780813809229</v>
      </c>
      <c r="C3444" s="1" t="s">
        <v>65</v>
      </c>
      <c r="D3444" s="2">
        <v>40087</v>
      </c>
      <c r="E3444" s="1" t="s">
        <v>6951</v>
      </c>
      <c r="F3444" s="1" t="s">
        <v>13</v>
      </c>
    </row>
    <row r="3445" spans="1:6" ht="30" customHeight="1" x14ac:dyDescent="0.25">
      <c r="A3445" s="1" t="s">
        <v>6952</v>
      </c>
      <c r="B3445" s="1" t="str">
        <f>"9780470567616"</f>
        <v>9780470567616</v>
      </c>
      <c r="C3445" s="1" t="s">
        <v>65</v>
      </c>
      <c r="D3445" s="2">
        <v>40136</v>
      </c>
      <c r="E3445" s="1" t="s">
        <v>6953</v>
      </c>
      <c r="F3445" s="1" t="s">
        <v>137</v>
      </c>
    </row>
    <row r="3446" spans="1:6" ht="30" customHeight="1" x14ac:dyDescent="0.25">
      <c r="A3446" s="1" t="s">
        <v>6954</v>
      </c>
      <c r="B3446" s="1" t="str">
        <f>"9780470530184"</f>
        <v>9780470530184</v>
      </c>
      <c r="C3446" s="1" t="s">
        <v>11</v>
      </c>
      <c r="D3446" s="2">
        <v>40108</v>
      </c>
      <c r="E3446" s="1" t="s">
        <v>6955</v>
      </c>
      <c r="F3446" s="1" t="s">
        <v>4193</v>
      </c>
    </row>
    <row r="3447" spans="1:6" ht="30" customHeight="1" x14ac:dyDescent="0.25">
      <c r="A3447" s="1" t="s">
        <v>6956</v>
      </c>
      <c r="B3447" s="1" t="str">
        <f>"9780470263914"</f>
        <v>9780470263914</v>
      </c>
      <c r="C3447" s="1" t="s">
        <v>11</v>
      </c>
      <c r="D3447" s="2">
        <v>39584</v>
      </c>
      <c r="E3447" s="1" t="s">
        <v>6957</v>
      </c>
      <c r="F3447" s="1" t="s">
        <v>13</v>
      </c>
    </row>
    <row r="3448" spans="1:6" ht="30" customHeight="1" x14ac:dyDescent="0.25">
      <c r="A3448" s="1" t="s">
        <v>6958</v>
      </c>
      <c r="B3448" s="1" t="str">
        <f>"9780470276525"</f>
        <v>9780470276525</v>
      </c>
      <c r="C3448" s="1" t="s">
        <v>65</v>
      </c>
      <c r="D3448" s="2">
        <v>39506</v>
      </c>
      <c r="E3448" s="1" t="s">
        <v>6959</v>
      </c>
      <c r="F3448" s="1" t="s">
        <v>6960</v>
      </c>
    </row>
    <row r="3449" spans="1:6" ht="30" customHeight="1" x14ac:dyDescent="0.25">
      <c r="A3449" s="1" t="s">
        <v>6961</v>
      </c>
      <c r="B3449" s="1" t="str">
        <f>"9780470276587"</f>
        <v>9780470276587</v>
      </c>
      <c r="C3449" s="1" t="s">
        <v>11</v>
      </c>
      <c r="D3449" s="2">
        <v>36371</v>
      </c>
      <c r="E3449" s="1" t="s">
        <v>6962</v>
      </c>
      <c r="F3449" s="1" t="s">
        <v>158</v>
      </c>
    </row>
    <row r="3450" spans="1:6" ht="30" customHeight="1" x14ac:dyDescent="0.25">
      <c r="A3450" s="1" t="s">
        <v>6963</v>
      </c>
      <c r="B3450" s="1" t="str">
        <f>"9780470432228"</f>
        <v>9780470432228</v>
      </c>
      <c r="C3450" s="1" t="s">
        <v>11</v>
      </c>
      <c r="D3450" s="2">
        <v>39869</v>
      </c>
      <c r="E3450" s="1" t="s">
        <v>6964</v>
      </c>
      <c r="F3450" s="1" t="s">
        <v>6965</v>
      </c>
    </row>
    <row r="3451" spans="1:6" ht="30" customHeight="1" x14ac:dyDescent="0.25">
      <c r="A3451" s="1" t="s">
        <v>6966</v>
      </c>
      <c r="B3451" s="1" t="str">
        <f>"9780470481394"</f>
        <v>9780470481394</v>
      </c>
      <c r="C3451" s="1" t="s">
        <v>11</v>
      </c>
      <c r="D3451" s="2">
        <v>39953</v>
      </c>
      <c r="E3451" s="1" t="s">
        <v>6967</v>
      </c>
      <c r="F3451" s="1" t="s">
        <v>214</v>
      </c>
    </row>
    <row r="3452" spans="1:6" ht="30" customHeight="1" x14ac:dyDescent="0.25">
      <c r="A3452" s="1" t="s">
        <v>6968</v>
      </c>
      <c r="B3452" s="1" t="str">
        <f>"9780471652335"</f>
        <v>9780471652335</v>
      </c>
      <c r="C3452" s="1" t="s">
        <v>11</v>
      </c>
      <c r="D3452" s="2">
        <v>38119</v>
      </c>
      <c r="E3452" s="1" t="s">
        <v>6969</v>
      </c>
      <c r="F3452" s="1" t="s">
        <v>13</v>
      </c>
    </row>
    <row r="3453" spans="1:6" ht="30" customHeight="1" x14ac:dyDescent="0.25">
      <c r="A3453" s="1" t="s">
        <v>6970</v>
      </c>
      <c r="B3453" s="1" t="str">
        <f>"9780470498101"</f>
        <v>9780470498101</v>
      </c>
      <c r="C3453" s="1" t="s">
        <v>65</v>
      </c>
      <c r="D3453" s="2">
        <v>40087</v>
      </c>
      <c r="E3453" s="1" t="s">
        <v>6971</v>
      </c>
      <c r="F3453" s="1" t="s">
        <v>30</v>
      </c>
    </row>
    <row r="3454" spans="1:6" ht="30" customHeight="1" x14ac:dyDescent="0.25">
      <c r="A3454" s="1" t="s">
        <v>6972</v>
      </c>
      <c r="B3454" s="1" t="str">
        <f>"9780470466353"</f>
        <v>9780470466353</v>
      </c>
      <c r="C3454" s="1" t="s">
        <v>11</v>
      </c>
      <c r="D3454" s="2">
        <v>39981</v>
      </c>
      <c r="E3454" s="1" t="s">
        <v>6973</v>
      </c>
      <c r="F3454" s="1" t="s">
        <v>268</v>
      </c>
    </row>
    <row r="3455" spans="1:6" ht="30" customHeight="1" x14ac:dyDescent="0.25">
      <c r="A3455" s="1" t="s">
        <v>6974</v>
      </c>
      <c r="B3455" s="1" t="str">
        <f>"9780471482345"</f>
        <v>9780471482345</v>
      </c>
      <c r="C3455" s="1" t="s">
        <v>11</v>
      </c>
      <c r="D3455" s="2">
        <v>38032</v>
      </c>
      <c r="E3455" s="1" t="s">
        <v>6975</v>
      </c>
      <c r="F3455" s="1" t="s">
        <v>13</v>
      </c>
    </row>
    <row r="3456" spans="1:6" ht="30" customHeight="1" x14ac:dyDescent="0.25">
      <c r="A3456" s="1" t="s">
        <v>6976</v>
      </c>
      <c r="B3456" s="1" t="str">
        <f>"9780470157480"</f>
        <v>9780470157480</v>
      </c>
      <c r="C3456" s="1" t="s">
        <v>65</v>
      </c>
      <c r="D3456" s="2">
        <v>40255</v>
      </c>
      <c r="E3456" s="1" t="s">
        <v>6977</v>
      </c>
      <c r="F3456" s="1" t="s">
        <v>95</v>
      </c>
    </row>
    <row r="3457" spans="1:6" ht="30" customHeight="1" x14ac:dyDescent="0.25">
      <c r="A3457" s="1" t="s">
        <v>6978</v>
      </c>
      <c r="B3457" s="1" t="str">
        <f>"9780471468981"</f>
        <v>9780471468981</v>
      </c>
      <c r="C3457" s="1" t="s">
        <v>65</v>
      </c>
      <c r="D3457" s="2">
        <v>38032</v>
      </c>
      <c r="E3457" s="1" t="s">
        <v>6251</v>
      </c>
      <c r="F3457" s="1" t="s">
        <v>13</v>
      </c>
    </row>
    <row r="3458" spans="1:6" ht="30" customHeight="1" x14ac:dyDescent="0.25">
      <c r="A3458" s="1" t="s">
        <v>6979</v>
      </c>
      <c r="B3458" s="1" t="str">
        <f>"9780471531999"</f>
        <v>9780471531999</v>
      </c>
      <c r="C3458" s="1" t="s">
        <v>65</v>
      </c>
      <c r="D3458" s="2">
        <v>38020</v>
      </c>
      <c r="E3458" s="1" t="s">
        <v>6980</v>
      </c>
      <c r="F3458" s="1" t="s">
        <v>137</v>
      </c>
    </row>
    <row r="3459" spans="1:6" ht="30" customHeight="1" x14ac:dyDescent="0.25">
      <c r="A3459" s="1" t="s">
        <v>6981</v>
      </c>
      <c r="B3459" s="1" t="str">
        <f>"9780470021248"</f>
        <v>9780470021248</v>
      </c>
      <c r="C3459" s="1" t="s">
        <v>65</v>
      </c>
      <c r="D3459" s="2">
        <v>38380</v>
      </c>
      <c r="E3459" s="1" t="s">
        <v>6982</v>
      </c>
      <c r="F3459" s="1" t="s">
        <v>13</v>
      </c>
    </row>
    <row r="3460" spans="1:6" ht="30" customHeight="1" x14ac:dyDescent="0.25">
      <c r="A3460" s="1" t="s">
        <v>6983</v>
      </c>
      <c r="B3460" s="1" t="str">
        <f>"9780470724408"</f>
        <v>9780470724408</v>
      </c>
      <c r="C3460" s="1" t="s">
        <v>65</v>
      </c>
      <c r="D3460" s="2">
        <v>39568</v>
      </c>
      <c r="E3460" s="1" t="s">
        <v>6984</v>
      </c>
      <c r="F3460" s="1" t="s">
        <v>13</v>
      </c>
    </row>
    <row r="3461" spans="1:6" ht="30" customHeight="1" x14ac:dyDescent="0.25">
      <c r="A3461" s="1" t="s">
        <v>6985</v>
      </c>
      <c r="B3461" s="1" t="str">
        <f>"9780470746325"</f>
        <v>9780470746325</v>
      </c>
      <c r="C3461" s="1" t="s">
        <v>65</v>
      </c>
      <c r="D3461" s="2">
        <v>39951</v>
      </c>
      <c r="E3461" s="1" t="s">
        <v>6986</v>
      </c>
      <c r="F3461" s="1" t="s">
        <v>13</v>
      </c>
    </row>
    <row r="3462" spans="1:6" ht="30" customHeight="1" x14ac:dyDescent="0.25">
      <c r="A3462" s="1" t="s">
        <v>6987</v>
      </c>
      <c r="B3462" s="1" t="str">
        <f>"9781444312874"</f>
        <v>9781444312874</v>
      </c>
      <c r="C3462" s="1" t="s">
        <v>65</v>
      </c>
      <c r="D3462" s="2">
        <v>39916</v>
      </c>
      <c r="E3462" s="1" t="s">
        <v>6988</v>
      </c>
      <c r="F3462" s="1" t="s">
        <v>95</v>
      </c>
    </row>
    <row r="3463" spans="1:6" ht="30" customHeight="1" x14ac:dyDescent="0.25">
      <c r="A3463" s="1" t="s">
        <v>6989</v>
      </c>
      <c r="B3463" s="1" t="str">
        <f>"9781444316360"</f>
        <v>9781444316360</v>
      </c>
      <c r="C3463" s="1" t="s">
        <v>65</v>
      </c>
      <c r="D3463" s="2">
        <v>40025</v>
      </c>
      <c r="E3463" s="1" t="s">
        <v>6990</v>
      </c>
      <c r="F3463" s="1" t="s">
        <v>126</v>
      </c>
    </row>
    <row r="3464" spans="1:6" ht="30" customHeight="1" x14ac:dyDescent="0.25">
      <c r="A3464" s="1" t="s">
        <v>6991</v>
      </c>
      <c r="B3464" s="1" t="str">
        <f>"9781444316896"</f>
        <v>9781444316896</v>
      </c>
      <c r="C3464" s="1" t="s">
        <v>65</v>
      </c>
      <c r="D3464" s="2">
        <v>40128</v>
      </c>
      <c r="E3464" s="1" t="s">
        <v>6992</v>
      </c>
      <c r="F3464" s="1" t="s">
        <v>13</v>
      </c>
    </row>
    <row r="3465" spans="1:6" ht="30" customHeight="1" x14ac:dyDescent="0.25">
      <c r="A3465" s="1" t="s">
        <v>6993</v>
      </c>
      <c r="B3465" s="1" t="str">
        <f>"9781444322750"</f>
        <v>9781444322750</v>
      </c>
      <c r="C3465" s="1" t="s">
        <v>65</v>
      </c>
      <c r="D3465" s="2">
        <v>40133</v>
      </c>
      <c r="E3465" s="1" t="s">
        <v>6994</v>
      </c>
      <c r="F3465" s="1" t="s">
        <v>13</v>
      </c>
    </row>
    <row r="3466" spans="1:6" ht="30" customHeight="1" x14ac:dyDescent="0.25">
      <c r="A3466" s="1" t="s">
        <v>6995</v>
      </c>
      <c r="B3466" s="1" t="str">
        <f>"9780470777985"</f>
        <v>9780470777985</v>
      </c>
      <c r="C3466" s="1" t="s">
        <v>65</v>
      </c>
      <c r="D3466" s="2">
        <v>39568</v>
      </c>
      <c r="E3466" s="1" t="s">
        <v>6996</v>
      </c>
      <c r="F3466" s="1" t="s">
        <v>176</v>
      </c>
    </row>
    <row r="3467" spans="1:6" ht="30" customHeight="1" x14ac:dyDescent="0.25">
      <c r="A3467" s="1" t="s">
        <v>6997</v>
      </c>
      <c r="B3467" s="1" t="str">
        <f>"9781444316162"</f>
        <v>9781444316162</v>
      </c>
      <c r="C3467" s="1" t="s">
        <v>65</v>
      </c>
      <c r="D3467" s="2">
        <v>40064</v>
      </c>
      <c r="E3467" s="1" t="s">
        <v>6998</v>
      </c>
      <c r="F3467" s="1" t="s">
        <v>33</v>
      </c>
    </row>
    <row r="3468" spans="1:6" ht="30" customHeight="1" x14ac:dyDescent="0.25">
      <c r="A3468" s="1" t="s">
        <v>6999</v>
      </c>
      <c r="B3468" s="1" t="str">
        <f>"9780470695623"</f>
        <v>9780470695623</v>
      </c>
      <c r="C3468" s="1" t="s">
        <v>65</v>
      </c>
      <c r="D3468" s="2">
        <v>39568</v>
      </c>
      <c r="E3468" s="1" t="s">
        <v>7000</v>
      </c>
      <c r="F3468" s="1" t="s">
        <v>13</v>
      </c>
    </row>
    <row r="3469" spans="1:6" ht="30" customHeight="1" x14ac:dyDescent="0.25">
      <c r="A3469" s="1" t="s">
        <v>7001</v>
      </c>
      <c r="B3469" s="1" t="str">
        <f>"9781444322637"</f>
        <v>9781444322637</v>
      </c>
      <c r="C3469" s="1" t="s">
        <v>65</v>
      </c>
      <c r="D3469" s="2">
        <v>40133</v>
      </c>
      <c r="E3469" s="1" t="s">
        <v>7002</v>
      </c>
      <c r="F3469" s="1" t="s">
        <v>117</v>
      </c>
    </row>
    <row r="3470" spans="1:6" ht="30" customHeight="1" x14ac:dyDescent="0.25">
      <c r="A3470" s="1" t="s">
        <v>7003</v>
      </c>
      <c r="B3470" s="1" t="str">
        <f>"9780470695616"</f>
        <v>9780470695616</v>
      </c>
      <c r="C3470" s="1" t="s">
        <v>65</v>
      </c>
      <c r="D3470" s="2">
        <v>39568</v>
      </c>
      <c r="E3470" s="1" t="s">
        <v>7004</v>
      </c>
      <c r="F3470" s="1" t="s">
        <v>234</v>
      </c>
    </row>
    <row r="3471" spans="1:6" ht="30" customHeight="1" x14ac:dyDescent="0.25">
      <c r="A3471" s="1" t="s">
        <v>7005</v>
      </c>
      <c r="B3471" s="1" t="str">
        <f>"9780470694886"</f>
        <v>9780470694886</v>
      </c>
      <c r="C3471" s="1" t="s">
        <v>65</v>
      </c>
      <c r="D3471" s="2">
        <v>39568</v>
      </c>
      <c r="E3471" s="1" t="s">
        <v>7006</v>
      </c>
      <c r="F3471" s="1" t="s">
        <v>82</v>
      </c>
    </row>
    <row r="3472" spans="1:6" ht="30" customHeight="1" x14ac:dyDescent="0.25">
      <c r="A3472" s="1" t="s">
        <v>7007</v>
      </c>
      <c r="B3472" s="1" t="str">
        <f>"9780470698570"</f>
        <v>9780470698570</v>
      </c>
      <c r="C3472" s="1" t="s">
        <v>65</v>
      </c>
      <c r="D3472" s="2">
        <v>39568</v>
      </c>
      <c r="E3472" s="1" t="s">
        <v>7008</v>
      </c>
      <c r="F3472" s="1" t="s">
        <v>13</v>
      </c>
    </row>
    <row r="3473" spans="1:6" ht="30" customHeight="1" x14ac:dyDescent="0.25">
      <c r="A3473" s="1" t="s">
        <v>7009</v>
      </c>
      <c r="B3473" s="1" t="str">
        <f>"9780470518144"</f>
        <v>9780470518144</v>
      </c>
      <c r="C3473" s="1" t="s">
        <v>65</v>
      </c>
      <c r="D3473" s="2">
        <v>39518</v>
      </c>
      <c r="E3473" s="1" t="s">
        <v>7010</v>
      </c>
      <c r="F3473" s="1" t="s">
        <v>13</v>
      </c>
    </row>
    <row r="3474" spans="1:6" ht="30" customHeight="1" x14ac:dyDescent="0.25">
      <c r="A3474" s="1" t="s">
        <v>7011</v>
      </c>
      <c r="B3474" s="1" t="str">
        <f>"9781444315424"</f>
        <v>9781444315424</v>
      </c>
      <c r="C3474" s="1" t="s">
        <v>65</v>
      </c>
      <c r="D3474" s="2">
        <v>40116</v>
      </c>
      <c r="E3474" s="1" t="s">
        <v>7012</v>
      </c>
      <c r="F3474" s="1" t="s">
        <v>82</v>
      </c>
    </row>
    <row r="3475" spans="1:6" ht="30" customHeight="1" x14ac:dyDescent="0.25">
      <c r="A3475" s="1" t="s">
        <v>7013</v>
      </c>
      <c r="B3475" s="1" t="str">
        <f>"9780470698358"</f>
        <v>9780470698358</v>
      </c>
      <c r="C3475" s="1" t="s">
        <v>65</v>
      </c>
      <c r="D3475" s="2">
        <v>39568</v>
      </c>
      <c r="E3475" s="1" t="s">
        <v>7014</v>
      </c>
      <c r="F3475" s="1" t="s">
        <v>268</v>
      </c>
    </row>
    <row r="3476" spans="1:6" ht="30" customHeight="1" x14ac:dyDescent="0.25">
      <c r="A3476" s="1" t="s">
        <v>7015</v>
      </c>
      <c r="B3476" s="1" t="str">
        <f>"9780470695579"</f>
        <v>9780470695579</v>
      </c>
      <c r="C3476" s="1" t="s">
        <v>65</v>
      </c>
      <c r="D3476" s="2">
        <v>39568</v>
      </c>
      <c r="E3476" s="1" t="s">
        <v>7016</v>
      </c>
      <c r="F3476" s="1" t="s">
        <v>13</v>
      </c>
    </row>
    <row r="3477" spans="1:6" ht="30" customHeight="1" x14ac:dyDescent="0.25">
      <c r="A3477" s="1" t="s">
        <v>7017</v>
      </c>
      <c r="B3477" s="1" t="str">
        <f>"9781444314588"</f>
        <v>9781444314588</v>
      </c>
      <c r="C3477" s="1" t="s">
        <v>65</v>
      </c>
      <c r="D3477" s="2">
        <v>40038</v>
      </c>
      <c r="E3477" s="1" t="s">
        <v>7018</v>
      </c>
      <c r="F3477" s="1" t="s">
        <v>70</v>
      </c>
    </row>
    <row r="3478" spans="1:6" ht="30" customHeight="1" x14ac:dyDescent="0.25">
      <c r="A3478" s="1" t="s">
        <v>7019</v>
      </c>
      <c r="B3478" s="1" t="str">
        <f>"9781444307788"</f>
        <v>9781444307788</v>
      </c>
      <c r="C3478" s="1" t="s">
        <v>65</v>
      </c>
      <c r="D3478" s="2">
        <v>40087</v>
      </c>
      <c r="E3478" s="1" t="s">
        <v>7020</v>
      </c>
      <c r="F3478" s="1" t="s">
        <v>13</v>
      </c>
    </row>
    <row r="3479" spans="1:6" ht="30" customHeight="1" x14ac:dyDescent="0.25">
      <c r="A3479" s="1" t="s">
        <v>7021</v>
      </c>
      <c r="B3479" s="1" t="str">
        <f>"9780470695524"</f>
        <v>9780470695524</v>
      </c>
      <c r="C3479" s="1" t="s">
        <v>11</v>
      </c>
      <c r="D3479" s="2">
        <v>39568</v>
      </c>
      <c r="E3479" s="1" t="s">
        <v>7022</v>
      </c>
      <c r="F3479" s="1" t="s">
        <v>13</v>
      </c>
    </row>
    <row r="3480" spans="1:6" ht="30" customHeight="1" x14ac:dyDescent="0.25">
      <c r="A3480" s="1" t="s">
        <v>7023</v>
      </c>
      <c r="B3480" s="1" t="str">
        <f>"9780470693087"</f>
        <v>9780470693087</v>
      </c>
      <c r="C3480" s="1" t="s">
        <v>65</v>
      </c>
      <c r="D3480" s="2">
        <v>39568</v>
      </c>
      <c r="E3480" s="1" t="s">
        <v>7024</v>
      </c>
      <c r="F3480" s="1" t="s">
        <v>87</v>
      </c>
    </row>
    <row r="3481" spans="1:6" ht="30" customHeight="1" x14ac:dyDescent="0.25">
      <c r="A3481" s="1" t="s">
        <v>7025</v>
      </c>
      <c r="B3481" s="1" t="str">
        <f>"9780470986622"</f>
        <v>9780470986622</v>
      </c>
      <c r="C3481" s="1" t="s">
        <v>65</v>
      </c>
      <c r="D3481" s="2">
        <v>39568</v>
      </c>
      <c r="E3481" s="1" t="s">
        <v>7026</v>
      </c>
      <c r="F3481" s="1" t="s">
        <v>95</v>
      </c>
    </row>
    <row r="3482" spans="1:6" ht="30" customHeight="1" x14ac:dyDescent="0.25">
      <c r="A3482" s="1" t="s">
        <v>7027</v>
      </c>
      <c r="B3482" s="1" t="str">
        <f>"9780470698266"</f>
        <v>9780470698266</v>
      </c>
      <c r="C3482" s="1" t="s">
        <v>65</v>
      </c>
      <c r="D3482" s="2">
        <v>39568</v>
      </c>
      <c r="E3482" s="1" t="s">
        <v>7028</v>
      </c>
      <c r="F3482" s="1" t="s">
        <v>13</v>
      </c>
    </row>
    <row r="3483" spans="1:6" ht="30" customHeight="1" x14ac:dyDescent="0.25">
      <c r="A3483" s="1" t="s">
        <v>7029</v>
      </c>
      <c r="B3483" s="1" t="str">
        <f>"9780470749364"</f>
        <v>9780470749364</v>
      </c>
      <c r="C3483" s="1" t="s">
        <v>65</v>
      </c>
      <c r="D3483" s="2">
        <v>40039</v>
      </c>
      <c r="E3483" s="1" t="s">
        <v>7030</v>
      </c>
      <c r="F3483" s="1" t="s">
        <v>13</v>
      </c>
    </row>
    <row r="3484" spans="1:6" ht="30" customHeight="1" x14ac:dyDescent="0.25">
      <c r="A3484" s="1" t="s">
        <v>7031</v>
      </c>
      <c r="B3484" s="1" t="str">
        <f>"9780470695548"</f>
        <v>9780470695548</v>
      </c>
      <c r="C3484" s="1" t="s">
        <v>65</v>
      </c>
      <c r="D3484" s="2">
        <v>39568</v>
      </c>
      <c r="E3484" s="1" t="s">
        <v>7032</v>
      </c>
      <c r="F3484" s="1" t="s">
        <v>13</v>
      </c>
    </row>
    <row r="3485" spans="1:6" ht="30" customHeight="1" x14ac:dyDescent="0.25">
      <c r="A3485" s="1" t="s">
        <v>7033</v>
      </c>
      <c r="B3485" s="1" t="str">
        <f>"9780470723999"</f>
        <v>9780470723999</v>
      </c>
      <c r="C3485" s="1" t="s">
        <v>11</v>
      </c>
      <c r="D3485" s="2">
        <v>39568</v>
      </c>
      <c r="E3485" s="1" t="s">
        <v>7034</v>
      </c>
      <c r="F3485" s="1" t="s">
        <v>127</v>
      </c>
    </row>
    <row r="3486" spans="1:6" ht="30" customHeight="1" x14ac:dyDescent="0.25">
      <c r="A3486" s="1" t="s">
        <v>7035</v>
      </c>
      <c r="B3486" s="1" t="str">
        <f>"9780470698105"</f>
        <v>9780470698105</v>
      </c>
      <c r="C3486" s="1" t="s">
        <v>65</v>
      </c>
      <c r="D3486" s="2">
        <v>39568</v>
      </c>
      <c r="E3486" s="1" t="s">
        <v>7036</v>
      </c>
      <c r="F3486" s="1" t="s">
        <v>13</v>
      </c>
    </row>
    <row r="3487" spans="1:6" ht="30" customHeight="1" x14ac:dyDescent="0.25">
      <c r="A3487" s="1" t="s">
        <v>7037</v>
      </c>
      <c r="B3487" s="1" t="str">
        <f>"9780470698396"</f>
        <v>9780470698396</v>
      </c>
      <c r="C3487" s="1" t="s">
        <v>65</v>
      </c>
      <c r="D3487" s="2">
        <v>39568</v>
      </c>
      <c r="E3487" s="1" t="s">
        <v>7038</v>
      </c>
      <c r="F3487" s="1" t="s">
        <v>13</v>
      </c>
    </row>
    <row r="3488" spans="1:6" ht="30" customHeight="1" x14ac:dyDescent="0.25">
      <c r="A3488" s="1" t="s">
        <v>7039</v>
      </c>
      <c r="B3488" s="1" t="str">
        <f>"9781444316186"</f>
        <v>9781444316186</v>
      </c>
      <c r="C3488" s="1" t="s">
        <v>65</v>
      </c>
      <c r="D3488" s="2">
        <v>40064</v>
      </c>
      <c r="E3488" s="1" t="s">
        <v>7040</v>
      </c>
      <c r="F3488" s="1" t="s">
        <v>13</v>
      </c>
    </row>
    <row r="3489" spans="1:6" ht="30" customHeight="1" x14ac:dyDescent="0.25">
      <c r="A3489" s="1" t="s">
        <v>7041</v>
      </c>
      <c r="B3489" s="1" t="str">
        <f>"9780470695494"</f>
        <v>9780470695494</v>
      </c>
      <c r="C3489" s="1" t="s">
        <v>65</v>
      </c>
      <c r="D3489" s="2">
        <v>39568</v>
      </c>
      <c r="E3489" s="1" t="s">
        <v>7042</v>
      </c>
      <c r="F3489" s="1" t="s">
        <v>13</v>
      </c>
    </row>
    <row r="3490" spans="1:6" ht="30" customHeight="1" x14ac:dyDescent="0.25">
      <c r="A3490" s="1" t="s">
        <v>7043</v>
      </c>
      <c r="B3490" s="1" t="str">
        <f>"9780470751510"</f>
        <v>9780470751510</v>
      </c>
      <c r="C3490" s="1" t="s">
        <v>65</v>
      </c>
      <c r="D3490" s="2">
        <v>39568</v>
      </c>
      <c r="E3490" s="1" t="s">
        <v>7044</v>
      </c>
      <c r="F3490" s="1" t="s">
        <v>13</v>
      </c>
    </row>
    <row r="3491" spans="1:6" ht="30" customHeight="1" x14ac:dyDescent="0.25">
      <c r="A3491" s="1" t="s">
        <v>7045</v>
      </c>
      <c r="B3491" s="1" t="str">
        <f>"9780470698013"</f>
        <v>9780470698013</v>
      </c>
      <c r="C3491" s="1" t="s">
        <v>65</v>
      </c>
      <c r="D3491" s="2">
        <v>39568</v>
      </c>
      <c r="E3491" s="1" t="s">
        <v>7046</v>
      </c>
      <c r="F3491" s="1" t="s">
        <v>13</v>
      </c>
    </row>
    <row r="3492" spans="1:6" ht="30" customHeight="1" x14ac:dyDescent="0.25">
      <c r="A3492" s="1" t="s">
        <v>7047</v>
      </c>
      <c r="B3492" s="1" t="str">
        <f>"9780470697894"</f>
        <v>9780470697894</v>
      </c>
      <c r="C3492" s="1" t="s">
        <v>65</v>
      </c>
      <c r="D3492" s="2">
        <v>39568</v>
      </c>
      <c r="E3492" s="1" t="s">
        <v>7048</v>
      </c>
      <c r="F3492" s="1" t="s">
        <v>70</v>
      </c>
    </row>
    <row r="3493" spans="1:6" ht="30" customHeight="1" x14ac:dyDescent="0.25">
      <c r="A3493" s="1" t="s">
        <v>7049</v>
      </c>
      <c r="B3493" s="1" t="str">
        <f>"9780470698020"</f>
        <v>9780470698020</v>
      </c>
      <c r="C3493" s="1" t="s">
        <v>65</v>
      </c>
      <c r="D3493" s="2">
        <v>39568</v>
      </c>
      <c r="E3493" s="1" t="s">
        <v>7050</v>
      </c>
      <c r="F3493" s="1" t="s">
        <v>95</v>
      </c>
    </row>
    <row r="3494" spans="1:6" ht="30" customHeight="1" x14ac:dyDescent="0.25">
      <c r="A3494" s="1" t="s">
        <v>7051</v>
      </c>
      <c r="B3494" s="1" t="str">
        <f>"9780470697900"</f>
        <v>9780470697900</v>
      </c>
      <c r="C3494" s="1" t="s">
        <v>65</v>
      </c>
      <c r="D3494" s="2">
        <v>39568</v>
      </c>
      <c r="E3494" s="1" t="s">
        <v>7052</v>
      </c>
      <c r="F3494" s="1" t="s">
        <v>13</v>
      </c>
    </row>
    <row r="3495" spans="1:6" ht="30" customHeight="1" x14ac:dyDescent="0.25">
      <c r="A3495" s="1" t="s">
        <v>7053</v>
      </c>
      <c r="B3495" s="1" t="str">
        <f>"9781444317084"</f>
        <v>9781444317084</v>
      </c>
      <c r="C3495" s="1" t="s">
        <v>65</v>
      </c>
      <c r="D3495" s="2">
        <v>40116</v>
      </c>
      <c r="E3495" s="1" t="s">
        <v>4479</v>
      </c>
      <c r="F3495" s="1" t="s">
        <v>13</v>
      </c>
    </row>
    <row r="3496" spans="1:6" ht="30" customHeight="1" x14ac:dyDescent="0.25">
      <c r="A3496" s="1" t="s">
        <v>7054</v>
      </c>
      <c r="B3496" s="1" t="str">
        <f>"9781444316650"</f>
        <v>9781444316650</v>
      </c>
      <c r="C3496" s="1" t="s">
        <v>65</v>
      </c>
      <c r="D3496" s="2">
        <v>40128</v>
      </c>
      <c r="E3496" s="1" t="s">
        <v>7055</v>
      </c>
      <c r="F3496" s="1" t="s">
        <v>13</v>
      </c>
    </row>
    <row r="3497" spans="1:6" ht="30" customHeight="1" x14ac:dyDescent="0.25">
      <c r="A3497" s="1" t="s">
        <v>7056</v>
      </c>
      <c r="B3497" s="1" t="str">
        <f>"9780470999608"</f>
        <v>9780470999608</v>
      </c>
      <c r="C3497" s="1" t="s">
        <v>65</v>
      </c>
      <c r="D3497" s="2">
        <v>39595</v>
      </c>
      <c r="E3497" s="1" t="s">
        <v>7057</v>
      </c>
      <c r="F3497" s="1" t="s">
        <v>7058</v>
      </c>
    </row>
    <row r="3498" spans="1:6" ht="30" customHeight="1" x14ac:dyDescent="0.25">
      <c r="A3498" s="1" t="s">
        <v>7059</v>
      </c>
      <c r="B3498" s="1" t="str">
        <f>"9780470723838"</f>
        <v>9780470723838</v>
      </c>
      <c r="C3498" s="1" t="s">
        <v>65</v>
      </c>
      <c r="D3498" s="2">
        <v>39568</v>
      </c>
      <c r="E3498" s="1" t="s">
        <v>7060</v>
      </c>
      <c r="F3498" s="1" t="s">
        <v>70</v>
      </c>
    </row>
    <row r="3499" spans="1:6" ht="30" customHeight="1" x14ac:dyDescent="0.25">
      <c r="A3499" s="1" t="s">
        <v>7061</v>
      </c>
      <c r="B3499" s="1" t="str">
        <f>"9781444314632"</f>
        <v>9781444314632</v>
      </c>
      <c r="C3499" s="1" t="s">
        <v>65</v>
      </c>
      <c r="D3499" s="2">
        <v>40109</v>
      </c>
      <c r="E3499" s="1" t="s">
        <v>7062</v>
      </c>
      <c r="F3499" s="1" t="s">
        <v>13</v>
      </c>
    </row>
    <row r="3500" spans="1:6" ht="30" customHeight="1" x14ac:dyDescent="0.25">
      <c r="A3500" s="1" t="s">
        <v>7063</v>
      </c>
      <c r="B3500" s="1" t="str">
        <f>"9780470698211"</f>
        <v>9780470698211</v>
      </c>
      <c r="C3500" s="1" t="s">
        <v>65</v>
      </c>
      <c r="D3500" s="2">
        <v>39568</v>
      </c>
      <c r="E3500" s="1" t="s">
        <v>7064</v>
      </c>
      <c r="F3500" s="1" t="s">
        <v>356</v>
      </c>
    </row>
    <row r="3501" spans="1:6" ht="30" customHeight="1" x14ac:dyDescent="0.25">
      <c r="A3501" s="1" t="s">
        <v>7065</v>
      </c>
      <c r="B3501" s="1" t="str">
        <f>"9781444316834"</f>
        <v>9781444316834</v>
      </c>
      <c r="C3501" s="1" t="s">
        <v>65</v>
      </c>
      <c r="D3501" s="2">
        <v>40073</v>
      </c>
      <c r="E3501" s="1" t="s">
        <v>7066</v>
      </c>
      <c r="F3501" s="1" t="s">
        <v>13</v>
      </c>
    </row>
    <row r="3502" spans="1:6" ht="30" customHeight="1" x14ac:dyDescent="0.25">
      <c r="A3502" s="1" t="s">
        <v>7067</v>
      </c>
      <c r="B3502" s="1" t="str">
        <f>"9780470753712"</f>
        <v>9780470753712</v>
      </c>
      <c r="C3502" s="1" t="s">
        <v>65</v>
      </c>
      <c r="D3502" s="2">
        <v>39568</v>
      </c>
      <c r="E3502" s="1" t="s">
        <v>7068</v>
      </c>
      <c r="F3502" s="1" t="s">
        <v>7069</v>
      </c>
    </row>
    <row r="3503" spans="1:6" ht="30" customHeight="1" x14ac:dyDescent="0.25">
      <c r="A3503" s="1" t="s">
        <v>7070</v>
      </c>
      <c r="B3503" s="1" t="str">
        <f>"9780470749302"</f>
        <v>9780470749302</v>
      </c>
      <c r="C3503" s="1" t="s">
        <v>65</v>
      </c>
      <c r="D3503" s="2">
        <v>40024</v>
      </c>
      <c r="E3503" s="1" t="s">
        <v>4583</v>
      </c>
      <c r="F3503" s="1" t="s">
        <v>13</v>
      </c>
    </row>
    <row r="3504" spans="1:6" ht="30" customHeight="1" x14ac:dyDescent="0.25">
      <c r="A3504" s="1" t="s">
        <v>7071</v>
      </c>
      <c r="B3504" s="1" t="str">
        <f>"9780470754214"</f>
        <v>9780470754214</v>
      </c>
      <c r="C3504" s="1" t="s">
        <v>65</v>
      </c>
      <c r="D3504" s="2">
        <v>39568</v>
      </c>
      <c r="E3504" s="1" t="s">
        <v>7072</v>
      </c>
      <c r="F3504" s="1" t="s">
        <v>1152</v>
      </c>
    </row>
    <row r="3505" spans="1:6" ht="30" customHeight="1" x14ac:dyDescent="0.25">
      <c r="A3505" s="1" t="s">
        <v>7073</v>
      </c>
      <c r="B3505" s="1" t="str">
        <f>"9780470869116"</f>
        <v>9780470869116</v>
      </c>
      <c r="C3505" s="1" t="s">
        <v>65</v>
      </c>
      <c r="D3505" s="2">
        <v>38380</v>
      </c>
      <c r="E3505" s="1" t="s">
        <v>7074</v>
      </c>
      <c r="F3505" s="1" t="s">
        <v>13</v>
      </c>
    </row>
    <row r="3506" spans="1:6" ht="30" customHeight="1" x14ac:dyDescent="0.25">
      <c r="A3506" s="1" t="s">
        <v>7075</v>
      </c>
      <c r="B3506" s="1" t="str">
        <f>"9781444319392"</f>
        <v>9781444319392</v>
      </c>
      <c r="C3506" s="1" t="s">
        <v>65</v>
      </c>
      <c r="D3506" s="2">
        <v>40071</v>
      </c>
      <c r="E3506" s="1" t="s">
        <v>7076</v>
      </c>
      <c r="F3506" s="1" t="s">
        <v>13</v>
      </c>
    </row>
    <row r="3507" spans="1:6" ht="30" customHeight="1" x14ac:dyDescent="0.25">
      <c r="A3507" s="1" t="s">
        <v>7077</v>
      </c>
      <c r="B3507" s="1" t="str">
        <f>"9781444322576"</f>
        <v>9781444322576</v>
      </c>
      <c r="C3507" s="1" t="s">
        <v>65</v>
      </c>
      <c r="D3507" s="2">
        <v>40126</v>
      </c>
      <c r="E3507" s="1" t="s">
        <v>7078</v>
      </c>
      <c r="F3507" s="1" t="s">
        <v>13</v>
      </c>
    </row>
    <row r="3508" spans="1:6" ht="30" customHeight="1" x14ac:dyDescent="0.25">
      <c r="A3508" s="1" t="s">
        <v>7079</v>
      </c>
      <c r="B3508" s="1" t="str">
        <f>"9780470723685"</f>
        <v>9780470723685</v>
      </c>
      <c r="C3508" s="1" t="s">
        <v>65</v>
      </c>
      <c r="D3508" s="2">
        <v>39518</v>
      </c>
      <c r="E3508" s="1" t="s">
        <v>7080</v>
      </c>
      <c r="F3508" s="1" t="s">
        <v>13</v>
      </c>
    </row>
    <row r="3509" spans="1:6" ht="30" customHeight="1" x14ac:dyDescent="0.25">
      <c r="A3509" s="1" t="s">
        <v>7081</v>
      </c>
      <c r="B3509" s="1" t="str">
        <f>"9780470695487"</f>
        <v>9780470695487</v>
      </c>
      <c r="C3509" s="1" t="s">
        <v>65</v>
      </c>
      <c r="D3509" s="2">
        <v>39568</v>
      </c>
      <c r="E3509" s="1" t="s">
        <v>7082</v>
      </c>
      <c r="F3509" s="1" t="s">
        <v>13</v>
      </c>
    </row>
    <row r="3510" spans="1:6" ht="30" customHeight="1" x14ac:dyDescent="0.25">
      <c r="A3510" s="1" t="s">
        <v>7083</v>
      </c>
      <c r="B3510" s="1" t="str">
        <f>"9780470698198"</f>
        <v>9780470698198</v>
      </c>
      <c r="C3510" s="1" t="s">
        <v>65</v>
      </c>
      <c r="D3510" s="2">
        <v>39568</v>
      </c>
      <c r="E3510" s="1" t="s">
        <v>7084</v>
      </c>
      <c r="F3510" s="1" t="s">
        <v>13</v>
      </c>
    </row>
    <row r="3511" spans="1:6" ht="30" customHeight="1" x14ac:dyDescent="0.25">
      <c r="A3511" s="1" t="s">
        <v>7085</v>
      </c>
      <c r="B3511" s="1" t="str">
        <f>"9780470682913"</f>
        <v>9780470682913</v>
      </c>
      <c r="C3511" s="1" t="s">
        <v>65</v>
      </c>
      <c r="D3511" s="2">
        <v>40113</v>
      </c>
      <c r="E3511" s="1" t="s">
        <v>7086</v>
      </c>
      <c r="F3511" s="1" t="s">
        <v>137</v>
      </c>
    </row>
    <row r="3512" spans="1:6" ht="30" customHeight="1" x14ac:dyDescent="0.25">
      <c r="A3512" s="1" t="s">
        <v>7087</v>
      </c>
      <c r="B3512" s="1" t="str">
        <f>"9780470698389"</f>
        <v>9780470698389</v>
      </c>
      <c r="C3512" s="1" t="s">
        <v>65</v>
      </c>
      <c r="D3512" s="2">
        <v>39568</v>
      </c>
      <c r="E3512" s="1" t="s">
        <v>7088</v>
      </c>
      <c r="F3512" s="1" t="s">
        <v>13</v>
      </c>
    </row>
    <row r="3513" spans="1:6" ht="30" customHeight="1" x14ac:dyDescent="0.25">
      <c r="A3513" s="1" t="s">
        <v>7089</v>
      </c>
      <c r="B3513" s="1" t="str">
        <f>"9781444317183"</f>
        <v>9781444317183</v>
      </c>
      <c r="C3513" s="1" t="s">
        <v>65</v>
      </c>
      <c r="D3513" s="2">
        <v>40115</v>
      </c>
      <c r="E3513" s="1" t="s">
        <v>7090</v>
      </c>
      <c r="F3513" s="1" t="s">
        <v>95</v>
      </c>
    </row>
    <row r="3514" spans="1:6" ht="30" customHeight="1" x14ac:dyDescent="0.25">
      <c r="A3514" s="1" t="s">
        <v>7091</v>
      </c>
      <c r="B3514" s="1" t="str">
        <f>"9780470694893"</f>
        <v>9780470694893</v>
      </c>
      <c r="C3514" s="1" t="s">
        <v>65</v>
      </c>
      <c r="D3514" s="2">
        <v>39568</v>
      </c>
      <c r="E3514" s="1" t="s">
        <v>7092</v>
      </c>
      <c r="F3514" s="1" t="s">
        <v>114</v>
      </c>
    </row>
    <row r="3515" spans="1:6" ht="30" customHeight="1" x14ac:dyDescent="0.25">
      <c r="A3515" s="1" t="s">
        <v>7093</v>
      </c>
      <c r="B3515" s="1" t="str">
        <f>"9780470699997"</f>
        <v>9780470699997</v>
      </c>
      <c r="C3515" s="1" t="s">
        <v>65</v>
      </c>
      <c r="D3515" s="2">
        <v>39595</v>
      </c>
      <c r="E3515" s="1" t="s">
        <v>7094</v>
      </c>
      <c r="F3515" s="1" t="s">
        <v>21</v>
      </c>
    </row>
    <row r="3516" spans="1:6" ht="30" customHeight="1" x14ac:dyDescent="0.25">
      <c r="A3516" s="1" t="s">
        <v>7095</v>
      </c>
      <c r="B3516" s="1" t="str">
        <f>"9781444322651"</f>
        <v>9781444322651</v>
      </c>
      <c r="C3516" s="1" t="s">
        <v>65</v>
      </c>
      <c r="D3516" s="2">
        <v>40133</v>
      </c>
      <c r="E3516" s="1" t="s">
        <v>7096</v>
      </c>
      <c r="F3516" s="1" t="s">
        <v>13</v>
      </c>
    </row>
    <row r="3517" spans="1:6" ht="30" customHeight="1" x14ac:dyDescent="0.25">
      <c r="A3517" s="1" t="s">
        <v>7097</v>
      </c>
      <c r="B3517" s="1" t="str">
        <f>"9780470727003"</f>
        <v>9780470727003</v>
      </c>
      <c r="C3517" s="1" t="s">
        <v>65</v>
      </c>
      <c r="D3517" s="2">
        <v>39568</v>
      </c>
      <c r="E3517" s="1" t="s">
        <v>7098</v>
      </c>
      <c r="F3517" s="1" t="s">
        <v>13</v>
      </c>
    </row>
    <row r="3518" spans="1:6" ht="30" customHeight="1" x14ac:dyDescent="0.25">
      <c r="A3518" s="1" t="s">
        <v>7099</v>
      </c>
      <c r="B3518" s="1" t="str">
        <f>"9780470518267"</f>
        <v>9780470518267</v>
      </c>
      <c r="C3518" s="1" t="s">
        <v>65</v>
      </c>
      <c r="D3518" s="2">
        <v>39518</v>
      </c>
      <c r="E3518" s="1" t="s">
        <v>7100</v>
      </c>
      <c r="F3518" s="1" t="s">
        <v>13</v>
      </c>
    </row>
    <row r="3519" spans="1:6" ht="30" customHeight="1" x14ac:dyDescent="0.25">
      <c r="A3519" s="1" t="s">
        <v>7101</v>
      </c>
      <c r="B3519" s="1" t="str">
        <f>"9780470519615"</f>
        <v>9780470519615</v>
      </c>
      <c r="C3519" s="1" t="s">
        <v>65</v>
      </c>
      <c r="D3519" s="2">
        <v>39591</v>
      </c>
      <c r="E3519" s="1" t="s">
        <v>7102</v>
      </c>
      <c r="F3519" s="1" t="s">
        <v>13</v>
      </c>
    </row>
    <row r="3520" spans="1:6" ht="30" customHeight="1" x14ac:dyDescent="0.25">
      <c r="A3520" s="1" t="s">
        <v>7103</v>
      </c>
      <c r="B3520" s="1" t="str">
        <f>"9781444322699"</f>
        <v>9781444322699</v>
      </c>
      <c r="C3520" s="1" t="s">
        <v>65</v>
      </c>
      <c r="D3520" s="2">
        <v>40133</v>
      </c>
      <c r="E3520" s="1" t="s">
        <v>7104</v>
      </c>
      <c r="F3520" s="1" t="s">
        <v>13</v>
      </c>
    </row>
    <row r="3521" spans="1:6" ht="30" customHeight="1" x14ac:dyDescent="0.25">
      <c r="A3521" s="1" t="s">
        <v>7105</v>
      </c>
      <c r="B3521" s="1" t="str">
        <f>"9780470695630"</f>
        <v>9780470695630</v>
      </c>
      <c r="C3521" s="1" t="s">
        <v>65</v>
      </c>
      <c r="D3521" s="2">
        <v>39568</v>
      </c>
      <c r="E3521" s="1" t="s">
        <v>7106</v>
      </c>
      <c r="F3521" s="1" t="s">
        <v>13</v>
      </c>
    </row>
    <row r="3522" spans="1:6" ht="30" customHeight="1" x14ac:dyDescent="0.25">
      <c r="A3522" s="1" t="s">
        <v>7107</v>
      </c>
      <c r="B3522" s="1" t="str">
        <f>"9780470871911"</f>
        <v>9780470871911</v>
      </c>
      <c r="C3522" s="1" t="s">
        <v>65</v>
      </c>
      <c r="D3522" s="2">
        <v>40066</v>
      </c>
      <c r="E3522" s="1" t="s">
        <v>7108</v>
      </c>
      <c r="F3522" s="1" t="s">
        <v>13</v>
      </c>
    </row>
    <row r="3523" spans="1:6" ht="30" customHeight="1" x14ac:dyDescent="0.25">
      <c r="A3523" s="1" t="s">
        <v>7109</v>
      </c>
      <c r="B3523" s="1" t="str">
        <f>"9780470723708"</f>
        <v>9780470723708</v>
      </c>
      <c r="C3523" s="1" t="s">
        <v>65</v>
      </c>
      <c r="D3523" s="2">
        <v>39568</v>
      </c>
      <c r="E3523" s="1" t="s">
        <v>7110</v>
      </c>
      <c r="F3523" s="1" t="s">
        <v>95</v>
      </c>
    </row>
    <row r="3524" spans="1:6" ht="30" customHeight="1" x14ac:dyDescent="0.25">
      <c r="A3524" s="1" t="s">
        <v>7111</v>
      </c>
      <c r="B3524" s="1" t="str">
        <f>"9780470698372"</f>
        <v>9780470698372</v>
      </c>
      <c r="C3524" s="1" t="s">
        <v>65</v>
      </c>
      <c r="D3524" s="2">
        <v>39568</v>
      </c>
      <c r="E3524" s="1" t="s">
        <v>7112</v>
      </c>
      <c r="F3524" s="1" t="s">
        <v>13</v>
      </c>
    </row>
    <row r="3525" spans="1:6" ht="30" customHeight="1" x14ac:dyDescent="0.25">
      <c r="A3525" s="1" t="s">
        <v>7113</v>
      </c>
      <c r="B3525" s="1" t="str">
        <f>"9780520920484"</f>
        <v>9780520920484</v>
      </c>
      <c r="C3525" s="1" t="s">
        <v>818</v>
      </c>
      <c r="D3525" s="2">
        <v>35695</v>
      </c>
      <c r="E3525" s="1" t="s">
        <v>7114</v>
      </c>
      <c r="F3525" s="1" t="s">
        <v>4817</v>
      </c>
    </row>
    <row r="3526" spans="1:6" ht="30" customHeight="1" x14ac:dyDescent="0.25">
      <c r="A3526" s="1" t="s">
        <v>7115</v>
      </c>
      <c r="B3526" s="1" t="str">
        <f>"9780520909649"</f>
        <v>9780520909649</v>
      </c>
      <c r="C3526" s="1" t="s">
        <v>818</v>
      </c>
      <c r="D3526" s="2">
        <v>32806</v>
      </c>
      <c r="E3526" s="1" t="s">
        <v>7116</v>
      </c>
      <c r="F3526" s="1" t="s">
        <v>70</v>
      </c>
    </row>
    <row r="3527" spans="1:6" ht="30" customHeight="1" x14ac:dyDescent="0.25">
      <c r="A3527" s="1" t="s">
        <v>7117</v>
      </c>
      <c r="B3527" s="1" t="str">
        <f>"9780520931510"</f>
        <v>9780520931510</v>
      </c>
      <c r="C3527" s="1" t="s">
        <v>818</v>
      </c>
      <c r="D3527" s="2">
        <v>41773</v>
      </c>
      <c r="E3527" s="1" t="s">
        <v>7118</v>
      </c>
      <c r="F3527" s="1" t="s">
        <v>158</v>
      </c>
    </row>
    <row r="3528" spans="1:6" ht="30" customHeight="1" x14ac:dyDescent="0.25">
      <c r="A3528" s="1" t="s">
        <v>7119</v>
      </c>
      <c r="B3528" s="1" t="str">
        <f>"9780520942653"</f>
        <v>9780520942653</v>
      </c>
      <c r="C3528" s="1" t="s">
        <v>818</v>
      </c>
      <c r="D3528" s="2">
        <v>39693</v>
      </c>
      <c r="E3528" s="1" t="s">
        <v>7120</v>
      </c>
      <c r="F3528" s="1" t="s">
        <v>30</v>
      </c>
    </row>
    <row r="3529" spans="1:6" ht="30" customHeight="1" x14ac:dyDescent="0.25">
      <c r="A3529" s="1" t="s">
        <v>7121</v>
      </c>
      <c r="B3529" s="1" t="str">
        <f>"9780520941748"</f>
        <v>9780520941748</v>
      </c>
      <c r="C3529" s="1" t="s">
        <v>818</v>
      </c>
      <c r="D3529" s="2">
        <v>39022</v>
      </c>
      <c r="E3529" s="1" t="s">
        <v>7122</v>
      </c>
      <c r="F3529" s="1" t="s">
        <v>158</v>
      </c>
    </row>
    <row r="3530" spans="1:6" ht="30" customHeight="1" x14ac:dyDescent="0.25">
      <c r="A3530" s="1" t="s">
        <v>7123</v>
      </c>
      <c r="B3530" s="1" t="str">
        <f>"9781606235171"</f>
        <v>9781606235171</v>
      </c>
      <c r="C3530" s="1" t="s">
        <v>3308</v>
      </c>
      <c r="D3530" s="2">
        <v>40182</v>
      </c>
      <c r="E3530" s="1" t="s">
        <v>7124</v>
      </c>
      <c r="F3530" s="1" t="s">
        <v>13</v>
      </c>
    </row>
    <row r="3531" spans="1:6" ht="30" customHeight="1" x14ac:dyDescent="0.25">
      <c r="A3531" s="1" t="s">
        <v>7125</v>
      </c>
      <c r="B3531" s="1" t="str">
        <f>"9781606237151"</f>
        <v>9781606237151</v>
      </c>
      <c r="C3531" s="1" t="s">
        <v>3308</v>
      </c>
      <c r="D3531" s="2">
        <v>40980</v>
      </c>
      <c r="E3531" s="1" t="s">
        <v>7126</v>
      </c>
      <c r="F3531" s="1" t="s">
        <v>268</v>
      </c>
    </row>
    <row r="3532" spans="1:6" ht="30" customHeight="1" x14ac:dyDescent="0.25">
      <c r="A3532" s="1" t="s">
        <v>7127</v>
      </c>
      <c r="B3532" s="1" t="str">
        <f>"9781607504450"</f>
        <v>9781607504450</v>
      </c>
      <c r="C3532" s="1" t="s">
        <v>1390</v>
      </c>
      <c r="D3532" s="2">
        <v>39982</v>
      </c>
      <c r="E3532" s="1" t="s">
        <v>7128</v>
      </c>
      <c r="F3532" s="1" t="s">
        <v>148</v>
      </c>
    </row>
    <row r="3533" spans="1:6" ht="30" customHeight="1" x14ac:dyDescent="0.25">
      <c r="A3533" s="1" t="s">
        <v>7129</v>
      </c>
      <c r="B3533" s="1" t="str">
        <f>"9781607504382"</f>
        <v>9781607504382</v>
      </c>
      <c r="C3533" s="1" t="s">
        <v>1390</v>
      </c>
      <c r="D3533" s="2">
        <v>39975</v>
      </c>
      <c r="E3533" s="1" t="s">
        <v>7130</v>
      </c>
      <c r="F3533" s="1" t="s">
        <v>13</v>
      </c>
    </row>
    <row r="3534" spans="1:6" ht="30" customHeight="1" x14ac:dyDescent="0.25">
      <c r="A3534" s="1" t="s">
        <v>7131</v>
      </c>
      <c r="B3534" s="1" t="str">
        <f>"9781607504375"</f>
        <v>9781607504375</v>
      </c>
      <c r="C3534" s="1" t="s">
        <v>1390</v>
      </c>
      <c r="D3534" s="2">
        <v>39975</v>
      </c>
      <c r="E3534" s="1" t="s">
        <v>7132</v>
      </c>
      <c r="F3534" s="1" t="s">
        <v>70</v>
      </c>
    </row>
    <row r="3535" spans="1:6" ht="30" customHeight="1" x14ac:dyDescent="0.25">
      <c r="A3535" s="1" t="s">
        <v>7133</v>
      </c>
      <c r="B3535" s="1" t="str">
        <f>"9780226314532"</f>
        <v>9780226314532</v>
      </c>
      <c r="C3535" s="1" t="s">
        <v>5093</v>
      </c>
      <c r="D3535" s="2">
        <v>38930</v>
      </c>
      <c r="E3535" s="1" t="s">
        <v>7134</v>
      </c>
      <c r="F3535" s="1" t="s">
        <v>205</v>
      </c>
    </row>
    <row r="3536" spans="1:6" ht="30" customHeight="1" x14ac:dyDescent="0.25">
      <c r="A3536" s="1" t="s">
        <v>7135</v>
      </c>
      <c r="B3536" s="1" t="str">
        <f>"9780511656750"</f>
        <v>9780511656750</v>
      </c>
      <c r="C3536" s="1" t="s">
        <v>25</v>
      </c>
      <c r="D3536" s="2">
        <v>40147</v>
      </c>
      <c r="E3536" s="1" t="s">
        <v>7136</v>
      </c>
      <c r="F3536" s="1" t="s">
        <v>205</v>
      </c>
    </row>
    <row r="3537" spans="1:6" ht="30" customHeight="1" x14ac:dyDescent="0.25">
      <c r="A3537" s="1" t="s">
        <v>7137</v>
      </c>
      <c r="B3537" s="1" t="str">
        <f>"9780199710041"</f>
        <v>9780199710041</v>
      </c>
      <c r="C3537" s="1" t="s">
        <v>1120</v>
      </c>
      <c r="D3537" s="2">
        <v>39967</v>
      </c>
      <c r="E3537" s="1" t="s">
        <v>7138</v>
      </c>
      <c r="F3537" s="1" t="s">
        <v>13</v>
      </c>
    </row>
    <row r="3538" spans="1:6" ht="30" customHeight="1" x14ac:dyDescent="0.25">
      <c r="A3538" s="1" t="s">
        <v>7139</v>
      </c>
      <c r="B3538" s="1" t="str">
        <f>"9780191554056"</f>
        <v>9780191554056</v>
      </c>
      <c r="C3538" s="1" t="s">
        <v>1117</v>
      </c>
      <c r="D3538" s="2">
        <v>40024</v>
      </c>
      <c r="E3538" s="1" t="s">
        <v>7140</v>
      </c>
      <c r="F3538" s="1" t="s">
        <v>70</v>
      </c>
    </row>
    <row r="3539" spans="1:6" ht="30" customHeight="1" x14ac:dyDescent="0.25">
      <c r="A3539" s="1" t="s">
        <v>7141</v>
      </c>
      <c r="B3539" s="1" t="str">
        <f>"9780199750405"</f>
        <v>9780199750405</v>
      </c>
      <c r="C3539" s="1" t="s">
        <v>1120</v>
      </c>
      <c r="D3539" s="2">
        <v>39759</v>
      </c>
      <c r="E3539" s="1" t="s">
        <v>7142</v>
      </c>
      <c r="F3539" s="1" t="s">
        <v>104</v>
      </c>
    </row>
    <row r="3540" spans="1:6" ht="30" customHeight="1" x14ac:dyDescent="0.25">
      <c r="A3540" s="1" t="s">
        <v>7143</v>
      </c>
      <c r="B3540" s="1" t="str">
        <f>"9780199742448"</f>
        <v>9780199742448</v>
      </c>
      <c r="C3540" s="1" t="s">
        <v>1123</v>
      </c>
      <c r="D3540" s="2">
        <v>40204</v>
      </c>
      <c r="E3540" s="1" t="s">
        <v>7144</v>
      </c>
      <c r="F3540" s="1" t="s">
        <v>13</v>
      </c>
    </row>
    <row r="3541" spans="1:6" ht="30" customHeight="1" x14ac:dyDescent="0.25">
      <c r="A3541" s="1" t="s">
        <v>7145</v>
      </c>
      <c r="B3541" s="1" t="str">
        <f>"9780199722570"</f>
        <v>9780199722570</v>
      </c>
      <c r="C3541" s="1" t="s">
        <v>1120</v>
      </c>
      <c r="D3541" s="2">
        <v>40210</v>
      </c>
      <c r="E3541" s="1" t="s">
        <v>7146</v>
      </c>
      <c r="F3541" s="1" t="s">
        <v>13</v>
      </c>
    </row>
    <row r="3542" spans="1:6" ht="30" customHeight="1" x14ac:dyDescent="0.25">
      <c r="A3542" s="1" t="s">
        <v>7147</v>
      </c>
      <c r="B3542" s="1" t="str">
        <f>"9780191571701"</f>
        <v>9780191571701</v>
      </c>
      <c r="C3542" s="1" t="s">
        <v>1120</v>
      </c>
      <c r="D3542" s="2">
        <v>40094</v>
      </c>
      <c r="E3542" s="1" t="s">
        <v>7148</v>
      </c>
      <c r="F3542" s="1" t="s">
        <v>214</v>
      </c>
    </row>
    <row r="3543" spans="1:6" ht="30" customHeight="1" x14ac:dyDescent="0.25">
      <c r="A3543" s="1" t="s">
        <v>7149</v>
      </c>
      <c r="B3543" s="1" t="str">
        <f>"9780191549403"</f>
        <v>9780191549403</v>
      </c>
      <c r="C3543" s="1" t="s">
        <v>1117</v>
      </c>
      <c r="D3543" s="2">
        <v>39989</v>
      </c>
      <c r="E3543" s="1" t="s">
        <v>7150</v>
      </c>
      <c r="F3543" s="1" t="s">
        <v>63</v>
      </c>
    </row>
    <row r="3544" spans="1:6" ht="30" customHeight="1" x14ac:dyDescent="0.25">
      <c r="A3544" s="1" t="s">
        <v>7151</v>
      </c>
      <c r="B3544" s="1" t="str">
        <f>"9780191571596"</f>
        <v>9780191571596</v>
      </c>
      <c r="C3544" s="1" t="s">
        <v>1120</v>
      </c>
      <c r="D3544" s="2">
        <v>40094</v>
      </c>
      <c r="E3544" s="1" t="s">
        <v>7152</v>
      </c>
      <c r="F3544" s="1" t="s">
        <v>13</v>
      </c>
    </row>
    <row r="3545" spans="1:6" ht="30" customHeight="1" x14ac:dyDescent="0.25">
      <c r="A3545" s="1" t="s">
        <v>7153</v>
      </c>
      <c r="B3545" s="1" t="str">
        <f>"9780191571268"</f>
        <v>9780191571268</v>
      </c>
      <c r="C3545" s="1" t="s">
        <v>1120</v>
      </c>
      <c r="D3545" s="2">
        <v>40066</v>
      </c>
      <c r="E3545" s="1" t="s">
        <v>7154</v>
      </c>
      <c r="F3545" s="1" t="s">
        <v>13</v>
      </c>
    </row>
    <row r="3546" spans="1:6" ht="30" customHeight="1" x14ac:dyDescent="0.25">
      <c r="A3546" s="1" t="s">
        <v>7155</v>
      </c>
      <c r="B3546" s="1" t="str">
        <f>"9780191571800"</f>
        <v>9780191571800</v>
      </c>
      <c r="C3546" s="1" t="s">
        <v>1120</v>
      </c>
      <c r="D3546" s="2">
        <v>40094</v>
      </c>
      <c r="E3546" s="1" t="s">
        <v>7156</v>
      </c>
      <c r="F3546" s="1" t="s">
        <v>13</v>
      </c>
    </row>
    <row r="3547" spans="1:6" ht="30" customHeight="1" x14ac:dyDescent="0.25">
      <c r="A3547" s="1" t="s">
        <v>7157</v>
      </c>
      <c r="B3547" s="1" t="str">
        <f>"9780199741472"</f>
        <v>9780199741472</v>
      </c>
      <c r="C3547" s="1" t="s">
        <v>1120</v>
      </c>
      <c r="D3547" s="2">
        <v>40114</v>
      </c>
      <c r="E3547" s="1" t="s">
        <v>7158</v>
      </c>
      <c r="F3547" s="1" t="s">
        <v>13</v>
      </c>
    </row>
    <row r="3548" spans="1:6" ht="30" customHeight="1" x14ac:dyDescent="0.25">
      <c r="A3548" s="1" t="s">
        <v>7159</v>
      </c>
      <c r="B3548" s="1" t="str">
        <f>"9780191552687"</f>
        <v>9780191552687</v>
      </c>
      <c r="C3548" s="1" t="s">
        <v>1117</v>
      </c>
      <c r="D3548" s="2">
        <v>39870</v>
      </c>
      <c r="E3548" s="1" t="s">
        <v>7160</v>
      </c>
      <c r="F3548" s="1" t="s">
        <v>176</v>
      </c>
    </row>
    <row r="3549" spans="1:6" ht="30" customHeight="1" x14ac:dyDescent="0.25">
      <c r="A3549" s="1" t="s">
        <v>7161</v>
      </c>
      <c r="B3549" s="1" t="str">
        <f>"9780815701972"</f>
        <v>9780815701972</v>
      </c>
      <c r="C3549" s="1" t="s">
        <v>1509</v>
      </c>
      <c r="D3549" s="2">
        <v>39758</v>
      </c>
      <c r="E3549" s="1" t="s">
        <v>7162</v>
      </c>
      <c r="F3549" s="1" t="s">
        <v>7163</v>
      </c>
    </row>
    <row r="3550" spans="1:6" ht="30" customHeight="1" x14ac:dyDescent="0.25">
      <c r="A3550" s="1" t="s">
        <v>7164</v>
      </c>
      <c r="B3550" s="1" t="str">
        <f>"9780815701507"</f>
        <v>9780815701507</v>
      </c>
      <c r="C3550" s="1" t="s">
        <v>1509</v>
      </c>
      <c r="D3550" s="2">
        <v>40118</v>
      </c>
      <c r="E3550" s="1" t="s">
        <v>7165</v>
      </c>
      <c r="F3550" s="1" t="s">
        <v>95</v>
      </c>
    </row>
    <row r="3551" spans="1:6" ht="30" customHeight="1" x14ac:dyDescent="0.25">
      <c r="A3551" s="1" t="s">
        <v>7166</v>
      </c>
      <c r="B3551" s="1" t="str">
        <f>"9780815703471"</f>
        <v>9780815703471</v>
      </c>
      <c r="C3551" s="1" t="s">
        <v>1509</v>
      </c>
      <c r="D3551" s="2">
        <v>39904</v>
      </c>
      <c r="E3551" s="1" t="s">
        <v>7167</v>
      </c>
      <c r="F3551" s="1" t="s">
        <v>13</v>
      </c>
    </row>
    <row r="3552" spans="1:6" ht="30" customHeight="1" x14ac:dyDescent="0.25">
      <c r="A3552" s="1" t="s">
        <v>7168</v>
      </c>
      <c r="B3552" s="1" t="str">
        <f>"9780815701996"</f>
        <v>9780815701996</v>
      </c>
      <c r="C3552" s="1" t="s">
        <v>1509</v>
      </c>
      <c r="D3552" s="2">
        <v>39661</v>
      </c>
      <c r="E3552" s="1" t="s">
        <v>7169</v>
      </c>
      <c r="F3552" s="1" t="s">
        <v>30</v>
      </c>
    </row>
    <row r="3553" spans="1:6" ht="30" customHeight="1" x14ac:dyDescent="0.25">
      <c r="A3553" s="1" t="s">
        <v>7170</v>
      </c>
      <c r="B3553" s="1" t="str">
        <f>"9781886941953"</f>
        <v>9781886941953</v>
      </c>
      <c r="C3553" s="1" t="s">
        <v>7171</v>
      </c>
      <c r="D3553" s="2">
        <v>38718</v>
      </c>
      <c r="E3553" s="1" t="s">
        <v>7172</v>
      </c>
      <c r="F3553" s="1" t="s">
        <v>406</v>
      </c>
    </row>
    <row r="3554" spans="1:6" ht="30" customHeight="1" x14ac:dyDescent="0.25">
      <c r="A3554" s="1" t="s">
        <v>7173</v>
      </c>
      <c r="B3554" s="1" t="str">
        <f>"9789062998500"</f>
        <v>9789062998500</v>
      </c>
      <c r="C3554" s="1" t="s">
        <v>3412</v>
      </c>
      <c r="D3554" s="2">
        <v>39993</v>
      </c>
      <c r="E3554" s="1" t="s">
        <v>7174</v>
      </c>
      <c r="F3554" s="1" t="s">
        <v>13</v>
      </c>
    </row>
    <row r="3555" spans="1:6" ht="30" customHeight="1" x14ac:dyDescent="0.25">
      <c r="A3555" s="1" t="s">
        <v>7175</v>
      </c>
      <c r="B3555" s="1" t="str">
        <f>"9789048511464"</f>
        <v>9789048511464</v>
      </c>
      <c r="C3555" s="1" t="s">
        <v>5455</v>
      </c>
      <c r="D3555" s="2">
        <v>39814</v>
      </c>
      <c r="E3555" s="1" t="s">
        <v>7176</v>
      </c>
      <c r="F3555" s="1" t="s">
        <v>4264</v>
      </c>
    </row>
    <row r="3556" spans="1:6" ht="30" customHeight="1" x14ac:dyDescent="0.25">
      <c r="A3556" s="1" t="s">
        <v>7177</v>
      </c>
      <c r="B3556" s="1" t="str">
        <f>"9789048511396"</f>
        <v>9789048511396</v>
      </c>
      <c r="C3556" s="1" t="s">
        <v>5455</v>
      </c>
      <c r="D3556" s="2">
        <v>39814</v>
      </c>
      <c r="E3556" s="1" t="s">
        <v>7178</v>
      </c>
      <c r="F3556" s="1" t="s">
        <v>13</v>
      </c>
    </row>
    <row r="3557" spans="1:6" ht="30" customHeight="1" x14ac:dyDescent="0.25">
      <c r="A3557" s="1" t="s">
        <v>7179</v>
      </c>
      <c r="B3557" s="1" t="str">
        <f>"9781410609281"</f>
        <v>9781410609281</v>
      </c>
      <c r="C3557" s="1" t="s">
        <v>68</v>
      </c>
      <c r="D3557" s="2">
        <v>37911</v>
      </c>
      <c r="E3557" s="1" t="s">
        <v>7180</v>
      </c>
      <c r="F3557" s="1" t="s">
        <v>13</v>
      </c>
    </row>
    <row r="3558" spans="1:6" ht="30" customHeight="1" x14ac:dyDescent="0.25">
      <c r="A3558" s="1" t="s">
        <v>7181</v>
      </c>
      <c r="B3558" s="1" t="str">
        <f>"9781847423702"</f>
        <v>9781847423702</v>
      </c>
      <c r="C3558" s="1" t="s">
        <v>5446</v>
      </c>
      <c r="D3558" s="2">
        <v>39883</v>
      </c>
      <c r="E3558" s="1" t="s">
        <v>7182</v>
      </c>
      <c r="F3558" s="1" t="s">
        <v>95</v>
      </c>
    </row>
    <row r="3559" spans="1:6" ht="30" customHeight="1" x14ac:dyDescent="0.25">
      <c r="A3559" s="1" t="s">
        <v>7183</v>
      </c>
      <c r="B3559" s="1" t="str">
        <f>"9781847423221"</f>
        <v>9781847423221</v>
      </c>
      <c r="C3559" s="1" t="s">
        <v>5446</v>
      </c>
      <c r="D3559" s="2">
        <v>39925</v>
      </c>
      <c r="E3559" s="1" t="s">
        <v>7184</v>
      </c>
      <c r="F3559" s="1" t="s">
        <v>95</v>
      </c>
    </row>
    <row r="3560" spans="1:6" ht="30" customHeight="1" x14ac:dyDescent="0.25">
      <c r="A3560" s="1" t="s">
        <v>7185</v>
      </c>
      <c r="B3560" s="1" t="str">
        <f>"9780826110978"</f>
        <v>9780826110978</v>
      </c>
      <c r="C3560" s="1" t="s">
        <v>2339</v>
      </c>
      <c r="D3560" s="2">
        <v>40513</v>
      </c>
      <c r="E3560" s="1" t="s">
        <v>7186</v>
      </c>
      <c r="F3560" s="1" t="s">
        <v>13</v>
      </c>
    </row>
    <row r="3561" spans="1:6" ht="30" customHeight="1" x14ac:dyDescent="0.25">
      <c r="A3561" s="1" t="s">
        <v>7187</v>
      </c>
      <c r="B3561" s="1" t="str">
        <f>"9780826104731"</f>
        <v>9780826104731</v>
      </c>
      <c r="C3561" s="1" t="s">
        <v>2339</v>
      </c>
      <c r="D3561" s="2">
        <v>34700</v>
      </c>
      <c r="E3561" s="1" t="s">
        <v>7188</v>
      </c>
      <c r="F3561" s="1" t="s">
        <v>13</v>
      </c>
    </row>
    <row r="3562" spans="1:6" ht="30" customHeight="1" x14ac:dyDescent="0.25">
      <c r="A3562" s="1" t="s">
        <v>7189</v>
      </c>
      <c r="B3562" s="1" t="str">
        <f>"9780826121523"</f>
        <v>9780826121523</v>
      </c>
      <c r="C3562" s="1" t="s">
        <v>2339</v>
      </c>
      <c r="D3562" s="2">
        <v>40513</v>
      </c>
      <c r="E3562" s="1" t="s">
        <v>7190</v>
      </c>
      <c r="F3562" s="1" t="s">
        <v>95</v>
      </c>
    </row>
    <row r="3563" spans="1:6" ht="30" customHeight="1" x14ac:dyDescent="0.25">
      <c r="A3563" s="1" t="s">
        <v>7191</v>
      </c>
      <c r="B3563" s="1" t="str">
        <f>"9780826121387"</f>
        <v>9780826121387</v>
      </c>
      <c r="C3563" s="1" t="s">
        <v>2339</v>
      </c>
      <c r="D3563" s="2">
        <v>33239</v>
      </c>
      <c r="E3563" s="1" t="s">
        <v>3011</v>
      </c>
      <c r="F3563" s="1" t="s">
        <v>13</v>
      </c>
    </row>
    <row r="3564" spans="1:6" ht="30" customHeight="1" x14ac:dyDescent="0.25">
      <c r="A3564" s="1" t="s">
        <v>7192</v>
      </c>
      <c r="B3564" s="1" t="str">
        <f>"9780826104571"</f>
        <v>9780826104571</v>
      </c>
      <c r="C3564" s="1" t="s">
        <v>2339</v>
      </c>
      <c r="D3564" s="2">
        <v>40513</v>
      </c>
      <c r="E3564" s="1" t="s">
        <v>7193</v>
      </c>
      <c r="F3564" s="1" t="s">
        <v>126</v>
      </c>
    </row>
    <row r="3565" spans="1:6" ht="30" customHeight="1" x14ac:dyDescent="0.25">
      <c r="A3565" s="1" t="s">
        <v>7194</v>
      </c>
      <c r="B3565" s="1" t="str">
        <f>"9780826124296"</f>
        <v>9780826124296</v>
      </c>
      <c r="C3565" s="1" t="s">
        <v>2339</v>
      </c>
      <c r="D3565" s="2">
        <v>40513</v>
      </c>
      <c r="E3565" s="1" t="s">
        <v>7195</v>
      </c>
      <c r="F3565" s="1" t="s">
        <v>126</v>
      </c>
    </row>
    <row r="3566" spans="1:6" ht="30" customHeight="1" x14ac:dyDescent="0.25">
      <c r="A3566" s="1" t="s">
        <v>7196</v>
      </c>
      <c r="B3566" s="1" t="str">
        <f>"9780826105165"</f>
        <v>9780826105165</v>
      </c>
      <c r="C3566" s="1" t="s">
        <v>2339</v>
      </c>
      <c r="D3566" s="2">
        <v>40513</v>
      </c>
      <c r="E3566" s="1" t="s">
        <v>7197</v>
      </c>
      <c r="F3566" s="1" t="s">
        <v>126</v>
      </c>
    </row>
    <row r="3567" spans="1:6" ht="30" customHeight="1" x14ac:dyDescent="0.25">
      <c r="A3567" s="1" t="s">
        <v>7198</v>
      </c>
      <c r="B3567" s="1" t="str">
        <f>"9780826110954"</f>
        <v>9780826110954</v>
      </c>
      <c r="C3567" s="1" t="s">
        <v>2339</v>
      </c>
      <c r="D3567" s="2">
        <v>40154</v>
      </c>
      <c r="E3567" s="1" t="s">
        <v>7199</v>
      </c>
      <c r="F3567" s="1" t="s">
        <v>95</v>
      </c>
    </row>
    <row r="3568" spans="1:6" ht="30" customHeight="1" x14ac:dyDescent="0.25">
      <c r="A3568" s="1" t="s">
        <v>7200</v>
      </c>
      <c r="B3568" s="1" t="str">
        <f>"9780807895474"</f>
        <v>9780807895474</v>
      </c>
      <c r="C3568" s="1" t="s">
        <v>6600</v>
      </c>
      <c r="D3568" s="2">
        <v>40118</v>
      </c>
      <c r="E3568" s="1" t="s">
        <v>7201</v>
      </c>
      <c r="F3568" s="1" t="s">
        <v>95</v>
      </c>
    </row>
    <row r="3569" spans="1:6" ht="30" customHeight="1" x14ac:dyDescent="0.25">
      <c r="A3569" s="1" t="s">
        <v>7202</v>
      </c>
      <c r="B3569" s="1" t="str">
        <f>"9780807898925"</f>
        <v>9780807898925</v>
      </c>
      <c r="C3569" s="1" t="s">
        <v>4843</v>
      </c>
      <c r="D3569" s="2">
        <v>37257</v>
      </c>
      <c r="E3569" s="1" t="s">
        <v>7203</v>
      </c>
      <c r="F3569" s="1" t="s">
        <v>30</v>
      </c>
    </row>
    <row r="3570" spans="1:6" ht="30" customHeight="1" x14ac:dyDescent="0.25">
      <c r="A3570" s="1" t="s">
        <v>7204</v>
      </c>
      <c r="B3570" s="1" t="str">
        <f>"9780807887837"</f>
        <v>9780807887837</v>
      </c>
      <c r="C3570" s="1" t="s">
        <v>4843</v>
      </c>
      <c r="D3570" s="2">
        <v>39814</v>
      </c>
      <c r="E3570" s="1" t="s">
        <v>7205</v>
      </c>
      <c r="F3570" s="1" t="s">
        <v>304</v>
      </c>
    </row>
    <row r="3571" spans="1:6" ht="30" customHeight="1" x14ac:dyDescent="0.25">
      <c r="A3571" s="1" t="s">
        <v>7206</v>
      </c>
      <c r="B3571" s="1" t="str">
        <f>"9780807898673"</f>
        <v>9780807898673</v>
      </c>
      <c r="C3571" s="1" t="s">
        <v>6600</v>
      </c>
      <c r="D3571" s="2">
        <v>40148</v>
      </c>
      <c r="E3571" s="1" t="s">
        <v>7207</v>
      </c>
      <c r="F3571" s="1" t="s">
        <v>205</v>
      </c>
    </row>
    <row r="3572" spans="1:6" ht="30" customHeight="1" x14ac:dyDescent="0.25">
      <c r="A3572" s="1" t="s">
        <v>7208</v>
      </c>
      <c r="B3572" s="1" t="str">
        <f>"9780817381585"</f>
        <v>9780817381585</v>
      </c>
      <c r="C3572" s="1" t="s">
        <v>6589</v>
      </c>
      <c r="D3572" s="2">
        <v>39814</v>
      </c>
      <c r="E3572" s="1" t="s">
        <v>7209</v>
      </c>
      <c r="F3572" s="1" t="s">
        <v>148</v>
      </c>
    </row>
    <row r="3573" spans="1:6" ht="30" customHeight="1" x14ac:dyDescent="0.25">
      <c r="A3573" s="1" t="s">
        <v>7210</v>
      </c>
      <c r="B3573" s="1" t="str">
        <f>"9789814484442"</f>
        <v>9789814484442</v>
      </c>
      <c r="C3573" s="1" t="s">
        <v>7211</v>
      </c>
      <c r="D3573" s="2">
        <v>39814</v>
      </c>
      <c r="E3573" s="1" t="s">
        <v>7212</v>
      </c>
      <c r="F3573" s="1" t="s">
        <v>33</v>
      </c>
    </row>
    <row r="3574" spans="1:6" ht="30" customHeight="1" x14ac:dyDescent="0.25">
      <c r="A3574" s="1" t="s">
        <v>7213</v>
      </c>
      <c r="B3574" s="1" t="str">
        <f>"9781400831180"</f>
        <v>9781400831180</v>
      </c>
      <c r="C3574" s="1" t="s">
        <v>6462</v>
      </c>
      <c r="D3574" s="2">
        <v>36892</v>
      </c>
      <c r="E3574" s="1" t="s">
        <v>7214</v>
      </c>
      <c r="F3574" s="1" t="s">
        <v>13</v>
      </c>
    </row>
    <row r="3575" spans="1:6" ht="30" customHeight="1" x14ac:dyDescent="0.25">
      <c r="A3575" s="1" t="s">
        <v>7215</v>
      </c>
      <c r="B3575" s="1" t="str">
        <f>"9789240684010"</f>
        <v>9789240684010</v>
      </c>
      <c r="C3575" s="1" t="s">
        <v>1981</v>
      </c>
      <c r="D3575" s="2">
        <v>39448</v>
      </c>
      <c r="E3575" s="1" t="s">
        <v>7216</v>
      </c>
      <c r="F3575" s="1" t="s">
        <v>2976</v>
      </c>
    </row>
    <row r="3576" spans="1:6" ht="30" customHeight="1" x14ac:dyDescent="0.25">
      <c r="A3576" s="1" t="s">
        <v>7217</v>
      </c>
      <c r="B3576" s="1" t="str">
        <f>"9789240684157"</f>
        <v>9789240684157</v>
      </c>
      <c r="C3576" s="1" t="s">
        <v>1981</v>
      </c>
      <c r="D3576" s="2">
        <v>39814</v>
      </c>
      <c r="E3576" s="1" t="s">
        <v>7218</v>
      </c>
      <c r="F3576" s="1" t="s">
        <v>356</v>
      </c>
    </row>
    <row r="3577" spans="1:6" ht="30" customHeight="1" x14ac:dyDescent="0.25">
      <c r="A3577" s="1" t="s">
        <v>7219</v>
      </c>
      <c r="B3577" s="1" t="str">
        <f>"9789240684270"</f>
        <v>9789240684270</v>
      </c>
      <c r="C3577" s="1" t="s">
        <v>1981</v>
      </c>
      <c r="D3577" s="2">
        <v>39814</v>
      </c>
      <c r="E3577" s="1" t="s">
        <v>7220</v>
      </c>
      <c r="F3577" s="1" t="s">
        <v>176</v>
      </c>
    </row>
    <row r="3578" spans="1:6" ht="30" customHeight="1" x14ac:dyDescent="0.25">
      <c r="A3578" s="1" t="s">
        <v>7221</v>
      </c>
      <c r="B3578" s="1" t="str">
        <f>"9789240684263"</f>
        <v>9789240684263</v>
      </c>
      <c r="C3578" s="1" t="s">
        <v>1981</v>
      </c>
      <c r="D3578" s="2">
        <v>39814</v>
      </c>
      <c r="E3578" s="1" t="s">
        <v>1981</v>
      </c>
      <c r="F3578" s="1" t="s">
        <v>7222</v>
      </c>
    </row>
    <row r="3579" spans="1:6" ht="30" customHeight="1" x14ac:dyDescent="0.25">
      <c r="A3579" s="1" t="s">
        <v>7223</v>
      </c>
      <c r="B3579" s="1" t="str">
        <f>"9789240684195"</f>
        <v>9789240684195</v>
      </c>
      <c r="C3579" s="1" t="s">
        <v>1981</v>
      </c>
      <c r="D3579" s="2">
        <v>39814</v>
      </c>
      <c r="E3579" s="1" t="s">
        <v>1981</v>
      </c>
      <c r="F3579" s="1" t="s">
        <v>70</v>
      </c>
    </row>
    <row r="3580" spans="1:6" ht="30" customHeight="1" x14ac:dyDescent="0.25">
      <c r="A3580" s="1" t="s">
        <v>7224</v>
      </c>
      <c r="B3580" s="1" t="str">
        <f>"9789240684225"</f>
        <v>9789240684225</v>
      </c>
      <c r="C3580" s="1" t="s">
        <v>1981</v>
      </c>
      <c r="D3580" s="2">
        <v>39814</v>
      </c>
      <c r="E3580" s="1" t="s">
        <v>1981</v>
      </c>
      <c r="F3580" s="1" t="s">
        <v>95</v>
      </c>
    </row>
    <row r="3581" spans="1:6" ht="30" customHeight="1" x14ac:dyDescent="0.25">
      <c r="A3581" s="1" t="s">
        <v>7225</v>
      </c>
      <c r="B3581" s="1" t="str">
        <f>"9789240684232"</f>
        <v>9789240684232</v>
      </c>
      <c r="C3581" s="1" t="s">
        <v>1981</v>
      </c>
      <c r="D3581" s="2">
        <v>39814</v>
      </c>
      <c r="E3581" s="1" t="s">
        <v>1981</v>
      </c>
      <c r="F3581" s="1" t="s">
        <v>13</v>
      </c>
    </row>
    <row r="3582" spans="1:6" ht="30" customHeight="1" x14ac:dyDescent="0.25">
      <c r="A3582" s="1" t="s">
        <v>7226</v>
      </c>
      <c r="B3582" s="1" t="str">
        <f>"9789240683990"</f>
        <v>9789240683990</v>
      </c>
      <c r="C3582" s="1" t="s">
        <v>1981</v>
      </c>
      <c r="D3582" s="2">
        <v>39814</v>
      </c>
      <c r="E3582" s="1" t="s">
        <v>1981</v>
      </c>
      <c r="F3582" s="1" t="s">
        <v>356</v>
      </c>
    </row>
    <row r="3583" spans="1:6" ht="30" customHeight="1" x14ac:dyDescent="0.25">
      <c r="A3583" s="1" t="s">
        <v>7227</v>
      </c>
      <c r="B3583" s="1" t="str">
        <f>"9789240684171"</f>
        <v>9789240684171</v>
      </c>
      <c r="C3583" s="1" t="s">
        <v>1981</v>
      </c>
      <c r="D3583" s="2">
        <v>39814</v>
      </c>
      <c r="E3583" s="1" t="s">
        <v>1981</v>
      </c>
      <c r="F3583" s="1" t="s">
        <v>13</v>
      </c>
    </row>
    <row r="3584" spans="1:6" ht="30" customHeight="1" x14ac:dyDescent="0.25">
      <c r="A3584" s="1" t="s">
        <v>7228</v>
      </c>
      <c r="B3584" s="1" t="str">
        <f>"9789240684188"</f>
        <v>9789240684188</v>
      </c>
      <c r="C3584" s="1" t="s">
        <v>1981</v>
      </c>
      <c r="D3584" s="2">
        <v>39814</v>
      </c>
      <c r="E3584" s="1" t="s">
        <v>1981</v>
      </c>
      <c r="F3584" s="1" t="s">
        <v>95</v>
      </c>
    </row>
    <row r="3585" spans="1:6" ht="30" customHeight="1" x14ac:dyDescent="0.25">
      <c r="A3585" s="1" t="s">
        <v>7229</v>
      </c>
      <c r="B3585" s="1" t="str">
        <f>"9789240685635"</f>
        <v>9789240685635</v>
      </c>
      <c r="C3585" s="1" t="s">
        <v>1981</v>
      </c>
      <c r="D3585" s="2">
        <v>39814</v>
      </c>
      <c r="E3585" s="1" t="s">
        <v>1981</v>
      </c>
      <c r="F3585" s="1" t="s">
        <v>87</v>
      </c>
    </row>
    <row r="3586" spans="1:6" ht="30" customHeight="1" x14ac:dyDescent="0.25">
      <c r="A3586" s="1" t="s">
        <v>7230</v>
      </c>
      <c r="B3586" s="1" t="str">
        <f>"9789240684140"</f>
        <v>9789240684140</v>
      </c>
      <c r="C3586" s="1" t="s">
        <v>1981</v>
      </c>
      <c r="D3586" s="2">
        <v>39814</v>
      </c>
      <c r="E3586" s="1" t="s">
        <v>1981</v>
      </c>
      <c r="F3586" s="1" t="s">
        <v>158</v>
      </c>
    </row>
    <row r="3587" spans="1:6" ht="30" customHeight="1" x14ac:dyDescent="0.25">
      <c r="A3587" s="1" t="s">
        <v>7231</v>
      </c>
      <c r="B3587" s="1" t="str">
        <f>"9789240684287"</f>
        <v>9789240684287</v>
      </c>
      <c r="C3587" s="1" t="s">
        <v>1981</v>
      </c>
      <c r="D3587" s="2">
        <v>39814</v>
      </c>
      <c r="E3587" s="1" t="s">
        <v>7232</v>
      </c>
      <c r="F3587" s="1" t="s">
        <v>3753</v>
      </c>
    </row>
    <row r="3588" spans="1:6" ht="30" customHeight="1" x14ac:dyDescent="0.25">
      <c r="A3588" s="1" t="s">
        <v>7233</v>
      </c>
      <c r="B3588" s="1" t="str">
        <f>"9789240684201"</f>
        <v>9789240684201</v>
      </c>
      <c r="C3588" s="1" t="s">
        <v>1981</v>
      </c>
      <c r="D3588" s="2">
        <v>39814</v>
      </c>
      <c r="E3588" s="1" t="s">
        <v>1981</v>
      </c>
      <c r="F3588" s="1" t="s">
        <v>70</v>
      </c>
    </row>
    <row r="3589" spans="1:6" ht="30" customHeight="1" x14ac:dyDescent="0.25">
      <c r="A3589" s="1" t="s">
        <v>7234</v>
      </c>
      <c r="B3589" s="1" t="str">
        <f>"9789240684218"</f>
        <v>9789240684218</v>
      </c>
      <c r="C3589" s="1" t="s">
        <v>1981</v>
      </c>
      <c r="D3589" s="2">
        <v>39814</v>
      </c>
      <c r="E3589" s="1" t="s">
        <v>1981</v>
      </c>
      <c r="F3589" s="1" t="s">
        <v>7235</v>
      </c>
    </row>
    <row r="3590" spans="1:6" ht="30" customHeight="1" x14ac:dyDescent="0.25">
      <c r="A3590" s="1" t="s">
        <v>7236</v>
      </c>
      <c r="B3590" s="1" t="str">
        <f>"9789240684133"</f>
        <v>9789240684133</v>
      </c>
      <c r="C3590" s="1" t="s">
        <v>1981</v>
      </c>
      <c r="D3590" s="2">
        <v>39814</v>
      </c>
      <c r="E3590" s="1" t="s">
        <v>7237</v>
      </c>
      <c r="F3590" s="1" t="s">
        <v>114</v>
      </c>
    </row>
    <row r="3591" spans="1:6" ht="30" customHeight="1" x14ac:dyDescent="0.25">
      <c r="A3591" s="1" t="s">
        <v>7238</v>
      </c>
      <c r="B3591" s="1" t="str">
        <f>"9789240684164"</f>
        <v>9789240684164</v>
      </c>
      <c r="C3591" s="1" t="s">
        <v>1981</v>
      </c>
      <c r="D3591" s="2">
        <v>39814</v>
      </c>
      <c r="E3591" s="1" t="s">
        <v>1981</v>
      </c>
      <c r="F3591" s="1" t="s">
        <v>7239</v>
      </c>
    </row>
    <row r="3592" spans="1:6" ht="30" customHeight="1" x14ac:dyDescent="0.25">
      <c r="A3592" s="1" t="s">
        <v>7240</v>
      </c>
      <c r="B3592" s="1" t="str">
        <f>"9789240684249"</f>
        <v>9789240684249</v>
      </c>
      <c r="C3592" s="1" t="s">
        <v>1981</v>
      </c>
      <c r="D3592" s="2">
        <v>39814</v>
      </c>
      <c r="E3592" s="1" t="s">
        <v>1981</v>
      </c>
      <c r="F3592" s="1" t="s">
        <v>137</v>
      </c>
    </row>
    <row r="3593" spans="1:6" ht="30" customHeight="1" x14ac:dyDescent="0.25">
      <c r="A3593" s="1" t="s">
        <v>7241</v>
      </c>
      <c r="B3593" s="1" t="str">
        <f>"9780821380789"</f>
        <v>9780821380789</v>
      </c>
      <c r="C3593" s="1" t="s">
        <v>6702</v>
      </c>
      <c r="D3593" s="2">
        <v>40133</v>
      </c>
      <c r="E3593" s="1" t="s">
        <v>7242</v>
      </c>
      <c r="F3593" s="1" t="s">
        <v>95</v>
      </c>
    </row>
    <row r="3594" spans="1:6" ht="30" customHeight="1" x14ac:dyDescent="0.25">
      <c r="A3594" s="1" t="s">
        <v>7243</v>
      </c>
      <c r="B3594" s="1" t="str">
        <f>"9780821380079"</f>
        <v>9780821380079</v>
      </c>
      <c r="C3594" s="1" t="s">
        <v>6702</v>
      </c>
      <c r="D3594" s="2">
        <v>40028</v>
      </c>
      <c r="E3594" s="1" t="s">
        <v>7244</v>
      </c>
      <c r="F3594" s="1" t="s">
        <v>342</v>
      </c>
    </row>
    <row r="3595" spans="1:6" ht="30" customHeight="1" x14ac:dyDescent="0.25">
      <c r="A3595" s="1" t="s">
        <v>7245</v>
      </c>
      <c r="B3595" s="1" t="str">
        <f>"9780821379011"</f>
        <v>9780821379011</v>
      </c>
      <c r="C3595" s="1" t="s">
        <v>6702</v>
      </c>
      <c r="D3595" s="2">
        <v>39861</v>
      </c>
      <c r="E3595" s="1" t="s">
        <v>7246</v>
      </c>
      <c r="F3595" s="1" t="s">
        <v>95</v>
      </c>
    </row>
    <row r="3596" spans="1:6" ht="30" customHeight="1" x14ac:dyDescent="0.25">
      <c r="A3596" s="1" t="s">
        <v>7247</v>
      </c>
      <c r="B3596" s="1" t="str">
        <f>"9780821376775"</f>
        <v>9780821376775</v>
      </c>
      <c r="C3596" s="1" t="s">
        <v>6702</v>
      </c>
      <c r="D3596" s="2">
        <v>40135</v>
      </c>
      <c r="E3596" s="1" t="s">
        <v>7248</v>
      </c>
      <c r="F3596" s="1" t="s">
        <v>95</v>
      </c>
    </row>
    <row r="3597" spans="1:6" ht="30" customHeight="1" x14ac:dyDescent="0.25">
      <c r="A3597" s="1" t="s">
        <v>7249</v>
      </c>
      <c r="B3597" s="1" t="str">
        <f>"9780754698678"</f>
        <v>9780754698678</v>
      </c>
      <c r="C3597" s="1" t="s">
        <v>93</v>
      </c>
      <c r="D3597" s="2">
        <v>40118</v>
      </c>
      <c r="E3597" s="1" t="s">
        <v>7250</v>
      </c>
      <c r="F3597" s="1" t="s">
        <v>95</v>
      </c>
    </row>
    <row r="3598" spans="1:6" ht="30" customHeight="1" x14ac:dyDescent="0.25">
      <c r="A3598" s="1" t="s">
        <v>7251</v>
      </c>
      <c r="B3598" s="1" t="str">
        <f>"9780754697831"</f>
        <v>9780754697831</v>
      </c>
      <c r="C3598" s="1" t="s">
        <v>68</v>
      </c>
      <c r="D3598" s="2">
        <v>40179</v>
      </c>
      <c r="E3598" s="1" t="s">
        <v>7252</v>
      </c>
      <c r="F3598" s="1" t="s">
        <v>5085</v>
      </c>
    </row>
    <row r="3599" spans="1:6" ht="30" customHeight="1" x14ac:dyDescent="0.25">
      <c r="A3599" s="1" t="s">
        <v>7253</v>
      </c>
      <c r="B3599" s="1" t="str">
        <f>"9781555815554"</f>
        <v>9781555815554</v>
      </c>
      <c r="C3599" s="1" t="s">
        <v>7254</v>
      </c>
      <c r="D3599" s="2">
        <v>39448</v>
      </c>
      <c r="E3599" s="1" t="s">
        <v>7255</v>
      </c>
      <c r="F3599" s="1" t="s">
        <v>3911</v>
      </c>
    </row>
    <row r="3600" spans="1:6" ht="30" customHeight="1" x14ac:dyDescent="0.25">
      <c r="A3600" s="1" t="s">
        <v>7256</v>
      </c>
      <c r="B3600" s="1" t="str">
        <f>"9781555815738"</f>
        <v>9781555815738</v>
      </c>
      <c r="C3600" s="1" t="s">
        <v>7254</v>
      </c>
      <c r="D3600" s="2">
        <v>39448</v>
      </c>
      <c r="E3600" s="1" t="s">
        <v>7257</v>
      </c>
      <c r="F3600" s="1" t="s">
        <v>349</v>
      </c>
    </row>
    <row r="3601" spans="1:6" ht="30" customHeight="1" x14ac:dyDescent="0.25">
      <c r="A3601" s="1" t="s">
        <v>7258</v>
      </c>
      <c r="B3601" s="1" t="str">
        <f>"9781555815486"</f>
        <v>9781555815486</v>
      </c>
      <c r="C3601" s="1" t="s">
        <v>7254</v>
      </c>
      <c r="D3601" s="2">
        <v>39814</v>
      </c>
      <c r="E3601" s="1" t="s">
        <v>7259</v>
      </c>
      <c r="F3601" s="1" t="s">
        <v>13</v>
      </c>
    </row>
    <row r="3602" spans="1:6" ht="30" customHeight="1" x14ac:dyDescent="0.25">
      <c r="A3602" s="1" t="s">
        <v>7260</v>
      </c>
      <c r="B3602" s="1" t="str">
        <f>"9781555815639"</f>
        <v>9781555815639</v>
      </c>
      <c r="C3602" s="1" t="s">
        <v>7254</v>
      </c>
      <c r="D3602" s="2">
        <v>39448</v>
      </c>
      <c r="E3602" s="1" t="s">
        <v>7261</v>
      </c>
      <c r="F3602" s="1" t="s">
        <v>359</v>
      </c>
    </row>
    <row r="3603" spans="1:6" ht="30" customHeight="1" x14ac:dyDescent="0.25">
      <c r="A3603" s="1" t="s">
        <v>7262</v>
      </c>
      <c r="B3603" s="1" t="str">
        <f>"9781555815660"</f>
        <v>9781555815660</v>
      </c>
      <c r="C3603" s="1" t="s">
        <v>7254</v>
      </c>
      <c r="D3603" s="2">
        <v>38718</v>
      </c>
      <c r="E3603" s="1" t="s">
        <v>7263</v>
      </c>
      <c r="F3603" s="1" t="s">
        <v>70</v>
      </c>
    </row>
    <row r="3604" spans="1:6" ht="30" customHeight="1" x14ac:dyDescent="0.25">
      <c r="A3604" s="1" t="s">
        <v>7264</v>
      </c>
      <c r="B3604" s="1" t="str">
        <f>"9781555815776"</f>
        <v>9781555815776</v>
      </c>
      <c r="C3604" s="1" t="s">
        <v>7254</v>
      </c>
      <c r="D3604" s="2">
        <v>38718</v>
      </c>
      <c r="E3604" s="1" t="s">
        <v>7265</v>
      </c>
      <c r="F3604" s="1" t="s">
        <v>359</v>
      </c>
    </row>
    <row r="3605" spans="1:6" ht="30" customHeight="1" x14ac:dyDescent="0.25">
      <c r="A3605" s="1" t="s">
        <v>7266</v>
      </c>
      <c r="B3605" s="1" t="str">
        <f>"9781555815592"</f>
        <v>9781555815592</v>
      </c>
      <c r="C3605" s="1" t="s">
        <v>7254</v>
      </c>
      <c r="D3605" s="2">
        <v>39448</v>
      </c>
      <c r="E3605" s="1" t="s">
        <v>7267</v>
      </c>
      <c r="F3605" s="1" t="s">
        <v>33</v>
      </c>
    </row>
    <row r="3606" spans="1:6" ht="30" customHeight="1" x14ac:dyDescent="0.25">
      <c r="A3606" s="1" t="s">
        <v>7268</v>
      </c>
      <c r="B3606" s="1" t="str">
        <f>"9781555815585"</f>
        <v>9781555815585</v>
      </c>
      <c r="C3606" s="1" t="s">
        <v>7254</v>
      </c>
      <c r="D3606" s="2">
        <v>39083</v>
      </c>
      <c r="E3606" s="1" t="s">
        <v>7269</v>
      </c>
      <c r="F3606" s="1" t="s">
        <v>114</v>
      </c>
    </row>
    <row r="3607" spans="1:6" ht="30" customHeight="1" x14ac:dyDescent="0.25">
      <c r="A3607" s="1" t="s">
        <v>7270</v>
      </c>
      <c r="B3607" s="1" t="str">
        <f>"9781555815561"</f>
        <v>9781555815561</v>
      </c>
      <c r="C3607" s="1" t="s">
        <v>7254</v>
      </c>
      <c r="D3607" s="2">
        <v>39814</v>
      </c>
      <c r="E3607" s="1" t="s">
        <v>7271</v>
      </c>
      <c r="F3607" s="1" t="s">
        <v>63</v>
      </c>
    </row>
    <row r="3608" spans="1:6" ht="30" customHeight="1" x14ac:dyDescent="0.25">
      <c r="A3608" s="1" t="s">
        <v>7272</v>
      </c>
      <c r="B3608" s="1" t="str">
        <f>"9781555815820"</f>
        <v>9781555815820</v>
      </c>
      <c r="C3608" s="1" t="s">
        <v>7254</v>
      </c>
      <c r="D3608" s="2">
        <v>39448</v>
      </c>
      <c r="E3608" s="1" t="s">
        <v>7273</v>
      </c>
      <c r="F3608" s="1" t="s">
        <v>7274</v>
      </c>
    </row>
    <row r="3609" spans="1:6" ht="30" customHeight="1" x14ac:dyDescent="0.25">
      <c r="A3609" s="1" t="s">
        <v>7275</v>
      </c>
      <c r="B3609" s="1" t="str">
        <f>"9781555815479"</f>
        <v>9781555815479</v>
      </c>
      <c r="C3609" s="1" t="s">
        <v>7254</v>
      </c>
      <c r="D3609" s="2">
        <v>39814</v>
      </c>
      <c r="E3609" s="1" t="s">
        <v>7276</v>
      </c>
      <c r="F3609" s="1" t="s">
        <v>7277</v>
      </c>
    </row>
    <row r="3610" spans="1:6" ht="30" customHeight="1" x14ac:dyDescent="0.25">
      <c r="A3610" s="1" t="s">
        <v>7278</v>
      </c>
      <c r="B3610" s="1" t="str">
        <f>"9781555815455"</f>
        <v>9781555815455</v>
      </c>
      <c r="C3610" s="1" t="s">
        <v>7254</v>
      </c>
      <c r="D3610" s="2">
        <v>39814</v>
      </c>
      <c r="E3610" s="1" t="s">
        <v>7279</v>
      </c>
      <c r="F3610" s="1" t="s">
        <v>1948</v>
      </c>
    </row>
    <row r="3611" spans="1:6" ht="30" customHeight="1" x14ac:dyDescent="0.25">
      <c r="A3611" s="1" t="s">
        <v>7280</v>
      </c>
      <c r="B3611" s="1" t="str">
        <f>"9781555815691"</f>
        <v>9781555815691</v>
      </c>
      <c r="C3611" s="1" t="s">
        <v>7254</v>
      </c>
      <c r="D3611" s="2">
        <v>39814</v>
      </c>
      <c r="E3611" s="1" t="s">
        <v>7281</v>
      </c>
      <c r="F3611" s="1" t="s">
        <v>13</v>
      </c>
    </row>
    <row r="3612" spans="1:6" ht="30" customHeight="1" x14ac:dyDescent="0.25">
      <c r="A3612" s="1" t="s">
        <v>7282</v>
      </c>
      <c r="B3612" s="1" t="str">
        <f>"9781555815608"</f>
        <v>9781555815608</v>
      </c>
      <c r="C3612" s="1" t="s">
        <v>7254</v>
      </c>
      <c r="D3612" s="2">
        <v>39448</v>
      </c>
      <c r="E3612" s="1" t="s">
        <v>7283</v>
      </c>
      <c r="F3612" s="1" t="s">
        <v>63</v>
      </c>
    </row>
    <row r="3613" spans="1:6" ht="30" customHeight="1" x14ac:dyDescent="0.25">
      <c r="A3613" s="1" t="s">
        <v>7284</v>
      </c>
      <c r="B3613" s="1" t="str">
        <f>"9781555815462"</f>
        <v>9781555815462</v>
      </c>
      <c r="C3613" s="1" t="s">
        <v>7254</v>
      </c>
      <c r="D3613" s="2">
        <v>39448</v>
      </c>
      <c r="E3613" s="1" t="s">
        <v>7285</v>
      </c>
      <c r="F3613" s="1" t="s">
        <v>137</v>
      </c>
    </row>
    <row r="3614" spans="1:6" ht="30" customHeight="1" x14ac:dyDescent="0.25">
      <c r="A3614" s="1" t="s">
        <v>7286</v>
      </c>
      <c r="B3614" s="1" t="str">
        <f>"9781555815684"</f>
        <v>9781555815684</v>
      </c>
      <c r="C3614" s="1" t="s">
        <v>7254</v>
      </c>
      <c r="D3614" s="2">
        <v>38718</v>
      </c>
      <c r="E3614" s="1" t="s">
        <v>7287</v>
      </c>
      <c r="F3614" s="1" t="s">
        <v>13</v>
      </c>
    </row>
    <row r="3615" spans="1:6" ht="30" customHeight="1" x14ac:dyDescent="0.25">
      <c r="A3615" s="1" t="s">
        <v>7288</v>
      </c>
      <c r="B3615" s="1" t="str">
        <f>"9781555815493"</f>
        <v>9781555815493</v>
      </c>
      <c r="C3615" s="1" t="s">
        <v>7254</v>
      </c>
      <c r="D3615" s="2">
        <v>39814</v>
      </c>
      <c r="E3615" s="1" t="s">
        <v>7289</v>
      </c>
      <c r="F3615" s="1" t="s">
        <v>137</v>
      </c>
    </row>
    <row r="3616" spans="1:6" ht="30" customHeight="1" x14ac:dyDescent="0.25">
      <c r="A3616" s="1" t="s">
        <v>7290</v>
      </c>
      <c r="B3616" s="1" t="str">
        <f>"9781555815653"</f>
        <v>9781555815653</v>
      </c>
      <c r="C3616" s="1" t="s">
        <v>7254</v>
      </c>
      <c r="D3616" s="2">
        <v>39083</v>
      </c>
      <c r="E3616" s="1" t="s">
        <v>7291</v>
      </c>
      <c r="F3616" s="1" t="s">
        <v>760</v>
      </c>
    </row>
    <row r="3617" spans="1:6" ht="30" customHeight="1" x14ac:dyDescent="0.25">
      <c r="A3617" s="1" t="s">
        <v>7292</v>
      </c>
      <c r="B3617" s="1" t="str">
        <f>"9781441193841"</f>
        <v>9781441193841</v>
      </c>
      <c r="C3617" s="1" t="s">
        <v>3759</v>
      </c>
      <c r="D3617" s="2">
        <v>40124</v>
      </c>
      <c r="E3617" s="1" t="s">
        <v>7293</v>
      </c>
      <c r="F3617" s="1" t="s">
        <v>268</v>
      </c>
    </row>
    <row r="3618" spans="1:6" ht="30" customHeight="1" x14ac:dyDescent="0.25">
      <c r="A3618" s="1" t="s">
        <v>7294</v>
      </c>
      <c r="B3618" s="1" t="str">
        <f>"9781607504559"</f>
        <v>9781607504559</v>
      </c>
      <c r="C3618" s="1" t="s">
        <v>1390</v>
      </c>
      <c r="D3618" s="2">
        <v>40052</v>
      </c>
      <c r="E3618" s="1" t="s">
        <v>7295</v>
      </c>
      <c r="F3618" s="1" t="s">
        <v>7296</v>
      </c>
    </row>
    <row r="3619" spans="1:6" ht="30" customHeight="1" x14ac:dyDescent="0.25">
      <c r="A3619" s="1" t="s">
        <v>7297</v>
      </c>
      <c r="B3619" s="1" t="str">
        <f>"9781607504610"</f>
        <v>9781607504610</v>
      </c>
      <c r="C3619" s="1" t="s">
        <v>1390</v>
      </c>
      <c r="D3619" s="2">
        <v>40066</v>
      </c>
      <c r="E3619" s="1" t="s">
        <v>1429</v>
      </c>
      <c r="F3619" s="1" t="s">
        <v>356</v>
      </c>
    </row>
    <row r="3620" spans="1:6" ht="30" customHeight="1" x14ac:dyDescent="0.25">
      <c r="A3620" s="1" t="s">
        <v>7298</v>
      </c>
      <c r="B3620" s="1" t="str">
        <f>"9781859574140"</f>
        <v>9781859574140</v>
      </c>
      <c r="C3620" s="1" t="s">
        <v>7299</v>
      </c>
      <c r="D3620" s="2">
        <v>36892</v>
      </c>
      <c r="E3620" s="1" t="s">
        <v>7300</v>
      </c>
      <c r="F3620" s="1" t="s">
        <v>7301</v>
      </c>
    </row>
    <row r="3621" spans="1:6" ht="30" customHeight="1" x14ac:dyDescent="0.25">
      <c r="A3621" s="1" t="s">
        <v>7302</v>
      </c>
      <c r="B3621" s="1" t="str">
        <f>"9781847350572"</f>
        <v>9781847350572</v>
      </c>
      <c r="C3621" s="1" t="s">
        <v>7299</v>
      </c>
      <c r="D3621" s="2">
        <v>39083</v>
      </c>
      <c r="E3621" s="1" t="s">
        <v>7303</v>
      </c>
      <c r="F3621" s="1" t="s">
        <v>7304</v>
      </c>
    </row>
    <row r="3622" spans="1:6" ht="30" customHeight="1" x14ac:dyDescent="0.25">
      <c r="A3622" s="1" t="s">
        <v>7305</v>
      </c>
      <c r="B3622" s="1" t="str">
        <f>"9781847350336"</f>
        <v>9781847350336</v>
      </c>
      <c r="C3622" s="1" t="s">
        <v>7299</v>
      </c>
      <c r="D3622" s="2">
        <v>38353</v>
      </c>
      <c r="E3622" s="1" t="s">
        <v>7306</v>
      </c>
      <c r="F3622" s="1" t="s">
        <v>681</v>
      </c>
    </row>
    <row r="3623" spans="1:6" ht="30" customHeight="1" x14ac:dyDescent="0.25">
      <c r="A3623" s="1" t="s">
        <v>7307</v>
      </c>
      <c r="B3623" s="1" t="str">
        <f>"9781847352019"</f>
        <v>9781847352019</v>
      </c>
      <c r="C3623" s="1" t="s">
        <v>7299</v>
      </c>
      <c r="D3623" s="2">
        <v>37987</v>
      </c>
      <c r="E3623" s="1" t="s">
        <v>7308</v>
      </c>
      <c r="F3623" s="1" t="s">
        <v>268</v>
      </c>
    </row>
    <row r="3624" spans="1:6" ht="30" customHeight="1" x14ac:dyDescent="0.25">
      <c r="A3624" s="1" t="s">
        <v>7309</v>
      </c>
      <c r="B3624" s="1" t="str">
        <f>"9781847350398"</f>
        <v>9781847350398</v>
      </c>
      <c r="C3624" s="1" t="s">
        <v>7299</v>
      </c>
      <c r="D3624" s="2">
        <v>38353</v>
      </c>
      <c r="E3624" s="1" t="s">
        <v>7310</v>
      </c>
      <c r="F3624" s="1" t="s">
        <v>176</v>
      </c>
    </row>
    <row r="3625" spans="1:6" ht="30" customHeight="1" x14ac:dyDescent="0.25">
      <c r="A3625" s="1" t="s">
        <v>7311</v>
      </c>
      <c r="B3625" s="1" t="str">
        <f>"9780874628296"</f>
        <v>9780874628296</v>
      </c>
      <c r="C3625" s="1" t="s">
        <v>7312</v>
      </c>
      <c r="D3625" s="2">
        <v>39448</v>
      </c>
      <c r="E3625" s="1" t="s">
        <v>7313</v>
      </c>
      <c r="F3625" s="1" t="s">
        <v>7314</v>
      </c>
    </row>
    <row r="3626" spans="1:6" ht="30" customHeight="1" x14ac:dyDescent="0.25">
      <c r="A3626" s="1" t="s">
        <v>7315</v>
      </c>
      <c r="B3626" s="1" t="str">
        <f>"9780874629347"</f>
        <v>9780874629347</v>
      </c>
      <c r="C3626" s="1" t="s">
        <v>7312</v>
      </c>
      <c r="D3626" s="2">
        <v>38718</v>
      </c>
      <c r="E3626" s="1" t="s">
        <v>7316</v>
      </c>
      <c r="F3626" s="1" t="s">
        <v>13</v>
      </c>
    </row>
    <row r="3627" spans="1:6" ht="30" customHeight="1" x14ac:dyDescent="0.25">
      <c r="A3627" s="1" t="s">
        <v>7317</v>
      </c>
      <c r="B3627" s="1" t="str">
        <f>"9780199701667"</f>
        <v>9780199701667</v>
      </c>
      <c r="C3627" s="1" t="s">
        <v>1120</v>
      </c>
      <c r="D3627" s="2">
        <v>40238</v>
      </c>
      <c r="E3627" s="1" t="s">
        <v>7318</v>
      </c>
      <c r="F3627" s="1" t="s">
        <v>13</v>
      </c>
    </row>
    <row r="3628" spans="1:6" ht="30" customHeight="1" x14ac:dyDescent="0.25">
      <c r="A3628" s="1" t="s">
        <v>7319</v>
      </c>
      <c r="B3628" s="1" t="str">
        <f>"9789812837912"</f>
        <v>9789812837912</v>
      </c>
      <c r="C3628" s="1" t="s">
        <v>881</v>
      </c>
      <c r="D3628" s="2">
        <v>39971</v>
      </c>
      <c r="E3628" s="1" t="s">
        <v>7320</v>
      </c>
      <c r="F3628" s="1" t="s">
        <v>137</v>
      </c>
    </row>
    <row r="3629" spans="1:6" ht="30" customHeight="1" x14ac:dyDescent="0.25">
      <c r="A3629" s="1" t="s">
        <v>7321</v>
      </c>
      <c r="B3629" s="1" t="str">
        <f>"9789812772282"</f>
        <v>9789812772282</v>
      </c>
      <c r="C3629" s="1" t="s">
        <v>881</v>
      </c>
      <c r="D3629" s="2">
        <v>41773</v>
      </c>
      <c r="E3629" s="1" t="s">
        <v>7322</v>
      </c>
      <c r="F3629" s="1" t="s">
        <v>13</v>
      </c>
    </row>
    <row r="3630" spans="1:6" ht="30" customHeight="1" x14ac:dyDescent="0.25">
      <c r="A3630" s="1" t="s">
        <v>7323</v>
      </c>
      <c r="B3630" s="1" t="str">
        <f>"9781848162570"</f>
        <v>9781848162570</v>
      </c>
      <c r="C3630" s="1" t="s">
        <v>876</v>
      </c>
      <c r="D3630" s="2">
        <v>41773</v>
      </c>
      <c r="E3630" s="1" t="s">
        <v>7324</v>
      </c>
      <c r="F3630" s="1" t="s">
        <v>13</v>
      </c>
    </row>
    <row r="3631" spans="1:6" ht="30" customHeight="1" x14ac:dyDescent="0.25">
      <c r="A3631" s="1" t="s">
        <v>7325</v>
      </c>
      <c r="B3631" s="1" t="str">
        <f>"9781848164048"</f>
        <v>9781848164048</v>
      </c>
      <c r="C3631" s="1" t="s">
        <v>876</v>
      </c>
      <c r="D3631" s="2">
        <v>41773</v>
      </c>
      <c r="E3631" s="1" t="s">
        <v>7326</v>
      </c>
      <c r="F3631" s="1" t="s">
        <v>7327</v>
      </c>
    </row>
    <row r="3632" spans="1:6" ht="30" customHeight="1" x14ac:dyDescent="0.25">
      <c r="A3632" s="1" t="s">
        <v>7328</v>
      </c>
      <c r="B3632" s="1" t="str">
        <f>"9789812835871"</f>
        <v>9789812835871</v>
      </c>
      <c r="C3632" s="1" t="s">
        <v>881</v>
      </c>
      <c r="D3632" s="2">
        <v>41773</v>
      </c>
      <c r="E3632" s="1" t="s">
        <v>7329</v>
      </c>
      <c r="F3632" s="1" t="s">
        <v>13</v>
      </c>
    </row>
    <row r="3633" spans="1:6" ht="30" customHeight="1" x14ac:dyDescent="0.25">
      <c r="A3633" s="1" t="s">
        <v>7330</v>
      </c>
      <c r="B3633" s="1" t="str">
        <f>"9789812790460"</f>
        <v>9789812790460</v>
      </c>
      <c r="C3633" s="1" t="s">
        <v>881</v>
      </c>
      <c r="D3633" s="2">
        <v>39814</v>
      </c>
      <c r="E3633" s="1" t="s">
        <v>7331</v>
      </c>
      <c r="F3633" s="1" t="s">
        <v>13</v>
      </c>
    </row>
    <row r="3634" spans="1:6" ht="30" customHeight="1" x14ac:dyDescent="0.25">
      <c r="A3634" s="1" t="s">
        <v>7332</v>
      </c>
      <c r="B3634" s="1" t="str">
        <f>"9789812837103"</f>
        <v>9789812837103</v>
      </c>
      <c r="C3634" s="1" t="s">
        <v>881</v>
      </c>
      <c r="D3634" s="2">
        <v>41773</v>
      </c>
      <c r="E3634" s="1" t="s">
        <v>7333</v>
      </c>
      <c r="F3634" s="1" t="s">
        <v>7334</v>
      </c>
    </row>
    <row r="3635" spans="1:6" ht="30" customHeight="1" x14ac:dyDescent="0.25">
      <c r="A3635" s="1" t="s">
        <v>7335</v>
      </c>
      <c r="B3635" s="1" t="str">
        <f>"9789812834836"</f>
        <v>9789812834836</v>
      </c>
      <c r="C3635" s="1" t="s">
        <v>881</v>
      </c>
      <c r="D3635" s="2">
        <v>41773</v>
      </c>
      <c r="E3635" s="1" t="s">
        <v>7336</v>
      </c>
      <c r="F3635" s="1" t="s">
        <v>214</v>
      </c>
    </row>
    <row r="3636" spans="1:6" ht="30" customHeight="1" x14ac:dyDescent="0.25">
      <c r="A3636" s="1" t="s">
        <v>7337</v>
      </c>
      <c r="B3636" s="1" t="str">
        <f>"9789814261265"</f>
        <v>9789814261265</v>
      </c>
      <c r="C3636" s="1" t="s">
        <v>881</v>
      </c>
      <c r="D3636" s="2">
        <v>41773</v>
      </c>
      <c r="E3636" s="1" t="s">
        <v>7338</v>
      </c>
      <c r="F3636" s="1" t="s">
        <v>30</v>
      </c>
    </row>
    <row r="3637" spans="1:6" ht="30" customHeight="1" x14ac:dyDescent="0.25">
      <c r="A3637" s="1" t="s">
        <v>7339</v>
      </c>
      <c r="B3637" s="1" t="str">
        <f>"9789812797506"</f>
        <v>9789812797506</v>
      </c>
      <c r="C3637" s="1" t="s">
        <v>881</v>
      </c>
      <c r="D3637" s="2">
        <v>41773</v>
      </c>
      <c r="E3637" s="1" t="s">
        <v>7340</v>
      </c>
      <c r="F3637" s="1" t="s">
        <v>158</v>
      </c>
    </row>
    <row r="3638" spans="1:6" ht="30" customHeight="1" x14ac:dyDescent="0.25">
      <c r="A3638" s="1" t="s">
        <v>7341</v>
      </c>
      <c r="B3638" s="1" t="str">
        <f>"9789812794314"</f>
        <v>9789812794314</v>
      </c>
      <c r="C3638" s="1" t="s">
        <v>881</v>
      </c>
      <c r="D3638" s="2">
        <v>41773</v>
      </c>
      <c r="E3638" s="1" t="s">
        <v>7342</v>
      </c>
      <c r="F3638" s="1" t="s">
        <v>1372</v>
      </c>
    </row>
    <row r="3639" spans="1:6" ht="30" customHeight="1" x14ac:dyDescent="0.25">
      <c r="A3639" s="1" t="s">
        <v>7343</v>
      </c>
      <c r="B3639" s="1" t="str">
        <f>"9789812834812"</f>
        <v>9789812834812</v>
      </c>
      <c r="C3639" s="1" t="s">
        <v>881</v>
      </c>
      <c r="D3639" s="2">
        <v>41773</v>
      </c>
      <c r="E3639" s="1" t="s">
        <v>7344</v>
      </c>
      <c r="F3639" s="1" t="s">
        <v>760</v>
      </c>
    </row>
    <row r="3640" spans="1:6" ht="30" customHeight="1" x14ac:dyDescent="0.25">
      <c r="A3640" s="1" t="s">
        <v>7345</v>
      </c>
      <c r="B3640" s="1" t="str">
        <f>"9789812834409"</f>
        <v>9789812834409</v>
      </c>
      <c r="C3640" s="1" t="s">
        <v>881</v>
      </c>
      <c r="D3640" s="2">
        <v>41773</v>
      </c>
      <c r="E3640" s="1" t="s">
        <v>7346</v>
      </c>
      <c r="F3640" s="1" t="s">
        <v>7347</v>
      </c>
    </row>
    <row r="3641" spans="1:6" ht="30" customHeight="1" x14ac:dyDescent="0.25">
      <c r="A3641" s="1" t="s">
        <v>7348</v>
      </c>
      <c r="B3641" s="1" t="str">
        <f>"9789812790262"</f>
        <v>9789812790262</v>
      </c>
      <c r="C3641" s="1" t="s">
        <v>881</v>
      </c>
      <c r="D3641" s="2">
        <v>41773</v>
      </c>
      <c r="E3641" s="1" t="s">
        <v>7349</v>
      </c>
      <c r="F3641" s="1" t="s">
        <v>7350</v>
      </c>
    </row>
    <row r="3642" spans="1:6" ht="30" customHeight="1" x14ac:dyDescent="0.25">
      <c r="A3642" s="1" t="s">
        <v>7351</v>
      </c>
      <c r="B3642" s="1" t="str">
        <f>"9789812819161"</f>
        <v>9789812819161</v>
      </c>
      <c r="C3642" s="1" t="s">
        <v>881</v>
      </c>
      <c r="D3642" s="2">
        <v>41773</v>
      </c>
      <c r="E3642" s="1" t="s">
        <v>7352</v>
      </c>
      <c r="F3642" s="1" t="s">
        <v>904</v>
      </c>
    </row>
    <row r="3643" spans="1:6" ht="30" customHeight="1" x14ac:dyDescent="0.25">
      <c r="A3643" s="1" t="s">
        <v>7353</v>
      </c>
      <c r="B3643" s="1" t="str">
        <f>"9789812835758"</f>
        <v>9789812835758</v>
      </c>
      <c r="C3643" s="1" t="s">
        <v>881</v>
      </c>
      <c r="D3643" s="2">
        <v>41773</v>
      </c>
      <c r="E3643" s="1" t="s">
        <v>7354</v>
      </c>
      <c r="F3643" s="1" t="s">
        <v>13</v>
      </c>
    </row>
    <row r="3644" spans="1:6" ht="30" customHeight="1" x14ac:dyDescent="0.25">
      <c r="A3644" s="1" t="s">
        <v>7355</v>
      </c>
      <c r="B3644" s="1" t="str">
        <f>"9789812835802"</f>
        <v>9789812835802</v>
      </c>
      <c r="C3644" s="1" t="s">
        <v>881</v>
      </c>
      <c r="D3644" s="2">
        <v>41773</v>
      </c>
      <c r="E3644" s="1" t="s">
        <v>7356</v>
      </c>
      <c r="F3644" s="1" t="s">
        <v>13</v>
      </c>
    </row>
    <row r="3645" spans="1:6" ht="30" customHeight="1" x14ac:dyDescent="0.25">
      <c r="A3645" s="1" t="s">
        <v>7357</v>
      </c>
      <c r="B3645" s="1" t="str">
        <f>"9781848163539"</f>
        <v>9781848163539</v>
      </c>
      <c r="C3645" s="1" t="s">
        <v>876</v>
      </c>
      <c r="D3645" s="2">
        <v>41773</v>
      </c>
      <c r="E3645" s="1" t="s">
        <v>7358</v>
      </c>
      <c r="F3645" s="1" t="s">
        <v>13</v>
      </c>
    </row>
    <row r="3646" spans="1:6" ht="30" customHeight="1" x14ac:dyDescent="0.25">
      <c r="A3646" s="1" t="s">
        <v>7359</v>
      </c>
      <c r="B3646" s="1" t="str">
        <f>"9780470480137"</f>
        <v>9780470480137</v>
      </c>
      <c r="C3646" s="1" t="s">
        <v>65</v>
      </c>
      <c r="D3646" s="2">
        <v>40026</v>
      </c>
      <c r="E3646" s="1" t="s">
        <v>7360</v>
      </c>
      <c r="F3646" s="1" t="s">
        <v>1948</v>
      </c>
    </row>
    <row r="3647" spans="1:6" ht="30" customHeight="1" x14ac:dyDescent="0.25">
      <c r="A3647" s="1" t="s">
        <v>7361</v>
      </c>
      <c r="B3647" s="1" t="str">
        <f>"9780470584347"</f>
        <v>9780470584347</v>
      </c>
      <c r="C3647" s="1" t="s">
        <v>65</v>
      </c>
      <c r="D3647" s="2">
        <v>40169</v>
      </c>
      <c r="E3647" s="1" t="s">
        <v>7362</v>
      </c>
      <c r="F3647" s="1" t="s">
        <v>158</v>
      </c>
    </row>
    <row r="3648" spans="1:6" ht="30" customHeight="1" x14ac:dyDescent="0.25">
      <c r="A3648" s="1" t="s">
        <v>7363</v>
      </c>
      <c r="B3648" s="1" t="str">
        <f>"9780470561409"</f>
        <v>9780470561409</v>
      </c>
      <c r="C3648" s="1" t="s">
        <v>11</v>
      </c>
      <c r="D3648" s="2">
        <v>40183</v>
      </c>
      <c r="E3648" s="1" t="s">
        <v>7364</v>
      </c>
      <c r="F3648" s="1" t="s">
        <v>137</v>
      </c>
    </row>
    <row r="3649" spans="1:6" ht="30" customHeight="1" x14ac:dyDescent="0.25">
      <c r="A3649" s="1" t="s">
        <v>7365</v>
      </c>
      <c r="B3649" s="1" t="str">
        <f>"9780470551547"</f>
        <v>9780470551547</v>
      </c>
      <c r="C3649" s="1" t="s">
        <v>65</v>
      </c>
      <c r="D3649" s="2">
        <v>40177</v>
      </c>
      <c r="E3649" s="1" t="s">
        <v>7366</v>
      </c>
      <c r="F3649" s="1" t="s">
        <v>7367</v>
      </c>
    </row>
    <row r="3650" spans="1:6" ht="30" customHeight="1" x14ac:dyDescent="0.25">
      <c r="A3650" s="1" t="s">
        <v>7368</v>
      </c>
      <c r="B3650" s="1" t="str">
        <f>"9780470568279"</f>
        <v>9780470568279</v>
      </c>
      <c r="C3650" s="1" t="s">
        <v>11</v>
      </c>
      <c r="D3650" s="2">
        <v>40183</v>
      </c>
      <c r="E3650" s="1" t="s">
        <v>7369</v>
      </c>
      <c r="F3650" s="1" t="s">
        <v>6377</v>
      </c>
    </row>
    <row r="3651" spans="1:6" ht="30" customHeight="1" x14ac:dyDescent="0.25">
      <c r="A3651" s="1" t="s">
        <v>7370</v>
      </c>
      <c r="B3651" s="1" t="str">
        <f>"9781444318739"</f>
        <v>9781444318739</v>
      </c>
      <c r="C3651" s="1" t="s">
        <v>65</v>
      </c>
      <c r="D3651" s="2">
        <v>40168</v>
      </c>
      <c r="E3651" s="1" t="s">
        <v>7371</v>
      </c>
      <c r="F3651" s="1" t="s">
        <v>126</v>
      </c>
    </row>
    <row r="3652" spans="1:6" ht="30" customHeight="1" x14ac:dyDescent="0.25">
      <c r="A3652" s="1" t="s">
        <v>7372</v>
      </c>
      <c r="B3652" s="1" t="str">
        <f>"9781444318692"</f>
        <v>9781444318692</v>
      </c>
      <c r="C3652" s="1" t="s">
        <v>65</v>
      </c>
      <c r="D3652" s="2">
        <v>40183</v>
      </c>
      <c r="E3652" s="1" t="s">
        <v>7373</v>
      </c>
      <c r="F3652" s="1" t="s">
        <v>158</v>
      </c>
    </row>
    <row r="3653" spans="1:6" ht="30" customHeight="1" x14ac:dyDescent="0.25">
      <c r="A3653" s="1" t="s">
        <v>7374</v>
      </c>
      <c r="B3653" s="1" t="str">
        <f>"9781444323931"</f>
        <v>9781444323931</v>
      </c>
      <c r="C3653" s="1" t="s">
        <v>65</v>
      </c>
      <c r="D3653" s="2">
        <v>40168</v>
      </c>
      <c r="E3653" s="1" t="s">
        <v>7375</v>
      </c>
      <c r="F3653" s="1" t="s">
        <v>13</v>
      </c>
    </row>
    <row r="3654" spans="1:6" ht="30" customHeight="1" x14ac:dyDescent="0.25">
      <c r="A3654" s="1" t="s">
        <v>7376</v>
      </c>
      <c r="B3654" s="1" t="str">
        <f>"9781444317466"</f>
        <v>9781444317466</v>
      </c>
      <c r="C3654" s="1" t="s">
        <v>65</v>
      </c>
      <c r="D3654" s="2">
        <v>40162</v>
      </c>
      <c r="E3654" s="1" t="s">
        <v>7377</v>
      </c>
      <c r="F3654" s="1" t="s">
        <v>13</v>
      </c>
    </row>
    <row r="3655" spans="1:6" ht="30" customHeight="1" x14ac:dyDescent="0.25">
      <c r="A3655" s="1" t="s">
        <v>7378</v>
      </c>
      <c r="B3655" s="1" t="str">
        <f>"9781444317763"</f>
        <v>9781444317763</v>
      </c>
      <c r="C3655" s="1" t="s">
        <v>65</v>
      </c>
      <c r="D3655" s="2">
        <v>40164</v>
      </c>
      <c r="E3655" s="1" t="s">
        <v>7379</v>
      </c>
      <c r="F3655" s="1" t="s">
        <v>117</v>
      </c>
    </row>
    <row r="3656" spans="1:6" ht="30" customHeight="1" x14ac:dyDescent="0.25">
      <c r="A3656" s="1" t="s">
        <v>7380</v>
      </c>
      <c r="B3656" s="1" t="str">
        <f>"9781582439440"</f>
        <v>9781582439440</v>
      </c>
      <c r="C3656" s="1" t="s">
        <v>7381</v>
      </c>
      <c r="D3656" s="2">
        <v>39933</v>
      </c>
      <c r="E3656" s="1" t="s">
        <v>7382</v>
      </c>
      <c r="F3656" s="1" t="s">
        <v>30</v>
      </c>
    </row>
    <row r="3657" spans="1:6" ht="30" customHeight="1" x14ac:dyDescent="0.25">
      <c r="A3657" s="1" t="s">
        <v>7383</v>
      </c>
      <c r="B3657" s="1" t="str">
        <f>"9780979777783"</f>
        <v>9780979777783</v>
      </c>
      <c r="C3657" s="1" t="s">
        <v>7384</v>
      </c>
      <c r="D3657" s="2">
        <v>40365</v>
      </c>
      <c r="E3657" s="1" t="s">
        <v>7385</v>
      </c>
      <c r="F3657" s="1" t="s">
        <v>7386</v>
      </c>
    </row>
    <row r="3658" spans="1:6" ht="30" customHeight="1" x14ac:dyDescent="0.25">
      <c r="A3658" s="1" t="s">
        <v>7387</v>
      </c>
      <c r="B3658" s="1" t="str">
        <f>"9780470823156"</f>
        <v>9780470823156</v>
      </c>
      <c r="C3658" s="1" t="s">
        <v>65</v>
      </c>
      <c r="D3658" s="2">
        <v>40017</v>
      </c>
      <c r="E3658" s="1" t="s">
        <v>7388</v>
      </c>
      <c r="F3658" s="1" t="s">
        <v>137</v>
      </c>
    </row>
    <row r="3659" spans="1:6" ht="30" customHeight="1" x14ac:dyDescent="0.25">
      <c r="A3659" s="1" t="s">
        <v>7389</v>
      </c>
      <c r="B3659" s="1" t="str">
        <f>"9780470574881"</f>
        <v>9780470574881</v>
      </c>
      <c r="C3659" s="1" t="s">
        <v>11</v>
      </c>
      <c r="D3659" s="2">
        <v>40184</v>
      </c>
      <c r="E3659" s="1" t="s">
        <v>7390</v>
      </c>
      <c r="F3659" s="1" t="s">
        <v>268</v>
      </c>
    </row>
    <row r="3660" spans="1:6" ht="30" customHeight="1" x14ac:dyDescent="0.25">
      <c r="A3660" s="1" t="s">
        <v>7391</v>
      </c>
      <c r="B3660" s="1" t="str">
        <f>"9781555815721"</f>
        <v>9781555815721</v>
      </c>
      <c r="C3660" s="1" t="s">
        <v>7254</v>
      </c>
      <c r="D3660" s="2">
        <v>38718</v>
      </c>
      <c r="E3660" s="1" t="s">
        <v>7392</v>
      </c>
      <c r="F3660" s="1" t="s">
        <v>304</v>
      </c>
    </row>
    <row r="3661" spans="1:6" ht="30" customHeight="1" x14ac:dyDescent="0.25">
      <c r="A3661" s="1" t="s">
        <v>7393</v>
      </c>
      <c r="B3661" s="1" t="str">
        <f>"9781555815929"</f>
        <v>9781555815929</v>
      </c>
      <c r="C3661" s="1" t="s">
        <v>7254</v>
      </c>
      <c r="D3661" s="2">
        <v>38353</v>
      </c>
      <c r="E3661" s="1" t="s">
        <v>7394</v>
      </c>
      <c r="F3661" s="1" t="s">
        <v>137</v>
      </c>
    </row>
    <row r="3662" spans="1:6" ht="30" customHeight="1" x14ac:dyDescent="0.25">
      <c r="A3662" s="1" t="s">
        <v>7395</v>
      </c>
      <c r="B3662" s="1" t="str">
        <f>"9781569766002"</f>
        <v>9781569766002</v>
      </c>
      <c r="C3662" s="1" t="s">
        <v>7396</v>
      </c>
      <c r="D3662" s="2">
        <v>38078</v>
      </c>
      <c r="E3662" s="1" t="s">
        <v>7397</v>
      </c>
      <c r="F3662" s="1" t="s">
        <v>126</v>
      </c>
    </row>
    <row r="3663" spans="1:6" ht="30" customHeight="1" x14ac:dyDescent="0.25">
      <c r="A3663" s="1" t="s">
        <v>7398</v>
      </c>
      <c r="B3663" s="1" t="str">
        <f>"9780470319178"</f>
        <v>9780470319178</v>
      </c>
      <c r="C3663" s="1" t="s">
        <v>65</v>
      </c>
      <c r="D3663" s="2">
        <v>40197</v>
      </c>
      <c r="E3663" s="1" t="s">
        <v>7399</v>
      </c>
      <c r="F3663" s="1" t="s">
        <v>268</v>
      </c>
    </row>
    <row r="3664" spans="1:6" ht="30" customHeight="1" x14ac:dyDescent="0.25">
      <c r="A3664" s="1" t="s">
        <v>7400</v>
      </c>
      <c r="B3664" s="1" t="str">
        <f>"9781444318586"</f>
        <v>9781444318586</v>
      </c>
      <c r="C3664" s="1" t="s">
        <v>65</v>
      </c>
      <c r="D3664" s="2">
        <v>40200</v>
      </c>
      <c r="E3664" s="1" t="s">
        <v>7401</v>
      </c>
      <c r="F3664" s="1" t="s">
        <v>268</v>
      </c>
    </row>
    <row r="3665" spans="1:6" ht="30" customHeight="1" x14ac:dyDescent="0.25">
      <c r="A3665" s="1" t="s">
        <v>7402</v>
      </c>
      <c r="B3665" s="1" t="str">
        <f>"9780470682982"</f>
        <v>9780470682982</v>
      </c>
      <c r="C3665" s="1" t="s">
        <v>65</v>
      </c>
      <c r="D3665" s="2">
        <v>40200</v>
      </c>
      <c r="E3665" s="1" t="s">
        <v>7403</v>
      </c>
      <c r="F3665" s="1" t="s">
        <v>13</v>
      </c>
    </row>
    <row r="3666" spans="1:6" ht="30" customHeight="1" x14ac:dyDescent="0.25">
      <c r="A3666" s="1" t="s">
        <v>7404</v>
      </c>
      <c r="B3666" s="1" t="str">
        <f>"9781444318845"</f>
        <v>9781444318845</v>
      </c>
      <c r="C3666" s="1" t="s">
        <v>65</v>
      </c>
      <c r="D3666" s="2">
        <v>41401</v>
      </c>
      <c r="E3666" s="1" t="s">
        <v>7405</v>
      </c>
      <c r="F3666" s="1" t="s">
        <v>13</v>
      </c>
    </row>
    <row r="3667" spans="1:6" ht="30" customHeight="1" x14ac:dyDescent="0.25">
      <c r="A3667" s="1" t="s">
        <v>7406</v>
      </c>
      <c r="B3667" s="1" t="str">
        <f>"9780470746691"</f>
        <v>9780470746691</v>
      </c>
      <c r="C3667" s="1" t="s">
        <v>65</v>
      </c>
      <c r="D3667" s="2">
        <v>40185</v>
      </c>
      <c r="E3667" s="1" t="s">
        <v>7407</v>
      </c>
      <c r="F3667" s="1" t="s">
        <v>13</v>
      </c>
    </row>
    <row r="3668" spans="1:6" ht="30" customHeight="1" x14ac:dyDescent="0.25">
      <c r="A3668" s="1" t="s">
        <v>7408</v>
      </c>
      <c r="B3668" s="1" t="str">
        <f>"9781444317626"</f>
        <v>9781444317626</v>
      </c>
      <c r="C3668" s="1" t="s">
        <v>65</v>
      </c>
      <c r="D3668" s="2">
        <v>40197</v>
      </c>
      <c r="E3668" s="1" t="s">
        <v>7409</v>
      </c>
      <c r="F3668" s="1" t="s">
        <v>13</v>
      </c>
    </row>
    <row r="3669" spans="1:6" ht="30" customHeight="1" x14ac:dyDescent="0.25">
      <c r="A3669" s="1" t="s">
        <v>7410</v>
      </c>
      <c r="B3669" s="1" t="str">
        <f>"9781444318715"</f>
        <v>9781444318715</v>
      </c>
      <c r="C3669" s="1" t="s">
        <v>65</v>
      </c>
      <c r="D3669" s="2">
        <v>40197</v>
      </c>
      <c r="E3669" s="1" t="s">
        <v>7411</v>
      </c>
      <c r="F3669" s="1" t="s">
        <v>126</v>
      </c>
    </row>
    <row r="3670" spans="1:6" ht="30" customHeight="1" x14ac:dyDescent="0.25">
      <c r="A3670" s="1" t="s">
        <v>7412</v>
      </c>
      <c r="B3670" s="1" t="str">
        <f>"9781444315431"</f>
        <v>9781444315431</v>
      </c>
      <c r="C3670" s="1" t="s">
        <v>65</v>
      </c>
      <c r="D3670" s="2">
        <v>40197</v>
      </c>
      <c r="E3670" s="1" t="s">
        <v>7413</v>
      </c>
      <c r="F3670" s="1" t="s">
        <v>126</v>
      </c>
    </row>
    <row r="3671" spans="1:6" ht="30" customHeight="1" x14ac:dyDescent="0.25">
      <c r="A3671" s="1" t="s">
        <v>7414</v>
      </c>
      <c r="B3671" s="1" t="str">
        <f>"9780470684078"</f>
        <v>9780470684078</v>
      </c>
      <c r="C3671" s="1" t="s">
        <v>65</v>
      </c>
      <c r="D3671" s="2">
        <v>40126</v>
      </c>
      <c r="E3671" s="1" t="s">
        <v>7415</v>
      </c>
      <c r="F3671" s="1" t="s">
        <v>13</v>
      </c>
    </row>
    <row r="3672" spans="1:6" ht="30" customHeight="1" x14ac:dyDescent="0.25">
      <c r="A3672" s="1" t="s">
        <v>7416</v>
      </c>
      <c r="B3672" s="1" t="str">
        <f>"9780335238149"</f>
        <v>9780335238149</v>
      </c>
      <c r="C3672" s="1" t="s">
        <v>2247</v>
      </c>
      <c r="D3672" s="2">
        <v>39814</v>
      </c>
      <c r="E3672" s="1" t="s">
        <v>7417</v>
      </c>
      <c r="F3672" s="1" t="s">
        <v>30</v>
      </c>
    </row>
    <row r="3673" spans="1:6" ht="30" customHeight="1" x14ac:dyDescent="0.25">
      <c r="A3673" s="1" t="s">
        <v>7418</v>
      </c>
      <c r="B3673" s="1" t="str">
        <f>"9780335239177"</f>
        <v>9780335239177</v>
      </c>
      <c r="C3673" s="1" t="s">
        <v>2247</v>
      </c>
      <c r="D3673" s="2">
        <v>39814</v>
      </c>
      <c r="E3673" s="1" t="s">
        <v>7419</v>
      </c>
      <c r="F3673" s="1" t="s">
        <v>973</v>
      </c>
    </row>
    <row r="3674" spans="1:6" ht="30" customHeight="1" x14ac:dyDescent="0.25">
      <c r="A3674" s="1" t="s">
        <v>7420</v>
      </c>
      <c r="B3674" s="1" t="str">
        <f>"9780335239559"</f>
        <v>9780335239559</v>
      </c>
      <c r="C3674" s="1" t="s">
        <v>2247</v>
      </c>
      <c r="D3674" s="2">
        <v>39814</v>
      </c>
      <c r="E3674" s="1" t="s">
        <v>2250</v>
      </c>
      <c r="F3674" s="1" t="s">
        <v>95</v>
      </c>
    </row>
    <row r="3675" spans="1:6" ht="30" customHeight="1" x14ac:dyDescent="0.25">
      <c r="A3675" s="1" t="s">
        <v>7421</v>
      </c>
      <c r="B3675" s="1" t="str">
        <f>"9780335239610"</f>
        <v>9780335239610</v>
      </c>
      <c r="C3675" s="1" t="s">
        <v>2247</v>
      </c>
      <c r="D3675" s="2">
        <v>39814</v>
      </c>
      <c r="E3675" s="1" t="s">
        <v>7422</v>
      </c>
      <c r="F3675" s="1" t="s">
        <v>158</v>
      </c>
    </row>
    <row r="3676" spans="1:6" ht="30" customHeight="1" x14ac:dyDescent="0.25">
      <c r="A3676" s="1" t="s">
        <v>7423</v>
      </c>
      <c r="B3676" s="1" t="str">
        <f>"9780199706990"</f>
        <v>9780199706990</v>
      </c>
      <c r="C3676" s="1" t="s">
        <v>1123</v>
      </c>
      <c r="D3676" s="2">
        <v>40238</v>
      </c>
      <c r="E3676" s="1" t="s">
        <v>7424</v>
      </c>
      <c r="F3676" s="1" t="s">
        <v>13</v>
      </c>
    </row>
    <row r="3677" spans="1:6" ht="30" customHeight="1" x14ac:dyDescent="0.25">
      <c r="A3677" s="1" t="s">
        <v>7425</v>
      </c>
      <c r="B3677" s="1" t="str">
        <f>"9783527616497"</f>
        <v>9783527616497</v>
      </c>
      <c r="C3677" s="1" t="s">
        <v>65</v>
      </c>
      <c r="D3677" s="2">
        <v>40004</v>
      </c>
      <c r="E3677" s="1" t="s">
        <v>7426</v>
      </c>
      <c r="F3677" s="1" t="s">
        <v>268</v>
      </c>
    </row>
    <row r="3678" spans="1:6" ht="30" customHeight="1" x14ac:dyDescent="0.25">
      <c r="A3678" s="1" t="s">
        <v>7427</v>
      </c>
      <c r="B3678" s="1" t="str">
        <f>"9780807134986"</f>
        <v>9780807134986</v>
      </c>
      <c r="C3678" s="1" t="s">
        <v>7428</v>
      </c>
      <c r="D3678" s="2">
        <v>39934</v>
      </c>
      <c r="E3678" s="1" t="s">
        <v>7429</v>
      </c>
      <c r="F3678" s="1" t="s">
        <v>114</v>
      </c>
    </row>
    <row r="3679" spans="1:6" ht="30" customHeight="1" x14ac:dyDescent="0.25">
      <c r="A3679" s="1" t="s">
        <v>7430</v>
      </c>
      <c r="B3679" s="1" t="str">
        <f>"9780857022783"</f>
        <v>9780857022783</v>
      </c>
      <c r="C3679" s="1" t="s">
        <v>1228</v>
      </c>
      <c r="D3679" s="2">
        <v>40438</v>
      </c>
      <c r="E3679" s="1" t="s">
        <v>7431</v>
      </c>
      <c r="F3679" s="1" t="s">
        <v>13</v>
      </c>
    </row>
    <row r="3680" spans="1:6" ht="30" customHeight="1" x14ac:dyDescent="0.25">
      <c r="A3680" s="1" t="s">
        <v>7432</v>
      </c>
      <c r="B3680" s="1" t="str">
        <f>"9780857022929"</f>
        <v>9780857022929</v>
      </c>
      <c r="C3680" s="1" t="s">
        <v>1228</v>
      </c>
      <c r="D3680" s="2">
        <v>35174</v>
      </c>
      <c r="E3680" s="1" t="s">
        <v>7433</v>
      </c>
      <c r="F3680" s="1" t="s">
        <v>87</v>
      </c>
    </row>
    <row r="3681" spans="1:6" ht="30" customHeight="1" x14ac:dyDescent="0.25">
      <c r="A3681" s="1" t="s">
        <v>7434</v>
      </c>
      <c r="B3681" s="1" t="str">
        <f>"9780857022882"</f>
        <v>9780857022882</v>
      </c>
      <c r="C3681" s="1" t="s">
        <v>1228</v>
      </c>
      <c r="D3681" s="2">
        <v>36266</v>
      </c>
      <c r="E3681" s="1" t="s">
        <v>1248</v>
      </c>
      <c r="F3681" s="1" t="s">
        <v>127</v>
      </c>
    </row>
    <row r="3682" spans="1:6" ht="30" customHeight="1" x14ac:dyDescent="0.25">
      <c r="A3682" s="1" t="s">
        <v>7435</v>
      </c>
      <c r="B3682" s="1" t="str">
        <f>"9789289043052"</f>
        <v>9789289043052</v>
      </c>
      <c r="C3682" s="1" t="s">
        <v>1981</v>
      </c>
      <c r="D3682" s="2">
        <v>39814</v>
      </c>
      <c r="E3682" s="1" t="s">
        <v>7436</v>
      </c>
      <c r="F3682" s="1" t="s">
        <v>95</v>
      </c>
    </row>
    <row r="3683" spans="1:6" ht="30" customHeight="1" x14ac:dyDescent="0.25">
      <c r="A3683" s="1" t="s">
        <v>7437</v>
      </c>
      <c r="B3683" s="1" t="str">
        <f>"9789289041881"</f>
        <v>9789289041881</v>
      </c>
      <c r="C3683" s="1" t="s">
        <v>1981</v>
      </c>
      <c r="D3683" s="2">
        <v>39814</v>
      </c>
      <c r="E3683" s="1" t="s">
        <v>7438</v>
      </c>
      <c r="F3683" s="1" t="s">
        <v>3390</v>
      </c>
    </row>
    <row r="3684" spans="1:6" ht="30" customHeight="1" x14ac:dyDescent="0.25">
      <c r="A3684" s="1" t="s">
        <v>7439</v>
      </c>
      <c r="B3684" s="1" t="str">
        <f>"9789289014168"</f>
        <v>9789289014168</v>
      </c>
      <c r="C3684" s="1" t="s">
        <v>1981</v>
      </c>
      <c r="D3684" s="2">
        <v>39814</v>
      </c>
      <c r="E3684" s="1" t="s">
        <v>4887</v>
      </c>
      <c r="F3684" s="1" t="s">
        <v>30</v>
      </c>
    </row>
    <row r="3685" spans="1:6" ht="30" customHeight="1" x14ac:dyDescent="0.25">
      <c r="A3685" s="1" t="s">
        <v>7440</v>
      </c>
      <c r="B3685" s="1" t="str">
        <f>"9789289041744"</f>
        <v>9789289041744</v>
      </c>
      <c r="C3685" s="1" t="s">
        <v>1981</v>
      </c>
      <c r="D3685" s="2">
        <v>39814</v>
      </c>
      <c r="E3685" s="1" t="s">
        <v>7441</v>
      </c>
      <c r="F3685" s="1" t="s">
        <v>1349</v>
      </c>
    </row>
    <row r="3686" spans="1:6" ht="30" customHeight="1" x14ac:dyDescent="0.25">
      <c r="A3686" s="1" t="s">
        <v>7442</v>
      </c>
      <c r="B3686" s="1" t="str">
        <f>"9789240687226"</f>
        <v>9789240687226</v>
      </c>
      <c r="C3686" s="1" t="s">
        <v>1981</v>
      </c>
      <c r="D3686" s="2">
        <v>39814</v>
      </c>
      <c r="E3686" s="1" t="s">
        <v>1981</v>
      </c>
      <c r="F3686" s="1" t="s">
        <v>7443</v>
      </c>
    </row>
    <row r="3687" spans="1:6" ht="30" customHeight="1" x14ac:dyDescent="0.25">
      <c r="A3687" s="1" t="s">
        <v>7444</v>
      </c>
      <c r="B3687" s="1" t="str">
        <f>"9781400830343"</f>
        <v>9781400830343</v>
      </c>
      <c r="C3687" s="1" t="s">
        <v>6462</v>
      </c>
      <c r="D3687" s="2">
        <v>39895</v>
      </c>
      <c r="E3687" s="1" t="s">
        <v>7445</v>
      </c>
      <c r="F3687" s="1" t="s">
        <v>21</v>
      </c>
    </row>
    <row r="3688" spans="1:6" ht="30" customHeight="1" x14ac:dyDescent="0.25">
      <c r="A3688" s="1" t="s">
        <v>7446</v>
      </c>
      <c r="B3688" s="1" t="str">
        <f>"9781400827503"</f>
        <v>9781400827503</v>
      </c>
      <c r="C3688" s="1" t="s">
        <v>6462</v>
      </c>
      <c r="D3688" s="2">
        <v>39083</v>
      </c>
      <c r="E3688" s="1" t="s">
        <v>7447</v>
      </c>
      <c r="F3688" s="1" t="s">
        <v>21</v>
      </c>
    </row>
    <row r="3689" spans="1:6" ht="30" customHeight="1" x14ac:dyDescent="0.25">
      <c r="A3689" s="1" t="s">
        <v>7448</v>
      </c>
      <c r="B3689" s="1" t="str">
        <f>"9781400831708"</f>
        <v>9781400831708</v>
      </c>
      <c r="C3689" s="1" t="s">
        <v>6462</v>
      </c>
      <c r="D3689" s="2">
        <v>40000</v>
      </c>
      <c r="E3689" s="1" t="s">
        <v>7449</v>
      </c>
      <c r="F3689" s="1" t="s">
        <v>70</v>
      </c>
    </row>
    <row r="3690" spans="1:6" ht="30" customHeight="1" x14ac:dyDescent="0.25">
      <c r="A3690" s="1" t="s">
        <v>7450</v>
      </c>
      <c r="B3690" s="1" t="str">
        <f>"9781400831715"</f>
        <v>9781400831715</v>
      </c>
      <c r="C3690" s="1" t="s">
        <v>6462</v>
      </c>
      <c r="D3690" s="2">
        <v>40084</v>
      </c>
      <c r="E3690" s="1" t="s">
        <v>7451</v>
      </c>
      <c r="F3690" s="1" t="s">
        <v>95</v>
      </c>
    </row>
    <row r="3691" spans="1:6" ht="30" customHeight="1" x14ac:dyDescent="0.25">
      <c r="A3691" s="1" t="s">
        <v>7452</v>
      </c>
      <c r="B3691" s="1" t="str">
        <f>"9781847883353"</f>
        <v>9781847883353</v>
      </c>
      <c r="C3691" s="1" t="s">
        <v>3759</v>
      </c>
      <c r="D3691" s="2">
        <v>39203</v>
      </c>
      <c r="E3691" s="1" t="s">
        <v>7453</v>
      </c>
      <c r="F3691" s="1" t="s">
        <v>95</v>
      </c>
    </row>
    <row r="3692" spans="1:6" ht="30" customHeight="1" x14ac:dyDescent="0.25">
      <c r="A3692" s="1" t="s">
        <v>7454</v>
      </c>
      <c r="B3692" s="1" t="str">
        <f>"9781847883315"</f>
        <v>9781847883315</v>
      </c>
      <c r="C3692" s="1" t="s">
        <v>3759</v>
      </c>
      <c r="D3692" s="2">
        <v>39173</v>
      </c>
      <c r="E3692" s="1" t="s">
        <v>7455</v>
      </c>
      <c r="F3692" s="1" t="s">
        <v>13</v>
      </c>
    </row>
    <row r="3693" spans="1:6" ht="30" customHeight="1" x14ac:dyDescent="0.25">
      <c r="A3693" s="1" t="s">
        <v>7456</v>
      </c>
      <c r="B3693" s="1" t="str">
        <f>"9781847883445"</f>
        <v>9781847883445</v>
      </c>
      <c r="C3693" s="1" t="s">
        <v>3759</v>
      </c>
      <c r="D3693" s="2">
        <v>39356</v>
      </c>
      <c r="E3693" s="1" t="s">
        <v>7457</v>
      </c>
      <c r="F3693" s="1" t="s">
        <v>127</v>
      </c>
    </row>
    <row r="3694" spans="1:6" ht="30" customHeight="1" x14ac:dyDescent="0.25">
      <c r="A3694" s="1" t="s">
        <v>7458</v>
      </c>
      <c r="B3694" s="1" t="str">
        <f>"9780765707475"</f>
        <v>9780765707475</v>
      </c>
      <c r="C3694" s="1" t="s">
        <v>6903</v>
      </c>
      <c r="D3694" s="2">
        <v>40175</v>
      </c>
      <c r="E3694" s="1" t="s">
        <v>7459</v>
      </c>
      <c r="F3694" s="1" t="s">
        <v>13</v>
      </c>
    </row>
    <row r="3695" spans="1:6" ht="30" customHeight="1" x14ac:dyDescent="0.25">
      <c r="A3695" s="1" t="s">
        <v>7460</v>
      </c>
      <c r="B3695" s="1" t="str">
        <f>"9780761849315"</f>
        <v>9780761849315</v>
      </c>
      <c r="C3695" s="1" t="s">
        <v>7461</v>
      </c>
      <c r="D3695" s="2">
        <v>40224</v>
      </c>
      <c r="E3695" s="1" t="s">
        <v>7462</v>
      </c>
      <c r="F3695" s="1" t="s">
        <v>95</v>
      </c>
    </row>
    <row r="3696" spans="1:6" ht="30" customHeight="1" x14ac:dyDescent="0.25">
      <c r="A3696" s="1" t="s">
        <v>7463</v>
      </c>
      <c r="B3696" s="1" t="str">
        <f>"9780765707598"</f>
        <v>9780765707598</v>
      </c>
      <c r="C3696" s="1" t="s">
        <v>6903</v>
      </c>
      <c r="D3696" s="2">
        <v>40633</v>
      </c>
      <c r="E3696" s="1" t="s">
        <v>7464</v>
      </c>
      <c r="F3696" s="1" t="s">
        <v>13</v>
      </c>
    </row>
    <row r="3697" spans="1:6" ht="30" customHeight="1" x14ac:dyDescent="0.25">
      <c r="A3697" s="1" t="s">
        <v>7465</v>
      </c>
      <c r="B3697" s="1" t="str">
        <f>"9780759119437"</f>
        <v>9780759119437</v>
      </c>
      <c r="C3697" s="1" t="s">
        <v>7466</v>
      </c>
      <c r="D3697" s="2">
        <v>40194</v>
      </c>
      <c r="E3697" s="1" t="s">
        <v>7467</v>
      </c>
      <c r="F3697" s="1" t="s">
        <v>95</v>
      </c>
    </row>
    <row r="3698" spans="1:6" ht="30" customHeight="1" x14ac:dyDescent="0.25">
      <c r="A3698" s="1" t="s">
        <v>7468</v>
      </c>
      <c r="B3698" s="1" t="str">
        <f>"9780813820552"</f>
        <v>9780813820552</v>
      </c>
      <c r="C3698" s="1" t="s">
        <v>11</v>
      </c>
      <c r="D3698" s="2">
        <v>40156</v>
      </c>
      <c r="E3698" s="1" t="s">
        <v>7469</v>
      </c>
      <c r="F3698" s="1" t="s">
        <v>13</v>
      </c>
    </row>
    <row r="3699" spans="1:6" ht="30" customHeight="1" x14ac:dyDescent="0.25">
      <c r="A3699" s="1" t="s">
        <v>7470</v>
      </c>
      <c r="B3699" s="1" t="str">
        <f>"9780470575000"</f>
        <v>9780470575000</v>
      </c>
      <c r="C3699" s="1" t="s">
        <v>65</v>
      </c>
      <c r="D3699" s="2">
        <v>40211</v>
      </c>
      <c r="E3699" s="1" t="s">
        <v>7471</v>
      </c>
      <c r="F3699" s="1" t="s">
        <v>95</v>
      </c>
    </row>
    <row r="3700" spans="1:6" ht="30" customHeight="1" x14ac:dyDescent="0.25">
      <c r="A3700" s="1" t="s">
        <v>7472</v>
      </c>
      <c r="B3700" s="1" t="str">
        <f>"9780470567517"</f>
        <v>9780470567517</v>
      </c>
      <c r="C3700" s="1" t="s">
        <v>65</v>
      </c>
      <c r="D3700" s="2">
        <v>40200</v>
      </c>
      <c r="E3700" s="1" t="s">
        <v>7473</v>
      </c>
      <c r="F3700" s="1" t="s">
        <v>268</v>
      </c>
    </row>
    <row r="3701" spans="1:6" ht="30" customHeight="1" x14ac:dyDescent="0.25">
      <c r="A3701" s="1" t="s">
        <v>7474</v>
      </c>
      <c r="B3701" s="1" t="str">
        <f>"9780813821023"</f>
        <v>9780813821023</v>
      </c>
      <c r="C3701" s="1" t="s">
        <v>65</v>
      </c>
      <c r="D3701" s="2">
        <v>40197</v>
      </c>
      <c r="E3701" s="1" t="s">
        <v>7475</v>
      </c>
      <c r="F3701" s="1" t="s">
        <v>13</v>
      </c>
    </row>
    <row r="3702" spans="1:6" ht="30" customHeight="1" x14ac:dyDescent="0.25">
      <c r="A3702" s="1" t="s">
        <v>7476</v>
      </c>
      <c r="B3702" s="1" t="str">
        <f>"9780813820910"</f>
        <v>9780813820910</v>
      </c>
      <c r="C3702" s="1" t="s">
        <v>65</v>
      </c>
      <c r="D3702" s="2">
        <v>40207</v>
      </c>
      <c r="E3702" s="1" t="s">
        <v>7477</v>
      </c>
      <c r="F3702" s="1" t="s">
        <v>13</v>
      </c>
    </row>
    <row r="3703" spans="1:6" ht="30" customHeight="1" x14ac:dyDescent="0.25">
      <c r="A3703" s="1" t="s">
        <v>7478</v>
      </c>
      <c r="B3703" s="1" t="str">
        <f>"9781859573396"</f>
        <v>9781859573396</v>
      </c>
      <c r="C3703" s="1" t="s">
        <v>7299</v>
      </c>
      <c r="D3703" s="2">
        <v>37257</v>
      </c>
      <c r="E3703" s="1" t="s">
        <v>7479</v>
      </c>
      <c r="F3703" s="1" t="s">
        <v>7480</v>
      </c>
    </row>
    <row r="3704" spans="1:6" ht="30" customHeight="1" x14ac:dyDescent="0.25">
      <c r="A3704" s="1" t="s">
        <v>7481</v>
      </c>
      <c r="B3704" s="1" t="str">
        <f>"9781847351968"</f>
        <v>9781847351968</v>
      </c>
      <c r="C3704" s="1" t="s">
        <v>7299</v>
      </c>
      <c r="D3704" s="2">
        <v>36892</v>
      </c>
      <c r="E3704" s="1" t="s">
        <v>7482</v>
      </c>
      <c r="F3704" s="1" t="s">
        <v>4193</v>
      </c>
    </row>
    <row r="3705" spans="1:6" ht="30" customHeight="1" x14ac:dyDescent="0.25">
      <c r="A3705" s="1" t="s">
        <v>7483</v>
      </c>
      <c r="B3705" s="1" t="str">
        <f>"9781847354150"</f>
        <v>9781847354150</v>
      </c>
      <c r="C3705" s="1" t="s">
        <v>7299</v>
      </c>
      <c r="D3705" s="2">
        <v>39961</v>
      </c>
      <c r="E3705" s="1" t="s">
        <v>7306</v>
      </c>
      <c r="F3705" s="1" t="s">
        <v>7484</v>
      </c>
    </row>
    <row r="3706" spans="1:6" ht="30" customHeight="1" x14ac:dyDescent="0.25">
      <c r="A3706" s="1" t="s">
        <v>7485</v>
      </c>
      <c r="B3706" s="1" t="str">
        <f>"9781444319613"</f>
        <v>9781444319613</v>
      </c>
      <c r="C3706" s="1" t="s">
        <v>65</v>
      </c>
      <c r="D3706" s="2">
        <v>40211</v>
      </c>
      <c r="E3706" s="1" t="s">
        <v>7486</v>
      </c>
      <c r="F3706" s="1" t="s">
        <v>13</v>
      </c>
    </row>
    <row r="3707" spans="1:6" ht="30" customHeight="1" x14ac:dyDescent="0.25">
      <c r="A3707" s="1" t="s">
        <v>7487</v>
      </c>
      <c r="B3707" s="1" t="str">
        <f>"9780470515907"</f>
        <v>9780470515907</v>
      </c>
      <c r="C3707" s="1" t="s">
        <v>65</v>
      </c>
      <c r="D3707" s="2">
        <v>40214</v>
      </c>
      <c r="E3707" s="1" t="s">
        <v>7488</v>
      </c>
      <c r="F3707" s="1" t="s">
        <v>13</v>
      </c>
    </row>
    <row r="3708" spans="1:6" ht="30" customHeight="1" x14ac:dyDescent="0.25">
      <c r="A3708" s="1" t="s">
        <v>7489</v>
      </c>
      <c r="B3708" s="1" t="str">
        <f>"9781444315202"</f>
        <v>9781444315202</v>
      </c>
      <c r="C3708" s="1" t="s">
        <v>65</v>
      </c>
      <c r="D3708" s="2">
        <v>40211</v>
      </c>
      <c r="E3708" s="1" t="s">
        <v>7490</v>
      </c>
      <c r="F3708" s="1" t="s">
        <v>13</v>
      </c>
    </row>
    <row r="3709" spans="1:6" ht="30" customHeight="1" x14ac:dyDescent="0.25">
      <c r="A3709" s="1" t="s">
        <v>7491</v>
      </c>
      <c r="B3709" s="1" t="str">
        <f>"9781444320558"</f>
        <v>9781444320558</v>
      </c>
      <c r="C3709" s="1" t="s">
        <v>65</v>
      </c>
      <c r="D3709" s="2">
        <v>38541</v>
      </c>
      <c r="E3709" s="1" t="s">
        <v>7492</v>
      </c>
      <c r="F3709" s="1" t="s">
        <v>13</v>
      </c>
    </row>
    <row r="3710" spans="1:6" ht="30" customHeight="1" x14ac:dyDescent="0.25">
      <c r="A3710" s="1" t="s">
        <v>7493</v>
      </c>
      <c r="B3710" s="1" t="str">
        <f>"9781444319309"</f>
        <v>9781444319309</v>
      </c>
      <c r="C3710" s="1" t="s">
        <v>65</v>
      </c>
      <c r="D3710" s="2">
        <v>40207</v>
      </c>
      <c r="E3710" s="1" t="s">
        <v>7494</v>
      </c>
      <c r="F3710" s="1" t="s">
        <v>176</v>
      </c>
    </row>
    <row r="3711" spans="1:6" ht="30" customHeight="1" x14ac:dyDescent="0.25">
      <c r="A3711" s="1" t="s">
        <v>7495</v>
      </c>
      <c r="B3711" s="1" t="str">
        <f>"9780470743782"</f>
        <v>9780470743782</v>
      </c>
      <c r="C3711" s="1" t="s">
        <v>65</v>
      </c>
      <c r="D3711" s="2">
        <v>40213</v>
      </c>
      <c r="E3711" s="1" t="s">
        <v>7496</v>
      </c>
      <c r="F3711" s="1" t="s">
        <v>13</v>
      </c>
    </row>
    <row r="3712" spans="1:6" ht="30" customHeight="1" x14ac:dyDescent="0.25">
      <c r="A3712" s="1" t="s">
        <v>7497</v>
      </c>
      <c r="B3712" s="1" t="str">
        <f>"9780470689585"</f>
        <v>9780470689585</v>
      </c>
      <c r="C3712" s="1" t="s">
        <v>65</v>
      </c>
      <c r="D3712" s="2">
        <v>40213</v>
      </c>
      <c r="E3712" s="1" t="s">
        <v>7498</v>
      </c>
      <c r="F3712" s="1" t="s">
        <v>13</v>
      </c>
    </row>
    <row r="3713" spans="1:6" ht="30" customHeight="1" x14ac:dyDescent="0.25">
      <c r="A3713" s="1" t="s">
        <v>7499</v>
      </c>
      <c r="B3713" s="1" t="str">
        <f>"9780470686591"</f>
        <v>9780470686591</v>
      </c>
      <c r="C3713" s="1" t="s">
        <v>65</v>
      </c>
      <c r="D3713" s="2">
        <v>40207</v>
      </c>
      <c r="E3713" s="1" t="s">
        <v>7500</v>
      </c>
      <c r="F3713" s="1" t="s">
        <v>13</v>
      </c>
    </row>
    <row r="3714" spans="1:6" ht="30" customHeight="1" x14ac:dyDescent="0.25">
      <c r="A3714" s="1" t="s">
        <v>7501</v>
      </c>
      <c r="B3714" s="1" t="str">
        <f>"9781444319682"</f>
        <v>9781444319682</v>
      </c>
      <c r="C3714" s="1" t="s">
        <v>65</v>
      </c>
      <c r="D3714" s="2">
        <v>40206</v>
      </c>
      <c r="E3714" s="1" t="s">
        <v>7502</v>
      </c>
      <c r="F3714" s="1" t="s">
        <v>7503</v>
      </c>
    </row>
    <row r="3715" spans="1:6" ht="30" customHeight="1" x14ac:dyDescent="0.25">
      <c r="A3715" s="1" t="s">
        <v>7504</v>
      </c>
      <c r="B3715" s="1" t="str">
        <f>"9781444318487"</f>
        <v>9781444318487</v>
      </c>
      <c r="C3715" s="1" t="s">
        <v>65</v>
      </c>
      <c r="D3715" s="2">
        <v>40206</v>
      </c>
      <c r="E3715" s="1" t="s">
        <v>995</v>
      </c>
      <c r="F3715" s="1" t="s">
        <v>13</v>
      </c>
    </row>
    <row r="3716" spans="1:6" ht="30" customHeight="1" x14ac:dyDescent="0.25">
      <c r="A3716" s="1" t="s">
        <v>7505</v>
      </c>
      <c r="B3716" s="1" t="str">
        <f>"9781444318500"</f>
        <v>9781444318500</v>
      </c>
      <c r="C3716" s="1" t="s">
        <v>65</v>
      </c>
      <c r="D3716" s="2">
        <v>40213</v>
      </c>
      <c r="E3716" s="1" t="s">
        <v>7506</v>
      </c>
      <c r="F3716" s="1" t="s">
        <v>95</v>
      </c>
    </row>
    <row r="3717" spans="1:6" ht="30" customHeight="1" x14ac:dyDescent="0.25">
      <c r="A3717" s="1" t="s">
        <v>7507</v>
      </c>
      <c r="B3717" s="1" t="str">
        <f>"9781444315035"</f>
        <v>9781444315035</v>
      </c>
      <c r="C3717" s="1" t="s">
        <v>65</v>
      </c>
      <c r="D3717" s="2">
        <v>40211</v>
      </c>
      <c r="E3717" s="1" t="s">
        <v>7508</v>
      </c>
      <c r="F3717" s="1" t="s">
        <v>13</v>
      </c>
    </row>
    <row r="3718" spans="1:6" ht="30" customHeight="1" x14ac:dyDescent="0.25">
      <c r="A3718" s="1" t="s">
        <v>7509</v>
      </c>
      <c r="B3718" s="1" t="str">
        <f>"9780191572715"</f>
        <v>9780191572715</v>
      </c>
      <c r="C3718" s="1" t="s">
        <v>1120</v>
      </c>
      <c r="D3718" s="2">
        <v>40227</v>
      </c>
      <c r="E3718" s="1" t="s">
        <v>7510</v>
      </c>
      <c r="F3718" s="1" t="s">
        <v>205</v>
      </c>
    </row>
    <row r="3719" spans="1:6" ht="30" customHeight="1" x14ac:dyDescent="0.25">
      <c r="A3719" s="1" t="s">
        <v>7511</v>
      </c>
      <c r="B3719" s="1" t="str">
        <f>"9780226498089"</f>
        <v>9780226498089</v>
      </c>
      <c r="C3719" s="1" t="s">
        <v>5093</v>
      </c>
      <c r="D3719" s="2">
        <v>40224</v>
      </c>
      <c r="E3719" s="1" t="s">
        <v>7512</v>
      </c>
      <c r="F3719" s="1" t="s">
        <v>33</v>
      </c>
    </row>
    <row r="3720" spans="1:6" ht="30" customHeight="1" x14ac:dyDescent="0.25">
      <c r="A3720" s="1" t="s">
        <v>7513</v>
      </c>
      <c r="B3720" s="1" t="str">
        <f>"9780226144795"</f>
        <v>9780226144795</v>
      </c>
      <c r="C3720" s="1" t="s">
        <v>5093</v>
      </c>
      <c r="D3720" s="2">
        <v>39976</v>
      </c>
      <c r="E3720" s="1" t="s">
        <v>7514</v>
      </c>
      <c r="F3720" s="1" t="s">
        <v>95</v>
      </c>
    </row>
    <row r="3721" spans="1:6" ht="30" customHeight="1" x14ac:dyDescent="0.25">
      <c r="A3721" s="1" t="s">
        <v>7515</v>
      </c>
      <c r="B3721" s="1" t="str">
        <f>"9780511672170"</f>
        <v>9780511672170</v>
      </c>
      <c r="C3721" s="1" t="s">
        <v>25</v>
      </c>
      <c r="D3721" s="2">
        <v>40179</v>
      </c>
      <c r="E3721" s="1" t="s">
        <v>7516</v>
      </c>
      <c r="F3721" s="1" t="s">
        <v>214</v>
      </c>
    </row>
    <row r="3722" spans="1:6" ht="30" customHeight="1" x14ac:dyDescent="0.25">
      <c r="A3722" s="1" t="s">
        <v>7517</v>
      </c>
      <c r="B3722" s="1" t="str">
        <f>"9780511672330"</f>
        <v>9780511672330</v>
      </c>
      <c r="C3722" s="1" t="s">
        <v>25</v>
      </c>
      <c r="D3722" s="2">
        <v>40179</v>
      </c>
      <c r="E3722" s="1" t="s">
        <v>7518</v>
      </c>
      <c r="F3722" s="1" t="s">
        <v>1568</v>
      </c>
    </row>
    <row r="3723" spans="1:6" ht="30" customHeight="1" x14ac:dyDescent="0.25">
      <c r="A3723" s="1" t="s">
        <v>7519</v>
      </c>
      <c r="B3723" s="1" t="str">
        <f>"9780511672316"</f>
        <v>9780511672316</v>
      </c>
      <c r="C3723" s="1" t="s">
        <v>25</v>
      </c>
      <c r="D3723" s="2">
        <v>40206</v>
      </c>
      <c r="E3723" s="1" t="s">
        <v>7520</v>
      </c>
      <c r="F3723" s="1" t="s">
        <v>13</v>
      </c>
    </row>
    <row r="3724" spans="1:6" ht="30" customHeight="1" x14ac:dyDescent="0.25">
      <c r="A3724" s="1" t="s">
        <v>7521</v>
      </c>
      <c r="B3724" s="1" t="str">
        <f>"9780511672354"</f>
        <v>9780511672354</v>
      </c>
      <c r="C3724" s="1" t="s">
        <v>25</v>
      </c>
      <c r="D3724" s="2">
        <v>40217</v>
      </c>
      <c r="E3724" s="1" t="s">
        <v>7522</v>
      </c>
      <c r="F3724" s="1" t="s">
        <v>13</v>
      </c>
    </row>
    <row r="3725" spans="1:6" ht="30" customHeight="1" x14ac:dyDescent="0.25">
      <c r="A3725" s="1" t="s">
        <v>7523</v>
      </c>
      <c r="B3725" s="1" t="str">
        <f>"9780470599679"</f>
        <v>9780470599679</v>
      </c>
      <c r="C3725" s="1" t="s">
        <v>11</v>
      </c>
      <c r="D3725" s="2">
        <v>40227</v>
      </c>
      <c r="E3725" s="1" t="s">
        <v>7524</v>
      </c>
      <c r="F3725" s="1" t="s">
        <v>268</v>
      </c>
    </row>
    <row r="3726" spans="1:6" ht="30" customHeight="1" x14ac:dyDescent="0.25">
      <c r="A3726" s="1" t="s">
        <v>7525</v>
      </c>
      <c r="B3726" s="1" t="str">
        <f>"9780470588277"</f>
        <v>9780470588277</v>
      </c>
      <c r="C3726" s="1" t="s">
        <v>11</v>
      </c>
      <c r="D3726" s="2">
        <v>40221</v>
      </c>
      <c r="E3726" s="1" t="s">
        <v>7526</v>
      </c>
      <c r="F3726" s="1" t="s">
        <v>137</v>
      </c>
    </row>
    <row r="3727" spans="1:6" ht="30" customHeight="1" x14ac:dyDescent="0.25">
      <c r="A3727" s="1" t="s">
        <v>7527</v>
      </c>
      <c r="B3727" s="1" t="str">
        <f>"9780470555286"</f>
        <v>9780470555286</v>
      </c>
      <c r="C3727" s="1" t="s">
        <v>11</v>
      </c>
      <c r="D3727" s="2">
        <v>40227</v>
      </c>
      <c r="E3727" s="1" t="s">
        <v>7528</v>
      </c>
      <c r="F3727" s="1" t="s">
        <v>268</v>
      </c>
    </row>
    <row r="3728" spans="1:6" ht="30" customHeight="1" x14ac:dyDescent="0.25">
      <c r="A3728" s="1" t="s">
        <v>7529</v>
      </c>
      <c r="B3728" s="1" t="str">
        <f>"9780470593035"</f>
        <v>9780470593035</v>
      </c>
      <c r="C3728" s="1" t="s">
        <v>11</v>
      </c>
      <c r="D3728" s="2">
        <v>40221</v>
      </c>
      <c r="E3728" s="1" t="s">
        <v>7530</v>
      </c>
      <c r="F3728" s="1" t="s">
        <v>1948</v>
      </c>
    </row>
    <row r="3729" spans="1:6" ht="30" customHeight="1" x14ac:dyDescent="0.25">
      <c r="A3729" s="1" t="s">
        <v>7531</v>
      </c>
      <c r="B3729" s="1" t="str">
        <f>"9781444315189"</f>
        <v>9781444315189</v>
      </c>
      <c r="C3729" s="1" t="s">
        <v>65</v>
      </c>
      <c r="D3729" s="2">
        <v>40221</v>
      </c>
      <c r="E3729" s="1" t="s">
        <v>7532</v>
      </c>
      <c r="F3729" s="1" t="s">
        <v>13</v>
      </c>
    </row>
    <row r="3730" spans="1:6" ht="30" customHeight="1" x14ac:dyDescent="0.25">
      <c r="A3730" s="1" t="s">
        <v>7533</v>
      </c>
      <c r="B3730" s="1" t="str">
        <f>"9781444320459"</f>
        <v>9781444320459</v>
      </c>
      <c r="C3730" s="1" t="s">
        <v>65</v>
      </c>
      <c r="D3730" s="2">
        <v>40218</v>
      </c>
      <c r="E3730" s="1" t="s">
        <v>7534</v>
      </c>
      <c r="F3730" s="1" t="s">
        <v>82</v>
      </c>
    </row>
    <row r="3731" spans="1:6" ht="30" customHeight="1" x14ac:dyDescent="0.25">
      <c r="A3731" s="1" t="s">
        <v>7535</v>
      </c>
      <c r="B3731" s="1" t="str">
        <f>"9781444319606"</f>
        <v>9781444319606</v>
      </c>
      <c r="C3731" s="1" t="s">
        <v>65</v>
      </c>
      <c r="D3731" s="2">
        <v>40808</v>
      </c>
      <c r="E3731" s="1" t="s">
        <v>7536</v>
      </c>
      <c r="F3731" s="1" t="s">
        <v>13</v>
      </c>
    </row>
    <row r="3732" spans="1:6" ht="30" customHeight="1" x14ac:dyDescent="0.25">
      <c r="A3732" s="1" t="s">
        <v>7537</v>
      </c>
      <c r="B3732" s="1" t="str">
        <f>"9780335240517"</f>
        <v>9780335240517</v>
      </c>
      <c r="C3732" s="1" t="s">
        <v>2247</v>
      </c>
      <c r="D3732" s="2">
        <v>39814</v>
      </c>
      <c r="E3732" s="1" t="s">
        <v>7538</v>
      </c>
      <c r="F3732" s="1" t="s">
        <v>13</v>
      </c>
    </row>
    <row r="3733" spans="1:6" ht="30" customHeight="1" x14ac:dyDescent="0.25">
      <c r="A3733" s="1" t="s">
        <v>7539</v>
      </c>
      <c r="B3733" s="1" t="str">
        <f>"9780826124272"</f>
        <v>9780826124272</v>
      </c>
      <c r="C3733" s="1" t="s">
        <v>2339</v>
      </c>
      <c r="D3733" s="2">
        <v>40179</v>
      </c>
      <c r="E3733" s="1" t="s">
        <v>7540</v>
      </c>
      <c r="F3733" s="1" t="s">
        <v>13</v>
      </c>
    </row>
    <row r="3734" spans="1:6" ht="30" customHeight="1" x14ac:dyDescent="0.25">
      <c r="A3734" s="1" t="s">
        <v>7541</v>
      </c>
      <c r="B3734" s="1" t="str">
        <f>"9789047418108"</f>
        <v>9789047418108</v>
      </c>
      <c r="C3734" s="1" t="s">
        <v>906</v>
      </c>
      <c r="D3734" s="2">
        <v>38835</v>
      </c>
      <c r="E3734" s="1" t="s">
        <v>7542</v>
      </c>
      <c r="F3734" s="1" t="s">
        <v>3261</v>
      </c>
    </row>
    <row r="3735" spans="1:6" ht="30" customHeight="1" x14ac:dyDescent="0.25">
      <c r="A3735" s="1" t="s">
        <v>7543</v>
      </c>
      <c r="B3735" s="1" t="str">
        <f>"9789047442691"</f>
        <v>9789047442691</v>
      </c>
      <c r="C3735" s="1" t="s">
        <v>906</v>
      </c>
      <c r="D3735" s="2">
        <v>39814</v>
      </c>
      <c r="E3735" s="1" t="s">
        <v>7544</v>
      </c>
      <c r="F3735" s="1" t="s">
        <v>95</v>
      </c>
    </row>
    <row r="3736" spans="1:6" ht="30" customHeight="1" x14ac:dyDescent="0.25">
      <c r="A3736" s="1" t="s">
        <v>7545</v>
      </c>
      <c r="B3736" s="1" t="str">
        <f>"9789047428855"</f>
        <v>9789047428855</v>
      </c>
      <c r="C3736" s="1" t="s">
        <v>906</v>
      </c>
      <c r="D3736" s="2">
        <v>41773</v>
      </c>
      <c r="E3736" s="1" t="s">
        <v>7546</v>
      </c>
      <c r="F3736" s="1" t="s">
        <v>158</v>
      </c>
    </row>
    <row r="3737" spans="1:6" ht="30" customHeight="1" x14ac:dyDescent="0.25">
      <c r="A3737" s="1" t="s">
        <v>7547</v>
      </c>
      <c r="B3737" s="1" t="str">
        <f>"9789047430674"</f>
        <v>9789047430674</v>
      </c>
      <c r="C3737" s="1" t="s">
        <v>906</v>
      </c>
      <c r="D3737" s="2">
        <v>41773</v>
      </c>
      <c r="E3737" s="1" t="s">
        <v>7548</v>
      </c>
      <c r="F3737" s="1" t="s">
        <v>13</v>
      </c>
    </row>
    <row r="3738" spans="1:6" ht="30" customHeight="1" x14ac:dyDescent="0.25">
      <c r="A3738" s="1" t="s">
        <v>7549</v>
      </c>
      <c r="B3738" s="1" t="str">
        <f>"9780313093586"</f>
        <v>9780313093586</v>
      </c>
      <c r="C3738" s="1" t="s">
        <v>7550</v>
      </c>
      <c r="D3738" s="2">
        <v>37956</v>
      </c>
      <c r="E3738" s="1" t="s">
        <v>7551</v>
      </c>
      <c r="F3738" s="1" t="s">
        <v>104</v>
      </c>
    </row>
    <row r="3739" spans="1:6" ht="30" customHeight="1" x14ac:dyDescent="0.25">
      <c r="A3739" s="1" t="s">
        <v>1214</v>
      </c>
      <c r="B3739" s="1" t="str">
        <f>"9780313352768"</f>
        <v>9780313352768</v>
      </c>
      <c r="C3739" s="1" t="s">
        <v>7550</v>
      </c>
      <c r="D3739" s="2">
        <v>40148</v>
      </c>
      <c r="E3739" s="1" t="s">
        <v>7552</v>
      </c>
      <c r="F3739" s="1" t="s">
        <v>13</v>
      </c>
    </row>
    <row r="3740" spans="1:6" ht="30" customHeight="1" x14ac:dyDescent="0.25">
      <c r="A3740" s="1" t="s">
        <v>7553</v>
      </c>
      <c r="B3740" s="1" t="str">
        <f>"9783133430258"</f>
        <v>9783133430258</v>
      </c>
      <c r="C3740" s="1" t="s">
        <v>7550</v>
      </c>
      <c r="D3740" s="2">
        <v>39782</v>
      </c>
      <c r="E3740" s="1" t="s">
        <v>7554</v>
      </c>
      <c r="F3740" s="1" t="s">
        <v>13</v>
      </c>
    </row>
    <row r="3741" spans="1:6" ht="30" customHeight="1" x14ac:dyDescent="0.25">
      <c r="A3741" s="1" t="s">
        <v>7555</v>
      </c>
      <c r="B3741" s="1" t="str">
        <f>"9780313365652"</f>
        <v>9780313365652</v>
      </c>
      <c r="C3741" s="1" t="s">
        <v>7550</v>
      </c>
      <c r="D3741" s="2">
        <v>40235</v>
      </c>
      <c r="E3741" s="1" t="s">
        <v>837</v>
      </c>
      <c r="F3741" s="1" t="s">
        <v>13</v>
      </c>
    </row>
    <row r="3742" spans="1:6" ht="30" customHeight="1" x14ac:dyDescent="0.25">
      <c r="A3742" s="1" t="s">
        <v>7556</v>
      </c>
      <c r="B3742" s="1" t="str">
        <f>"9780313057724"</f>
        <v>9780313057724</v>
      </c>
      <c r="C3742" s="1" t="s">
        <v>7550</v>
      </c>
      <c r="D3742" s="2">
        <v>38198</v>
      </c>
      <c r="E3742" s="1" t="s">
        <v>7557</v>
      </c>
      <c r="F3742" s="1" t="s">
        <v>148</v>
      </c>
    </row>
    <row r="3743" spans="1:6" ht="30" customHeight="1" x14ac:dyDescent="0.25">
      <c r="A3743" s="1" t="s">
        <v>7558</v>
      </c>
      <c r="B3743" s="1" t="str">
        <f>"9780313344916"</f>
        <v>9780313344916</v>
      </c>
      <c r="C3743" s="1" t="s">
        <v>7550</v>
      </c>
      <c r="D3743" s="2">
        <v>40148</v>
      </c>
      <c r="E3743" s="1" t="s">
        <v>7559</v>
      </c>
      <c r="F3743" s="1" t="s">
        <v>3328</v>
      </c>
    </row>
    <row r="3744" spans="1:6" ht="30" customHeight="1" x14ac:dyDescent="0.25">
      <c r="A3744" s="1" t="s">
        <v>7560</v>
      </c>
      <c r="B3744" s="1" t="str">
        <f>"9780313072468"</f>
        <v>9780313072468</v>
      </c>
      <c r="C3744" s="1" t="s">
        <v>7550</v>
      </c>
      <c r="D3744" s="2">
        <v>37956</v>
      </c>
      <c r="E3744" s="1" t="s">
        <v>7561</v>
      </c>
      <c r="F3744" s="1" t="s">
        <v>30</v>
      </c>
    </row>
    <row r="3745" spans="1:6" ht="30" customHeight="1" x14ac:dyDescent="0.25">
      <c r="A3745" s="1" t="s">
        <v>7562</v>
      </c>
      <c r="B3745" s="1" t="str">
        <f>"9780313013034"</f>
        <v>9780313013034</v>
      </c>
      <c r="C3745" s="1" t="s">
        <v>7563</v>
      </c>
      <c r="D3745" s="2">
        <v>37437</v>
      </c>
      <c r="E3745" s="1" t="s">
        <v>7564</v>
      </c>
      <c r="F3745" s="1" t="s">
        <v>95</v>
      </c>
    </row>
    <row r="3746" spans="1:6" ht="30" customHeight="1" x14ac:dyDescent="0.25">
      <c r="A3746" s="1" t="s">
        <v>7565</v>
      </c>
      <c r="B3746" s="1" t="str">
        <f>"9781845936044"</f>
        <v>9781845936044</v>
      </c>
      <c r="C3746" s="1" t="s">
        <v>2321</v>
      </c>
      <c r="D3746" s="2">
        <v>40179</v>
      </c>
      <c r="E3746" s="1" t="s">
        <v>7566</v>
      </c>
      <c r="F3746" s="1" t="s">
        <v>1400</v>
      </c>
    </row>
    <row r="3747" spans="1:6" ht="30" customHeight="1" x14ac:dyDescent="0.25">
      <c r="A3747" s="1" t="s">
        <v>7567</v>
      </c>
      <c r="B3747" s="1" t="str">
        <f>"9781848550810"</f>
        <v>9781848550810</v>
      </c>
      <c r="C3747" s="1" t="s">
        <v>971</v>
      </c>
      <c r="D3747" s="2">
        <v>40263</v>
      </c>
      <c r="E3747" s="1" t="s">
        <v>7568</v>
      </c>
      <c r="F3747" s="1" t="s">
        <v>148</v>
      </c>
    </row>
    <row r="3748" spans="1:6" ht="30" customHeight="1" x14ac:dyDescent="0.25">
      <c r="A3748" s="1" t="s">
        <v>7569</v>
      </c>
      <c r="B3748" s="1" t="str">
        <f>"9780313380679"</f>
        <v>9780313380679</v>
      </c>
      <c r="C3748" s="1" t="s">
        <v>7550</v>
      </c>
      <c r="D3748" s="2">
        <v>40017</v>
      </c>
      <c r="E3748" s="1" t="s">
        <v>7570</v>
      </c>
      <c r="F3748" s="1" t="s">
        <v>70</v>
      </c>
    </row>
    <row r="3749" spans="1:6" ht="30" customHeight="1" x14ac:dyDescent="0.25">
      <c r="A3749" s="1" t="s">
        <v>7571</v>
      </c>
      <c r="B3749" s="1" t="str">
        <f>"9782759990870"</f>
        <v>9782759990870</v>
      </c>
      <c r="C3749" s="1" t="s">
        <v>7550</v>
      </c>
      <c r="D3749" s="2">
        <v>41786</v>
      </c>
      <c r="E3749" s="1" t="s">
        <v>7572</v>
      </c>
      <c r="F3749" s="1" t="s">
        <v>13</v>
      </c>
    </row>
    <row r="3750" spans="1:6" ht="30" customHeight="1" x14ac:dyDescent="0.25">
      <c r="A3750" s="1" t="s">
        <v>7573</v>
      </c>
      <c r="B3750" s="1" t="str">
        <f>"9780313059100"</f>
        <v>9780313059100</v>
      </c>
      <c r="C3750" s="1" t="s">
        <v>7563</v>
      </c>
      <c r="D3750" s="2">
        <v>37680</v>
      </c>
      <c r="E3750" s="1" t="s">
        <v>7574</v>
      </c>
      <c r="F3750" s="1" t="s">
        <v>158</v>
      </c>
    </row>
    <row r="3751" spans="1:6" ht="30" customHeight="1" x14ac:dyDescent="0.25">
      <c r="A3751" s="1" t="s">
        <v>7575</v>
      </c>
      <c r="B3751" s="1" t="str">
        <f>"9780313039201"</f>
        <v>9780313039201</v>
      </c>
      <c r="C3751" s="1" t="s">
        <v>7550</v>
      </c>
      <c r="D3751" s="2">
        <v>37956</v>
      </c>
      <c r="E3751" s="1" t="s">
        <v>7576</v>
      </c>
      <c r="F3751" s="1" t="s">
        <v>95</v>
      </c>
    </row>
    <row r="3752" spans="1:6" ht="30" customHeight="1" x14ac:dyDescent="0.25">
      <c r="A3752" s="1" t="s">
        <v>7577</v>
      </c>
      <c r="B3752" s="1" t="str">
        <f>"9780313057892"</f>
        <v>9780313057892</v>
      </c>
      <c r="C3752" s="1" t="s">
        <v>7550</v>
      </c>
      <c r="D3752" s="2">
        <v>38168</v>
      </c>
      <c r="E3752" s="1" t="s">
        <v>7578</v>
      </c>
      <c r="F3752" s="1" t="s">
        <v>30</v>
      </c>
    </row>
    <row r="3753" spans="1:6" ht="30" customHeight="1" x14ac:dyDescent="0.25">
      <c r="A3753" s="1" t="s">
        <v>7579</v>
      </c>
      <c r="B3753" s="1" t="str">
        <f>"9780313378874"</f>
        <v>9780313378874</v>
      </c>
      <c r="C3753" s="1" t="s">
        <v>7550</v>
      </c>
      <c r="D3753" s="2">
        <v>40129</v>
      </c>
      <c r="E3753" s="1" t="s">
        <v>7580</v>
      </c>
      <c r="F3753" s="1" t="s">
        <v>406</v>
      </c>
    </row>
    <row r="3754" spans="1:6" ht="30" customHeight="1" x14ac:dyDescent="0.25">
      <c r="A3754" s="1" t="s">
        <v>7581</v>
      </c>
      <c r="B3754" s="1" t="str">
        <f>"9780313372100"</f>
        <v>9780313372100</v>
      </c>
      <c r="C3754" s="1" t="s">
        <v>7550</v>
      </c>
      <c r="D3754" s="2">
        <v>40170</v>
      </c>
      <c r="E3754" s="1" t="s">
        <v>7582</v>
      </c>
      <c r="F3754" s="1" t="s">
        <v>95</v>
      </c>
    </row>
    <row r="3755" spans="1:6" ht="30" customHeight="1" x14ac:dyDescent="0.25">
      <c r="A3755" s="1" t="s">
        <v>7583</v>
      </c>
      <c r="B3755" s="1" t="str">
        <f>"9780313344954"</f>
        <v>9780313344954</v>
      </c>
      <c r="C3755" s="1" t="s">
        <v>7563</v>
      </c>
      <c r="D3755" s="2">
        <v>39629</v>
      </c>
      <c r="E3755" s="1" t="s">
        <v>7584</v>
      </c>
      <c r="F3755" s="1" t="s">
        <v>541</v>
      </c>
    </row>
    <row r="3756" spans="1:6" ht="30" customHeight="1" x14ac:dyDescent="0.25">
      <c r="A3756" s="1" t="s">
        <v>7585</v>
      </c>
      <c r="B3756" s="1" t="str">
        <f>"9780313380693"</f>
        <v>9780313380693</v>
      </c>
      <c r="C3756" s="1" t="s">
        <v>7563</v>
      </c>
      <c r="D3756" s="2">
        <v>40017</v>
      </c>
      <c r="E3756" s="1" t="s">
        <v>7586</v>
      </c>
      <c r="F3756" s="1" t="s">
        <v>30</v>
      </c>
    </row>
    <row r="3757" spans="1:6" ht="30" customHeight="1" x14ac:dyDescent="0.25">
      <c r="A3757" s="1" t="s">
        <v>7587</v>
      </c>
      <c r="B3757" s="1" t="str">
        <f>"9780313041952"</f>
        <v>9780313041952</v>
      </c>
      <c r="C3757" s="1" t="s">
        <v>7550</v>
      </c>
      <c r="D3757" s="2">
        <v>39052</v>
      </c>
      <c r="E3757" s="1" t="s">
        <v>7588</v>
      </c>
      <c r="F3757" s="1" t="s">
        <v>13</v>
      </c>
    </row>
    <row r="3758" spans="1:6" ht="30" customHeight="1" x14ac:dyDescent="0.25">
      <c r="A3758" s="1" t="s">
        <v>7589</v>
      </c>
      <c r="B3758" s="1" t="str">
        <f>"9780826421036"</f>
        <v>9780826421036</v>
      </c>
      <c r="C3758" s="1" t="s">
        <v>3759</v>
      </c>
      <c r="D3758" s="2">
        <v>41702</v>
      </c>
      <c r="E3758" s="1" t="s">
        <v>7590</v>
      </c>
      <c r="F3758" s="1" t="s">
        <v>13</v>
      </c>
    </row>
    <row r="3759" spans="1:6" ht="30" customHeight="1" x14ac:dyDescent="0.25">
      <c r="A3759" s="1" t="s">
        <v>7591</v>
      </c>
      <c r="B3759" s="1" t="str">
        <f>"9781604863598"</f>
        <v>9781604863598</v>
      </c>
      <c r="C3759" s="1" t="s">
        <v>6459</v>
      </c>
      <c r="D3759" s="2">
        <v>40269</v>
      </c>
      <c r="E3759" s="1" t="s">
        <v>7592</v>
      </c>
      <c r="F3759" s="1" t="s">
        <v>4854</v>
      </c>
    </row>
    <row r="3760" spans="1:6" ht="30" customHeight="1" x14ac:dyDescent="0.25">
      <c r="A3760" s="1" t="s">
        <v>7593</v>
      </c>
      <c r="B3760" s="1" t="str">
        <f>"9780813820972"</f>
        <v>9780813820972</v>
      </c>
      <c r="C3760" s="1" t="s">
        <v>65</v>
      </c>
      <c r="D3760" s="2">
        <v>40234</v>
      </c>
      <c r="E3760" s="1" t="s">
        <v>7594</v>
      </c>
      <c r="F3760" s="1" t="s">
        <v>13</v>
      </c>
    </row>
    <row r="3761" spans="1:6" ht="30" customHeight="1" x14ac:dyDescent="0.25">
      <c r="A3761" s="1" t="s">
        <v>7595</v>
      </c>
      <c r="B3761" s="1" t="str">
        <f>"9780470568255"</f>
        <v>9780470568255</v>
      </c>
      <c r="C3761" s="1" t="s">
        <v>11</v>
      </c>
      <c r="D3761" s="2">
        <v>40239</v>
      </c>
      <c r="E3761" s="1" t="s">
        <v>7596</v>
      </c>
      <c r="F3761" s="1" t="s">
        <v>13</v>
      </c>
    </row>
    <row r="3762" spans="1:6" ht="30" customHeight="1" x14ac:dyDescent="0.25">
      <c r="A3762" s="1" t="s">
        <v>7597</v>
      </c>
      <c r="B3762" s="1" t="str">
        <f>"9780470609149"</f>
        <v>9780470609149</v>
      </c>
      <c r="C3762" s="1" t="s">
        <v>11</v>
      </c>
      <c r="D3762" s="2">
        <v>40228</v>
      </c>
      <c r="E3762" s="1" t="s">
        <v>7598</v>
      </c>
      <c r="F3762" s="1" t="s">
        <v>13</v>
      </c>
    </row>
    <row r="3763" spans="1:6" ht="30" customHeight="1" x14ac:dyDescent="0.25">
      <c r="A3763" s="1" t="s">
        <v>7599</v>
      </c>
      <c r="B3763" s="1" t="str">
        <f>"9780470574942"</f>
        <v>9780470574942</v>
      </c>
      <c r="C3763" s="1" t="s">
        <v>65</v>
      </c>
      <c r="D3763" s="2">
        <v>40231</v>
      </c>
      <c r="E3763" s="1" t="s">
        <v>7600</v>
      </c>
      <c r="F3763" s="1" t="s">
        <v>95</v>
      </c>
    </row>
    <row r="3764" spans="1:6" ht="30" customHeight="1" x14ac:dyDescent="0.25">
      <c r="A3764" s="1" t="s">
        <v>7601</v>
      </c>
      <c r="B3764" s="1" t="str">
        <f>"9780470594070"</f>
        <v>9780470594070</v>
      </c>
      <c r="C3764" s="1" t="s">
        <v>11</v>
      </c>
      <c r="D3764" s="2">
        <v>40242</v>
      </c>
      <c r="E3764" s="1" t="s">
        <v>7602</v>
      </c>
      <c r="F3764" s="1" t="s">
        <v>13</v>
      </c>
    </row>
    <row r="3765" spans="1:6" ht="30" customHeight="1" x14ac:dyDescent="0.25">
      <c r="A3765" s="1" t="s">
        <v>7603</v>
      </c>
      <c r="B3765" s="1" t="str">
        <f>"9780230605688"</f>
        <v>9780230605688</v>
      </c>
      <c r="C3765" s="1" t="s">
        <v>3388</v>
      </c>
      <c r="D3765" s="2">
        <v>39286</v>
      </c>
      <c r="E3765" s="1" t="s">
        <v>7604</v>
      </c>
      <c r="F3765" s="1" t="s">
        <v>7605</v>
      </c>
    </row>
    <row r="3766" spans="1:6" ht="30" customHeight="1" x14ac:dyDescent="0.25">
      <c r="A3766" s="1" t="s">
        <v>7606</v>
      </c>
      <c r="B3766" s="1" t="str">
        <f>"9789062998524"</f>
        <v>9789062998524</v>
      </c>
      <c r="C3766" s="1" t="s">
        <v>3412</v>
      </c>
      <c r="D3766" s="2">
        <v>40224</v>
      </c>
      <c r="E3766" s="1" t="s">
        <v>7607</v>
      </c>
      <c r="F3766" s="1" t="s">
        <v>268</v>
      </c>
    </row>
    <row r="3767" spans="1:6" ht="30" customHeight="1" x14ac:dyDescent="0.25">
      <c r="A3767" s="1" t="s">
        <v>7608</v>
      </c>
      <c r="B3767" s="1" t="str">
        <f>"9780826105189"</f>
        <v>9780826105189</v>
      </c>
      <c r="C3767" s="1" t="s">
        <v>2339</v>
      </c>
      <c r="D3767" s="2">
        <v>40228</v>
      </c>
      <c r="E3767" s="1" t="s">
        <v>7609</v>
      </c>
      <c r="F3767" s="1" t="s">
        <v>13</v>
      </c>
    </row>
    <row r="3768" spans="1:6" ht="30" customHeight="1" x14ac:dyDescent="0.25">
      <c r="A3768" s="1" t="s">
        <v>7610</v>
      </c>
      <c r="B3768" s="1" t="str">
        <f>"9780826118868"</f>
        <v>9780826118868</v>
      </c>
      <c r="C3768" s="1" t="s">
        <v>2339</v>
      </c>
      <c r="D3768" s="2">
        <v>40513</v>
      </c>
      <c r="E3768" s="1" t="s">
        <v>7611</v>
      </c>
      <c r="F3768" s="1" t="s">
        <v>158</v>
      </c>
    </row>
    <row r="3769" spans="1:6" ht="30" customHeight="1" x14ac:dyDescent="0.25">
      <c r="A3769" s="1" t="s">
        <v>7612</v>
      </c>
      <c r="B3769" s="1" t="str">
        <f>"9780826105820"</f>
        <v>9780826105820</v>
      </c>
      <c r="C3769" s="1" t="s">
        <v>2339</v>
      </c>
      <c r="D3769" s="2">
        <v>40513</v>
      </c>
      <c r="E3769" s="1" t="s">
        <v>7613</v>
      </c>
      <c r="F3769" s="1" t="s">
        <v>126</v>
      </c>
    </row>
    <row r="3770" spans="1:6" ht="30" customHeight="1" x14ac:dyDescent="0.25">
      <c r="A3770" s="1" t="s">
        <v>7614</v>
      </c>
      <c r="B3770" s="1" t="str">
        <f>"9780826105356"</f>
        <v>9780826105356</v>
      </c>
      <c r="C3770" s="1" t="s">
        <v>2339</v>
      </c>
      <c r="D3770" s="2">
        <v>40217</v>
      </c>
      <c r="E3770" s="1" t="s">
        <v>7615</v>
      </c>
      <c r="F3770" s="1" t="s">
        <v>126</v>
      </c>
    </row>
    <row r="3771" spans="1:6" ht="30" customHeight="1" x14ac:dyDescent="0.25">
      <c r="A3771" s="1" t="s">
        <v>7616</v>
      </c>
      <c r="B3771" s="1" t="str">
        <f>"9780226733999"</f>
        <v>9780226733999</v>
      </c>
      <c r="C3771" s="1" t="s">
        <v>5093</v>
      </c>
      <c r="D3771" s="2">
        <v>40224</v>
      </c>
      <c r="E3771" s="1" t="s">
        <v>7617</v>
      </c>
      <c r="F3771" s="1" t="s">
        <v>158</v>
      </c>
    </row>
    <row r="3772" spans="1:6" ht="30" customHeight="1" x14ac:dyDescent="0.25">
      <c r="A3772" s="1" t="s">
        <v>7618</v>
      </c>
      <c r="B3772" s="1" t="str">
        <f>"9780708322796"</f>
        <v>9780708322796</v>
      </c>
      <c r="C3772" s="1" t="s">
        <v>7619</v>
      </c>
      <c r="D3772" s="2">
        <v>40117</v>
      </c>
      <c r="E3772" s="1" t="s">
        <v>7620</v>
      </c>
      <c r="F3772" s="1" t="s">
        <v>13</v>
      </c>
    </row>
    <row r="3773" spans="1:6" ht="30" customHeight="1" x14ac:dyDescent="0.25">
      <c r="A3773" s="1" t="s">
        <v>7621</v>
      </c>
      <c r="B3773" s="1" t="str">
        <f>"9780313366246"</f>
        <v>9780313366246</v>
      </c>
      <c r="C3773" s="1" t="s">
        <v>7550</v>
      </c>
      <c r="D3773" s="2">
        <v>40235</v>
      </c>
      <c r="E3773" s="1" t="s">
        <v>7622</v>
      </c>
      <c r="F3773" s="1" t="s">
        <v>30</v>
      </c>
    </row>
    <row r="3774" spans="1:6" ht="30" customHeight="1" x14ac:dyDescent="0.25">
      <c r="A3774" s="1" t="s">
        <v>7623</v>
      </c>
      <c r="B3774" s="1" t="str">
        <f>"9780313390470"</f>
        <v>9780313390470</v>
      </c>
      <c r="C3774" s="1" t="s">
        <v>7550</v>
      </c>
      <c r="D3774" s="2">
        <v>36463</v>
      </c>
      <c r="E3774" s="1" t="s">
        <v>7624</v>
      </c>
      <c r="F3774" s="1" t="s">
        <v>95</v>
      </c>
    </row>
    <row r="3775" spans="1:6" ht="30" customHeight="1" x14ac:dyDescent="0.25">
      <c r="A3775" s="1" t="s">
        <v>7625</v>
      </c>
      <c r="B3775" s="1" t="str">
        <f>"9780313051852"</f>
        <v>9780313051852</v>
      </c>
      <c r="C3775" s="1" t="s">
        <v>7550</v>
      </c>
      <c r="D3775" s="2">
        <v>37956</v>
      </c>
      <c r="E3775" s="1" t="s">
        <v>7626</v>
      </c>
      <c r="F3775" s="1" t="s">
        <v>95</v>
      </c>
    </row>
    <row r="3776" spans="1:6" ht="30" customHeight="1" x14ac:dyDescent="0.25">
      <c r="A3776" s="1" t="s">
        <v>7627</v>
      </c>
      <c r="B3776" s="1" t="str">
        <f>"9780199709991"</f>
        <v>9780199709991</v>
      </c>
      <c r="C3776" s="1" t="s">
        <v>1123</v>
      </c>
      <c r="D3776" s="2">
        <v>40269</v>
      </c>
      <c r="E3776" s="1" t="s">
        <v>7628</v>
      </c>
      <c r="F3776" s="1" t="s">
        <v>13</v>
      </c>
    </row>
    <row r="3777" spans="1:6" ht="30" customHeight="1" x14ac:dyDescent="0.25">
      <c r="A3777" s="1" t="s">
        <v>7629</v>
      </c>
      <c r="B3777" s="1" t="str">
        <f>"9780199702626"</f>
        <v>9780199702626</v>
      </c>
      <c r="C3777" s="1" t="s">
        <v>1120</v>
      </c>
      <c r="D3777" s="2">
        <v>40235</v>
      </c>
      <c r="E3777" s="1" t="s">
        <v>7630</v>
      </c>
      <c r="F3777" s="1" t="s">
        <v>30</v>
      </c>
    </row>
    <row r="3778" spans="1:6" ht="30" customHeight="1" x14ac:dyDescent="0.25">
      <c r="A3778" s="1" t="s">
        <v>7631</v>
      </c>
      <c r="B3778" s="1" t="str">
        <f>"9780199707171"</f>
        <v>9780199707171</v>
      </c>
      <c r="C3778" s="1" t="s">
        <v>1120</v>
      </c>
      <c r="D3778" s="2">
        <v>40270</v>
      </c>
      <c r="E3778" s="1" t="s">
        <v>7632</v>
      </c>
      <c r="F3778" s="1" t="s">
        <v>13</v>
      </c>
    </row>
    <row r="3779" spans="1:6" ht="30" customHeight="1" x14ac:dyDescent="0.25">
      <c r="A3779" s="1" t="s">
        <v>7633</v>
      </c>
      <c r="B3779" s="1" t="str">
        <f>"9780199749485"</f>
        <v>9780199749485</v>
      </c>
      <c r="C3779" s="1" t="s">
        <v>1123</v>
      </c>
      <c r="D3779" s="2">
        <v>40298</v>
      </c>
      <c r="E3779" s="1" t="s">
        <v>7634</v>
      </c>
      <c r="F3779" s="1" t="s">
        <v>13</v>
      </c>
    </row>
    <row r="3780" spans="1:6" ht="30" customHeight="1" x14ac:dyDescent="0.25">
      <c r="A3780" s="1" t="s">
        <v>7635</v>
      </c>
      <c r="B3780" s="1" t="str">
        <f>"9780199749492"</f>
        <v>9780199749492</v>
      </c>
      <c r="C3780" s="1" t="s">
        <v>1123</v>
      </c>
      <c r="D3780" s="2">
        <v>40238</v>
      </c>
      <c r="E3780" s="1" t="s">
        <v>7636</v>
      </c>
      <c r="F3780" s="1" t="s">
        <v>21</v>
      </c>
    </row>
    <row r="3781" spans="1:6" ht="30" customHeight="1" x14ac:dyDescent="0.25">
      <c r="A3781" s="1" t="s">
        <v>7637</v>
      </c>
      <c r="B3781" s="1" t="str">
        <f>"9780199702442"</f>
        <v>9780199702442</v>
      </c>
      <c r="C3781" s="1" t="s">
        <v>1123</v>
      </c>
      <c r="D3781" s="2">
        <v>40289</v>
      </c>
      <c r="E3781" s="1" t="s">
        <v>1709</v>
      </c>
      <c r="F3781" s="1" t="s">
        <v>13</v>
      </c>
    </row>
    <row r="3782" spans="1:6" ht="30" customHeight="1" x14ac:dyDescent="0.25">
      <c r="A3782" s="1" t="s">
        <v>7638</v>
      </c>
      <c r="B3782" s="1" t="str">
        <f>"9780199724154"</f>
        <v>9780199724154</v>
      </c>
      <c r="C3782" s="1" t="s">
        <v>1120</v>
      </c>
      <c r="D3782" s="2">
        <v>39695</v>
      </c>
      <c r="E3782" s="1" t="s">
        <v>7639</v>
      </c>
      <c r="F3782" s="1" t="s">
        <v>176</v>
      </c>
    </row>
    <row r="3783" spans="1:6" ht="30" customHeight="1" x14ac:dyDescent="0.25">
      <c r="A3783" s="1" t="s">
        <v>7640</v>
      </c>
      <c r="B3783" s="1" t="str">
        <f>"9780765707741"</f>
        <v>9780765707741</v>
      </c>
      <c r="C3783" s="1" t="s">
        <v>6903</v>
      </c>
      <c r="D3783" s="2">
        <v>40255</v>
      </c>
      <c r="E3783" s="1" t="s">
        <v>7641</v>
      </c>
      <c r="F3783" s="1" t="s">
        <v>13</v>
      </c>
    </row>
    <row r="3784" spans="1:6" ht="30" customHeight="1" x14ac:dyDescent="0.25">
      <c r="A3784" s="1" t="s">
        <v>7642</v>
      </c>
      <c r="B3784" s="1" t="str">
        <f>"9780511681707"</f>
        <v>9780511681707</v>
      </c>
      <c r="C3784" s="1" t="s">
        <v>25</v>
      </c>
      <c r="D3784" s="2">
        <v>40248</v>
      </c>
      <c r="E3784" s="1" t="s">
        <v>7643</v>
      </c>
      <c r="F3784" s="1" t="s">
        <v>13</v>
      </c>
    </row>
    <row r="3785" spans="1:6" ht="30" customHeight="1" x14ac:dyDescent="0.25">
      <c r="A3785" s="1" t="s">
        <v>7644</v>
      </c>
      <c r="B3785" s="1" t="str">
        <f>"9780511692345"</f>
        <v>9780511692345</v>
      </c>
      <c r="C3785" s="1" t="s">
        <v>25</v>
      </c>
      <c r="D3785" s="2">
        <v>40150</v>
      </c>
      <c r="E3785" s="1" t="s">
        <v>7645</v>
      </c>
      <c r="F3785" s="1" t="s">
        <v>13</v>
      </c>
    </row>
    <row r="3786" spans="1:6" ht="30" customHeight="1" x14ac:dyDescent="0.25">
      <c r="A3786" s="1" t="s">
        <v>7646</v>
      </c>
      <c r="B3786" s="1" t="str">
        <f>"9780511692659"</f>
        <v>9780511692659</v>
      </c>
      <c r="C3786" s="1" t="s">
        <v>25</v>
      </c>
      <c r="D3786" s="2">
        <v>40118</v>
      </c>
      <c r="E3786" s="1" t="s">
        <v>7647</v>
      </c>
      <c r="F3786" s="1" t="s">
        <v>13</v>
      </c>
    </row>
    <row r="3787" spans="1:6" ht="30" customHeight="1" x14ac:dyDescent="0.25">
      <c r="A3787" s="1" t="s">
        <v>7648</v>
      </c>
      <c r="B3787" s="1" t="str">
        <f>"9780511682179"</f>
        <v>9780511682179</v>
      </c>
      <c r="C3787" s="1" t="s">
        <v>25</v>
      </c>
      <c r="D3787" s="2">
        <v>40213</v>
      </c>
      <c r="E3787" s="1" t="s">
        <v>7649</v>
      </c>
      <c r="F3787" s="1" t="s">
        <v>13</v>
      </c>
    </row>
    <row r="3788" spans="1:6" ht="30" customHeight="1" x14ac:dyDescent="0.25">
      <c r="A3788" s="1" t="s">
        <v>1370</v>
      </c>
      <c r="B3788" s="1" t="str">
        <f>"9780511692338"</f>
        <v>9780511692338</v>
      </c>
      <c r="C3788" s="1" t="s">
        <v>25</v>
      </c>
      <c r="D3788" s="2">
        <v>40143</v>
      </c>
      <c r="E3788" s="1" t="s">
        <v>1371</v>
      </c>
      <c r="F3788" s="1" t="s">
        <v>13</v>
      </c>
    </row>
    <row r="3789" spans="1:6" ht="30" customHeight="1" x14ac:dyDescent="0.25">
      <c r="A3789" s="1" t="s">
        <v>7650</v>
      </c>
      <c r="B3789" s="1" t="str">
        <f>"9780511681806"</f>
        <v>9780511681806</v>
      </c>
      <c r="C3789" s="1" t="s">
        <v>25</v>
      </c>
      <c r="D3789" s="2">
        <v>40210</v>
      </c>
      <c r="E3789" s="1" t="s">
        <v>7651</v>
      </c>
      <c r="F3789" s="1" t="s">
        <v>13</v>
      </c>
    </row>
    <row r="3790" spans="1:6" ht="30" customHeight="1" x14ac:dyDescent="0.25">
      <c r="A3790" s="1" t="s">
        <v>7652</v>
      </c>
      <c r="B3790" s="1" t="str">
        <f>"9780511692291"</f>
        <v>9780511692291</v>
      </c>
      <c r="C3790" s="1" t="s">
        <v>25</v>
      </c>
      <c r="D3790" s="2">
        <v>40136</v>
      </c>
      <c r="E3790" s="1" t="s">
        <v>7653</v>
      </c>
      <c r="F3790" s="1" t="s">
        <v>13</v>
      </c>
    </row>
    <row r="3791" spans="1:6" ht="30" customHeight="1" x14ac:dyDescent="0.25">
      <c r="A3791" s="1" t="s">
        <v>7654</v>
      </c>
      <c r="B3791" s="1" t="str">
        <f>"9780253003942"</f>
        <v>9780253003942</v>
      </c>
      <c r="C3791" s="1" t="s">
        <v>19</v>
      </c>
      <c r="D3791" s="2">
        <v>40169</v>
      </c>
      <c r="E3791" s="1" t="s">
        <v>7655</v>
      </c>
      <c r="F3791" s="1" t="s">
        <v>13</v>
      </c>
    </row>
    <row r="3792" spans="1:6" ht="30" customHeight="1" x14ac:dyDescent="0.25">
      <c r="A3792" s="1" t="s">
        <v>7656</v>
      </c>
      <c r="B3792" s="1" t="str">
        <f>"9781607504702"</f>
        <v>9781607504702</v>
      </c>
      <c r="C3792" s="1" t="s">
        <v>1390</v>
      </c>
      <c r="D3792" s="2">
        <v>40199</v>
      </c>
      <c r="E3792" s="1" t="s">
        <v>7657</v>
      </c>
      <c r="F3792" s="1" t="s">
        <v>599</v>
      </c>
    </row>
    <row r="3793" spans="1:6" ht="30" customHeight="1" x14ac:dyDescent="0.25">
      <c r="A3793" s="1" t="s">
        <v>7658</v>
      </c>
      <c r="B3793" s="1" t="str">
        <f>"9781607504733"</f>
        <v>9781607504733</v>
      </c>
      <c r="C3793" s="1" t="s">
        <v>1390</v>
      </c>
      <c r="D3793" s="2">
        <v>40231</v>
      </c>
      <c r="E3793" s="1" t="s">
        <v>7659</v>
      </c>
      <c r="F3793" s="1" t="s">
        <v>963</v>
      </c>
    </row>
    <row r="3794" spans="1:6" ht="30" customHeight="1" x14ac:dyDescent="0.25">
      <c r="A3794" s="1" t="s">
        <v>7660</v>
      </c>
      <c r="B3794" s="1" t="str">
        <f>"9781607505259"</f>
        <v>9781607505259</v>
      </c>
      <c r="C3794" s="1" t="s">
        <v>1390</v>
      </c>
      <c r="D3794" s="2">
        <v>40211</v>
      </c>
      <c r="E3794" s="1" t="s">
        <v>7661</v>
      </c>
      <c r="F3794" s="1" t="s">
        <v>70</v>
      </c>
    </row>
    <row r="3795" spans="1:6" ht="30" customHeight="1" x14ac:dyDescent="0.25">
      <c r="A3795" s="1" t="s">
        <v>7662</v>
      </c>
      <c r="B3795" s="1" t="str">
        <f>"9780511681684"</f>
        <v>9780511681684</v>
      </c>
      <c r="C3795" s="1" t="s">
        <v>25</v>
      </c>
      <c r="D3795" s="2">
        <v>40203</v>
      </c>
      <c r="E3795" s="1" t="s">
        <v>7663</v>
      </c>
      <c r="F3795" s="1" t="s">
        <v>13</v>
      </c>
    </row>
    <row r="3796" spans="1:6" ht="30" customHeight="1" x14ac:dyDescent="0.25">
      <c r="A3796" s="1" t="s">
        <v>7664</v>
      </c>
      <c r="B3796" s="1" t="str">
        <f>"9780470524978"</f>
        <v>9780470524978</v>
      </c>
      <c r="C3796" s="1" t="s">
        <v>11</v>
      </c>
      <c r="D3796" s="2">
        <v>40253</v>
      </c>
      <c r="E3796" s="1" t="s">
        <v>7665</v>
      </c>
      <c r="F3796" s="1" t="s">
        <v>7666</v>
      </c>
    </row>
    <row r="3797" spans="1:6" ht="30" customHeight="1" x14ac:dyDescent="0.25">
      <c r="A3797" s="1" t="s">
        <v>7667</v>
      </c>
      <c r="B3797" s="1" t="str">
        <f>"9780470597491"</f>
        <v>9780470597491</v>
      </c>
      <c r="C3797" s="1" t="s">
        <v>11</v>
      </c>
      <c r="D3797" s="2">
        <v>40253</v>
      </c>
      <c r="E3797" s="1" t="s">
        <v>7668</v>
      </c>
      <c r="F3797" s="1" t="s">
        <v>13</v>
      </c>
    </row>
    <row r="3798" spans="1:6" ht="30" customHeight="1" x14ac:dyDescent="0.25">
      <c r="A3798" s="1" t="s">
        <v>7669</v>
      </c>
      <c r="B3798" s="1" t="str">
        <f>"9780470626573"</f>
        <v>9780470626573</v>
      </c>
      <c r="C3798" s="1" t="s">
        <v>65</v>
      </c>
      <c r="D3798" s="2">
        <v>40262</v>
      </c>
      <c r="E3798" s="1" t="s">
        <v>7670</v>
      </c>
      <c r="F3798" s="1" t="s">
        <v>30</v>
      </c>
    </row>
    <row r="3799" spans="1:6" ht="30" customHeight="1" x14ac:dyDescent="0.25">
      <c r="A3799" s="1" t="s">
        <v>7671</v>
      </c>
      <c r="B3799" s="1" t="str">
        <f>"9780470603772"</f>
        <v>9780470603772</v>
      </c>
      <c r="C3799" s="1" t="s">
        <v>11</v>
      </c>
      <c r="D3799" s="2">
        <v>40253</v>
      </c>
      <c r="E3799" s="1" t="s">
        <v>7672</v>
      </c>
      <c r="F3799" s="1" t="s">
        <v>7673</v>
      </c>
    </row>
    <row r="3800" spans="1:6" ht="30" customHeight="1" x14ac:dyDescent="0.25">
      <c r="A3800" s="1" t="s">
        <v>7674</v>
      </c>
      <c r="B3800" s="1" t="str">
        <f>"9780199749706"</f>
        <v>9780199749706</v>
      </c>
      <c r="C3800" s="1" t="s">
        <v>1123</v>
      </c>
      <c r="D3800" s="2">
        <v>40269</v>
      </c>
      <c r="E3800" s="1" t="s">
        <v>7675</v>
      </c>
      <c r="F3800" s="1" t="s">
        <v>82</v>
      </c>
    </row>
    <row r="3801" spans="1:6" ht="30" customHeight="1" x14ac:dyDescent="0.25">
      <c r="A3801" s="1" t="s">
        <v>7676</v>
      </c>
      <c r="B3801" s="1" t="str">
        <f>"9780199706761"</f>
        <v>9780199706761</v>
      </c>
      <c r="C3801" s="1" t="s">
        <v>1123</v>
      </c>
      <c r="D3801" s="2">
        <v>40266</v>
      </c>
      <c r="E3801" s="1" t="s">
        <v>7677</v>
      </c>
      <c r="F3801" s="1" t="s">
        <v>13</v>
      </c>
    </row>
    <row r="3802" spans="1:6" ht="30" customHeight="1" x14ac:dyDescent="0.25">
      <c r="A3802" s="1" t="s">
        <v>7678</v>
      </c>
      <c r="B3802" s="1" t="str">
        <f>"9783110226935"</f>
        <v>9783110226935</v>
      </c>
      <c r="C3802" s="1" t="s">
        <v>1848</v>
      </c>
      <c r="D3802" s="2">
        <v>40232</v>
      </c>
      <c r="E3802" s="1" t="s">
        <v>7679</v>
      </c>
      <c r="F3802" s="1" t="s">
        <v>13</v>
      </c>
    </row>
    <row r="3803" spans="1:6" ht="30" customHeight="1" x14ac:dyDescent="0.25">
      <c r="A3803" s="1" t="s">
        <v>7680</v>
      </c>
      <c r="B3803" s="1" t="str">
        <f>"9780754693611"</f>
        <v>9780754693611</v>
      </c>
      <c r="C3803" s="1" t="s">
        <v>68</v>
      </c>
      <c r="D3803" s="2">
        <v>40299</v>
      </c>
      <c r="E3803" s="1" t="s">
        <v>7681</v>
      </c>
      <c r="F3803" s="1" t="s">
        <v>13</v>
      </c>
    </row>
    <row r="3804" spans="1:6" ht="30" customHeight="1" x14ac:dyDescent="0.25">
      <c r="A3804" s="1" t="s">
        <v>7682</v>
      </c>
      <c r="B3804" s="1" t="str">
        <f>"9781555815905"</f>
        <v>9781555815905</v>
      </c>
      <c r="C3804" s="1" t="s">
        <v>7254</v>
      </c>
      <c r="D3804" s="2">
        <v>38718</v>
      </c>
      <c r="E3804" s="1" t="s">
        <v>7683</v>
      </c>
      <c r="F3804" s="1" t="s">
        <v>13</v>
      </c>
    </row>
    <row r="3805" spans="1:6" ht="30" customHeight="1" x14ac:dyDescent="0.25">
      <c r="A3805" s="1" t="s">
        <v>7684</v>
      </c>
      <c r="B3805" s="1" t="str">
        <f>"9781555815936"</f>
        <v>9781555815936</v>
      </c>
      <c r="C3805" s="1" t="s">
        <v>7254</v>
      </c>
      <c r="D3805" s="2">
        <v>40179</v>
      </c>
      <c r="E3805" s="1" t="s">
        <v>7685</v>
      </c>
      <c r="F3805" s="1" t="s">
        <v>4655</v>
      </c>
    </row>
    <row r="3806" spans="1:6" ht="30" customHeight="1" x14ac:dyDescent="0.25">
      <c r="A3806" s="1" t="s">
        <v>7686</v>
      </c>
      <c r="B3806" s="1" t="str">
        <f>"9780470579824"</f>
        <v>9780470579824</v>
      </c>
      <c r="C3806" s="1" t="s">
        <v>65</v>
      </c>
      <c r="D3806" s="2">
        <v>40267</v>
      </c>
      <c r="E3806" s="1" t="s">
        <v>7687</v>
      </c>
      <c r="F3806" s="1" t="s">
        <v>13</v>
      </c>
    </row>
    <row r="3807" spans="1:6" ht="30" customHeight="1" x14ac:dyDescent="0.25">
      <c r="A3807" s="1" t="s">
        <v>7688</v>
      </c>
      <c r="B3807" s="1" t="str">
        <f>"9780470584163"</f>
        <v>9780470584163</v>
      </c>
      <c r="C3807" s="1" t="s">
        <v>11</v>
      </c>
      <c r="D3807" s="2">
        <v>40275</v>
      </c>
      <c r="E3807" s="1" t="s">
        <v>7689</v>
      </c>
      <c r="F3807" s="1" t="s">
        <v>137</v>
      </c>
    </row>
    <row r="3808" spans="1:6" ht="30" customHeight="1" x14ac:dyDescent="0.25">
      <c r="A3808" s="1" t="s">
        <v>7690</v>
      </c>
      <c r="B3808" s="1" t="str">
        <f>"9781444319767"</f>
        <v>9781444319767</v>
      </c>
      <c r="C3808" s="1" t="s">
        <v>65</v>
      </c>
      <c r="D3808" s="2">
        <v>40231</v>
      </c>
      <c r="E3808" s="1" t="s">
        <v>7691</v>
      </c>
      <c r="F3808" s="1" t="s">
        <v>268</v>
      </c>
    </row>
    <row r="3809" spans="1:6" ht="30" customHeight="1" x14ac:dyDescent="0.25">
      <c r="A3809" s="1" t="s">
        <v>7692</v>
      </c>
      <c r="B3809" s="1" t="str">
        <f>"9781444314496"</f>
        <v>9781444314496</v>
      </c>
      <c r="C3809" s="1" t="s">
        <v>65</v>
      </c>
      <c r="D3809" s="2">
        <v>40263</v>
      </c>
      <c r="E3809" s="1" t="s">
        <v>7693</v>
      </c>
      <c r="F3809" s="1" t="s">
        <v>13</v>
      </c>
    </row>
    <row r="3810" spans="1:6" ht="30" customHeight="1" x14ac:dyDescent="0.25">
      <c r="A3810" s="1" t="s">
        <v>7694</v>
      </c>
      <c r="B3810" s="1" t="str">
        <f>"9781444320350"</f>
        <v>9781444320350</v>
      </c>
      <c r="C3810" s="1" t="s">
        <v>65</v>
      </c>
      <c r="D3810" s="2">
        <v>40253</v>
      </c>
      <c r="E3810" s="1" t="s">
        <v>7695</v>
      </c>
      <c r="F3810" s="1" t="s">
        <v>176</v>
      </c>
    </row>
    <row r="3811" spans="1:6" ht="30" customHeight="1" x14ac:dyDescent="0.25">
      <c r="A3811" s="1" t="s">
        <v>7696</v>
      </c>
      <c r="B3811" s="1" t="str">
        <f>"9781444320404"</f>
        <v>9781444320404</v>
      </c>
      <c r="C3811" s="1" t="s">
        <v>65</v>
      </c>
      <c r="D3811" s="2">
        <v>40322</v>
      </c>
      <c r="E3811" s="1" t="s">
        <v>7697</v>
      </c>
      <c r="F3811" s="1" t="s">
        <v>2256</v>
      </c>
    </row>
    <row r="3812" spans="1:6" ht="30" customHeight="1" x14ac:dyDescent="0.25">
      <c r="A3812" s="1" t="s">
        <v>7698</v>
      </c>
      <c r="B3812" s="1" t="str">
        <f>"9780470749173"</f>
        <v>9780470749173</v>
      </c>
      <c r="C3812" s="1" t="s">
        <v>65</v>
      </c>
      <c r="D3812" s="2">
        <v>40253</v>
      </c>
      <c r="E3812" s="1" t="s">
        <v>7699</v>
      </c>
      <c r="F3812" s="1" t="s">
        <v>268</v>
      </c>
    </row>
    <row r="3813" spans="1:6" ht="30" customHeight="1" x14ac:dyDescent="0.25">
      <c r="A3813" s="1" t="s">
        <v>7700</v>
      </c>
      <c r="B3813" s="1" t="str">
        <f>"9781444319811"</f>
        <v>9781444319811</v>
      </c>
      <c r="C3813" s="1" t="s">
        <v>65</v>
      </c>
      <c r="D3813" s="2">
        <v>40231</v>
      </c>
      <c r="E3813" s="1" t="s">
        <v>7701</v>
      </c>
      <c r="F3813" s="1" t="s">
        <v>13</v>
      </c>
    </row>
    <row r="3814" spans="1:6" ht="30" customHeight="1" x14ac:dyDescent="0.25">
      <c r="A3814" s="1" t="s">
        <v>7702</v>
      </c>
      <c r="B3814" s="1" t="str">
        <f>"9781444320336"</f>
        <v>9781444320336</v>
      </c>
      <c r="C3814" s="1" t="s">
        <v>65</v>
      </c>
      <c r="D3814" s="2">
        <v>40263</v>
      </c>
      <c r="E3814" s="1" t="s">
        <v>7703</v>
      </c>
      <c r="F3814" s="1" t="s">
        <v>13</v>
      </c>
    </row>
    <row r="3815" spans="1:6" ht="30" customHeight="1" x14ac:dyDescent="0.25">
      <c r="A3815" s="1" t="s">
        <v>7704</v>
      </c>
      <c r="B3815" s="1" t="str">
        <f>"9781119965138"</f>
        <v>9781119965138</v>
      </c>
      <c r="C3815" s="1" t="s">
        <v>65</v>
      </c>
      <c r="D3815" s="2">
        <v>40267</v>
      </c>
      <c r="E3815" s="1" t="s">
        <v>7705</v>
      </c>
      <c r="F3815" s="1" t="s">
        <v>30</v>
      </c>
    </row>
    <row r="3816" spans="1:6" ht="30" customHeight="1" x14ac:dyDescent="0.25">
      <c r="A3816" s="1" t="s">
        <v>7706</v>
      </c>
      <c r="B3816" s="1" t="str">
        <f>"9780470660386"</f>
        <v>9780470660386</v>
      </c>
      <c r="C3816" s="1" t="s">
        <v>65</v>
      </c>
      <c r="D3816" s="2">
        <v>40262</v>
      </c>
      <c r="E3816" s="1" t="s">
        <v>7707</v>
      </c>
      <c r="F3816" s="1" t="s">
        <v>13</v>
      </c>
    </row>
    <row r="3817" spans="1:6" ht="30" customHeight="1" x14ac:dyDescent="0.25">
      <c r="A3817" s="1" t="s">
        <v>7708</v>
      </c>
      <c r="B3817" s="1" t="str">
        <f>"9780826105080"</f>
        <v>9780826105080</v>
      </c>
      <c r="C3817" s="1" t="s">
        <v>2339</v>
      </c>
      <c r="D3817" s="2">
        <v>40513</v>
      </c>
      <c r="E3817" s="1" t="s">
        <v>7709</v>
      </c>
      <c r="F3817" s="1" t="s">
        <v>126</v>
      </c>
    </row>
    <row r="3818" spans="1:6" ht="30" customHeight="1" x14ac:dyDescent="0.25">
      <c r="A3818" s="1" t="s">
        <v>7710</v>
      </c>
      <c r="B3818" s="1" t="str">
        <f>"9781604730531"</f>
        <v>9781604730531</v>
      </c>
      <c r="C3818" s="1" t="s">
        <v>7711</v>
      </c>
      <c r="D3818" s="2">
        <v>38142</v>
      </c>
      <c r="E3818" s="1" t="s">
        <v>7712</v>
      </c>
      <c r="F3818" s="1" t="s">
        <v>13</v>
      </c>
    </row>
    <row r="3819" spans="1:6" ht="30" customHeight="1" x14ac:dyDescent="0.25">
      <c r="A3819" s="1" t="s">
        <v>7713</v>
      </c>
      <c r="B3819" s="1" t="str">
        <f>"9781604737004"</f>
        <v>9781604737004</v>
      </c>
      <c r="C3819" s="1" t="s">
        <v>7711</v>
      </c>
      <c r="D3819" s="2">
        <v>35431</v>
      </c>
      <c r="E3819" s="1" t="s">
        <v>7714</v>
      </c>
      <c r="F3819" s="1" t="s">
        <v>13</v>
      </c>
    </row>
    <row r="3820" spans="1:6" ht="30" customHeight="1" x14ac:dyDescent="0.25">
      <c r="A3820" s="1" t="s">
        <v>7715</v>
      </c>
      <c r="B3820" s="1" t="str">
        <f>"9781604730265"</f>
        <v>9781604730265</v>
      </c>
      <c r="C3820" s="1" t="s">
        <v>7711</v>
      </c>
      <c r="D3820" s="2">
        <v>36647</v>
      </c>
      <c r="E3820" s="1" t="s">
        <v>7716</v>
      </c>
      <c r="F3820" s="1" t="s">
        <v>13</v>
      </c>
    </row>
    <row r="3821" spans="1:6" ht="30" customHeight="1" x14ac:dyDescent="0.25">
      <c r="A3821" s="1" t="s">
        <v>7717</v>
      </c>
      <c r="B3821" s="1" t="str">
        <f>"9781604730630"</f>
        <v>9781604730630</v>
      </c>
      <c r="C3821" s="1" t="s">
        <v>7711</v>
      </c>
      <c r="D3821" s="2">
        <v>36526</v>
      </c>
      <c r="E3821" s="1" t="s">
        <v>7718</v>
      </c>
      <c r="F3821" s="1" t="s">
        <v>13</v>
      </c>
    </row>
    <row r="3822" spans="1:6" ht="30" customHeight="1" x14ac:dyDescent="0.25">
      <c r="A3822" s="1" t="s">
        <v>7719</v>
      </c>
      <c r="B3822" s="1" t="str">
        <f>"9781604730357"</f>
        <v>9781604730357</v>
      </c>
      <c r="C3822" s="1" t="s">
        <v>7711</v>
      </c>
      <c r="D3822" s="2">
        <v>37426</v>
      </c>
      <c r="E3822" s="1" t="s">
        <v>7720</v>
      </c>
      <c r="F3822" s="1" t="s">
        <v>13</v>
      </c>
    </row>
    <row r="3823" spans="1:6" ht="30" customHeight="1" x14ac:dyDescent="0.25">
      <c r="A3823" s="1" t="s">
        <v>7721</v>
      </c>
      <c r="B3823" s="1" t="str">
        <f>"9781604730371"</f>
        <v>9781604730371</v>
      </c>
      <c r="C3823" s="1" t="s">
        <v>7711</v>
      </c>
      <c r="D3823" s="2">
        <v>37426</v>
      </c>
      <c r="E3823" s="1" t="s">
        <v>7722</v>
      </c>
      <c r="F3823" s="1" t="s">
        <v>13</v>
      </c>
    </row>
    <row r="3824" spans="1:6" ht="30" customHeight="1" x14ac:dyDescent="0.25">
      <c r="A3824" s="1" t="s">
        <v>7723</v>
      </c>
      <c r="B3824" s="1" t="str">
        <f>"9781604730340"</f>
        <v>9781604730340</v>
      </c>
      <c r="C3824" s="1" t="s">
        <v>7711</v>
      </c>
      <c r="D3824" s="2">
        <v>37413</v>
      </c>
      <c r="E3824" s="1" t="s">
        <v>7724</v>
      </c>
      <c r="F3824" s="1" t="s">
        <v>13</v>
      </c>
    </row>
    <row r="3825" spans="1:6" ht="30" customHeight="1" x14ac:dyDescent="0.25">
      <c r="A3825" s="1" t="s">
        <v>7725</v>
      </c>
      <c r="B3825" s="1" t="str">
        <f>"9781604731521"</f>
        <v>9781604731521</v>
      </c>
      <c r="C3825" s="1" t="s">
        <v>7711</v>
      </c>
      <c r="D3825" s="2">
        <v>39185</v>
      </c>
      <c r="E3825" s="1" t="s">
        <v>7726</v>
      </c>
      <c r="F3825" s="1" t="s">
        <v>13</v>
      </c>
    </row>
    <row r="3826" spans="1:6" ht="30" customHeight="1" x14ac:dyDescent="0.25">
      <c r="A3826" s="1" t="s">
        <v>7727</v>
      </c>
      <c r="B3826" s="1" t="str">
        <f>"9781604739510"</f>
        <v>9781604739510</v>
      </c>
      <c r="C3826" s="1" t="s">
        <v>7711</v>
      </c>
      <c r="D3826" s="2">
        <v>39167</v>
      </c>
      <c r="E3826" s="1" t="s">
        <v>7728</v>
      </c>
      <c r="F3826" s="1" t="s">
        <v>13</v>
      </c>
    </row>
    <row r="3827" spans="1:6" ht="30" customHeight="1" x14ac:dyDescent="0.25">
      <c r="A3827" s="1" t="s">
        <v>7729</v>
      </c>
      <c r="B3827" s="1" t="str">
        <f>"9781604730272"</f>
        <v>9781604730272</v>
      </c>
      <c r="C3827" s="1" t="s">
        <v>7711</v>
      </c>
      <c r="D3827" s="2">
        <v>36899</v>
      </c>
      <c r="E3827" s="1" t="s">
        <v>7730</v>
      </c>
      <c r="F3827" s="1" t="s">
        <v>70</v>
      </c>
    </row>
    <row r="3828" spans="1:6" ht="30" customHeight="1" x14ac:dyDescent="0.25">
      <c r="A3828" s="1" t="s">
        <v>7731</v>
      </c>
      <c r="B3828" s="1" t="str">
        <f>"9781604731576"</f>
        <v>9781604731576</v>
      </c>
      <c r="C3828" s="1" t="s">
        <v>7711</v>
      </c>
      <c r="D3828" s="2">
        <v>39203</v>
      </c>
      <c r="E3828" s="1" t="s">
        <v>7732</v>
      </c>
      <c r="F3828" s="1" t="s">
        <v>268</v>
      </c>
    </row>
    <row r="3829" spans="1:6" ht="30" customHeight="1" x14ac:dyDescent="0.25">
      <c r="A3829" s="1" t="s">
        <v>7733</v>
      </c>
      <c r="B3829" s="1" t="str">
        <f>"9781604730470"</f>
        <v>9781604730470</v>
      </c>
      <c r="C3829" s="1" t="s">
        <v>7711</v>
      </c>
      <c r="D3829" s="2">
        <v>38057</v>
      </c>
      <c r="E3829" s="1" t="s">
        <v>7734</v>
      </c>
      <c r="F3829" s="1" t="s">
        <v>13</v>
      </c>
    </row>
    <row r="3830" spans="1:6" ht="30" customHeight="1" x14ac:dyDescent="0.25">
      <c r="A3830" s="1" t="s">
        <v>7735</v>
      </c>
      <c r="B3830" s="1" t="str">
        <f>"9781604730432"</f>
        <v>9781604730432</v>
      </c>
      <c r="C3830" s="1" t="s">
        <v>7711</v>
      </c>
      <c r="D3830" s="2">
        <v>37965</v>
      </c>
      <c r="E3830" s="1" t="s">
        <v>7736</v>
      </c>
      <c r="F3830" s="1" t="s">
        <v>13</v>
      </c>
    </row>
    <row r="3831" spans="1:6" ht="30" customHeight="1" x14ac:dyDescent="0.25">
      <c r="A3831" s="1" t="s">
        <v>7737</v>
      </c>
      <c r="B3831" s="1" t="str">
        <f>"9781604733396"</f>
        <v>9781604733396</v>
      </c>
      <c r="C3831" s="1" t="s">
        <v>7711</v>
      </c>
      <c r="D3831" s="2">
        <v>39845</v>
      </c>
      <c r="E3831" s="1" t="s">
        <v>7738</v>
      </c>
      <c r="F3831" s="1" t="s">
        <v>214</v>
      </c>
    </row>
    <row r="3832" spans="1:6" ht="30" customHeight="1" x14ac:dyDescent="0.25">
      <c r="A3832" s="1" t="s">
        <v>7739</v>
      </c>
      <c r="B3832" s="1" t="str">
        <f>"9781604730289"</f>
        <v>9781604730289</v>
      </c>
      <c r="C3832" s="1" t="s">
        <v>7711</v>
      </c>
      <c r="D3832" s="2">
        <v>36708</v>
      </c>
      <c r="E3832" s="1" t="s">
        <v>7740</v>
      </c>
      <c r="F3832" s="1" t="s">
        <v>13</v>
      </c>
    </row>
    <row r="3833" spans="1:6" ht="30" customHeight="1" x14ac:dyDescent="0.25">
      <c r="A3833" s="1" t="s">
        <v>7741</v>
      </c>
      <c r="B3833" s="1" t="str">
        <f>"9781604730708"</f>
        <v>9781604730708</v>
      </c>
      <c r="C3833" s="1" t="s">
        <v>7711</v>
      </c>
      <c r="D3833" s="2">
        <v>38734</v>
      </c>
      <c r="E3833" s="1" t="s">
        <v>7742</v>
      </c>
      <c r="F3833" s="1" t="s">
        <v>304</v>
      </c>
    </row>
    <row r="3834" spans="1:6" ht="30" customHeight="1" x14ac:dyDescent="0.25">
      <c r="A3834" s="1" t="s">
        <v>7743</v>
      </c>
      <c r="B3834" s="1" t="str">
        <f>"9781604737028"</f>
        <v>9781604737028</v>
      </c>
      <c r="C3834" s="1" t="s">
        <v>7711</v>
      </c>
      <c r="D3834" s="2">
        <v>36161</v>
      </c>
      <c r="E3834" s="1" t="s">
        <v>7744</v>
      </c>
      <c r="F3834" s="1" t="s">
        <v>13</v>
      </c>
    </row>
    <row r="3835" spans="1:6" ht="30" customHeight="1" x14ac:dyDescent="0.25">
      <c r="A3835" s="1" t="s">
        <v>7745</v>
      </c>
      <c r="B3835" s="1" t="str">
        <f>"9781604737042"</f>
        <v>9781604737042</v>
      </c>
      <c r="C3835" s="1" t="s">
        <v>7711</v>
      </c>
      <c r="D3835" s="2">
        <v>38798</v>
      </c>
      <c r="E3835" s="1" t="s">
        <v>7746</v>
      </c>
      <c r="F3835" s="1" t="s">
        <v>13</v>
      </c>
    </row>
    <row r="3836" spans="1:6" ht="30" customHeight="1" x14ac:dyDescent="0.25">
      <c r="A3836" s="1" t="s">
        <v>7747</v>
      </c>
      <c r="B3836" s="1" t="str">
        <f>"9781604733013"</f>
        <v>9781604733013</v>
      </c>
      <c r="C3836" s="1" t="s">
        <v>7711</v>
      </c>
      <c r="D3836" s="2">
        <v>39280</v>
      </c>
      <c r="E3836" s="1" t="s">
        <v>7748</v>
      </c>
      <c r="F3836" s="1" t="s">
        <v>158</v>
      </c>
    </row>
    <row r="3837" spans="1:6" ht="30" customHeight="1" x14ac:dyDescent="0.25">
      <c r="A3837" s="1" t="s">
        <v>7749</v>
      </c>
      <c r="B3837" s="1" t="str">
        <f>"9781604730487"</f>
        <v>9781604730487</v>
      </c>
      <c r="C3837" s="1" t="s">
        <v>7711</v>
      </c>
      <c r="D3837" s="2">
        <v>38030</v>
      </c>
      <c r="E3837" s="1" t="s">
        <v>7750</v>
      </c>
      <c r="F3837" s="1" t="s">
        <v>13</v>
      </c>
    </row>
    <row r="3838" spans="1:6" ht="30" customHeight="1" x14ac:dyDescent="0.25">
      <c r="A3838" s="1" t="s">
        <v>7751</v>
      </c>
      <c r="B3838" s="1" t="str">
        <f>"9781604730449"</f>
        <v>9781604730449</v>
      </c>
      <c r="C3838" s="1" t="s">
        <v>7711</v>
      </c>
      <c r="D3838" s="2">
        <v>37999</v>
      </c>
      <c r="E3838" s="1" t="s">
        <v>7752</v>
      </c>
      <c r="F3838" s="1" t="s">
        <v>13</v>
      </c>
    </row>
    <row r="3839" spans="1:6" ht="30" customHeight="1" x14ac:dyDescent="0.25">
      <c r="A3839" s="1" t="s">
        <v>7753</v>
      </c>
      <c r="B3839" s="1" t="str">
        <f>"9780821379783"</f>
        <v>9780821379783</v>
      </c>
      <c r="C3839" s="1" t="s">
        <v>6702</v>
      </c>
      <c r="D3839" s="2">
        <v>40211</v>
      </c>
      <c r="E3839" s="1" t="s">
        <v>7754</v>
      </c>
      <c r="F3839" s="1" t="s">
        <v>95</v>
      </c>
    </row>
    <row r="3840" spans="1:6" ht="30" customHeight="1" x14ac:dyDescent="0.25">
      <c r="A3840" s="1" t="s">
        <v>7755</v>
      </c>
      <c r="B3840" s="1" t="str">
        <f>"9780191575808"</f>
        <v>9780191575808</v>
      </c>
      <c r="C3840" s="1" t="s">
        <v>1120</v>
      </c>
      <c r="D3840" s="2">
        <v>39989</v>
      </c>
      <c r="E3840" s="1" t="s">
        <v>7756</v>
      </c>
      <c r="F3840" s="1" t="s">
        <v>13</v>
      </c>
    </row>
    <row r="3841" spans="1:6" ht="30" customHeight="1" x14ac:dyDescent="0.25">
      <c r="A3841" s="1" t="s">
        <v>7757</v>
      </c>
      <c r="B3841" s="1" t="str">
        <f>"9780191575983"</f>
        <v>9780191575983</v>
      </c>
      <c r="C3841" s="1" t="s">
        <v>1120</v>
      </c>
      <c r="D3841" s="2">
        <v>40087</v>
      </c>
      <c r="E3841" s="1" t="s">
        <v>7758</v>
      </c>
      <c r="F3841" s="1" t="s">
        <v>13</v>
      </c>
    </row>
    <row r="3842" spans="1:6" ht="30" customHeight="1" x14ac:dyDescent="0.25">
      <c r="A3842" s="1" t="s">
        <v>7759</v>
      </c>
      <c r="B3842" s="1" t="str">
        <f>"9780191575969"</f>
        <v>9780191575969</v>
      </c>
      <c r="C3842" s="1" t="s">
        <v>1120</v>
      </c>
      <c r="D3842" s="2">
        <v>40101</v>
      </c>
      <c r="E3842" s="1" t="s">
        <v>7760</v>
      </c>
      <c r="F3842" s="1" t="s">
        <v>13</v>
      </c>
    </row>
    <row r="3843" spans="1:6" ht="30" customHeight="1" x14ac:dyDescent="0.25">
      <c r="A3843" s="1" t="s">
        <v>7761</v>
      </c>
      <c r="B3843" s="1" t="str">
        <f>"9780191564147"</f>
        <v>9780191564147</v>
      </c>
      <c r="C3843" s="1" t="s">
        <v>1117</v>
      </c>
      <c r="D3843" s="2">
        <v>39737</v>
      </c>
      <c r="E3843" s="1" t="s">
        <v>7762</v>
      </c>
      <c r="F3843" s="1" t="s">
        <v>13</v>
      </c>
    </row>
    <row r="3844" spans="1:6" ht="30" customHeight="1" x14ac:dyDescent="0.25">
      <c r="A3844" s="1" t="s">
        <v>7763</v>
      </c>
      <c r="B3844" s="1" t="str">
        <f>"9780191562037"</f>
        <v>9780191562037</v>
      </c>
      <c r="C3844" s="1" t="s">
        <v>1120</v>
      </c>
      <c r="D3844" s="2">
        <v>39618</v>
      </c>
      <c r="E3844" s="1" t="s">
        <v>7764</v>
      </c>
      <c r="F3844" s="1" t="s">
        <v>356</v>
      </c>
    </row>
    <row r="3845" spans="1:6" ht="30" customHeight="1" x14ac:dyDescent="0.25">
      <c r="A3845" s="1" t="s">
        <v>7765</v>
      </c>
      <c r="B3845" s="1" t="str">
        <f>"9781589014626"</f>
        <v>9781589014626</v>
      </c>
      <c r="C3845" s="1" t="s">
        <v>6517</v>
      </c>
      <c r="D3845" s="2">
        <v>38856</v>
      </c>
      <c r="E3845" s="1" t="s">
        <v>7766</v>
      </c>
      <c r="F3845" s="1" t="s">
        <v>176</v>
      </c>
    </row>
    <row r="3846" spans="1:6" ht="30" customHeight="1" x14ac:dyDescent="0.25">
      <c r="A3846" s="1" t="s">
        <v>7767</v>
      </c>
      <c r="B3846" s="1" t="str">
        <f>"9780857002006"</f>
        <v>9780857002006</v>
      </c>
      <c r="C3846" s="1" t="s">
        <v>2387</v>
      </c>
      <c r="D3846" s="2">
        <v>40101</v>
      </c>
      <c r="E3846" s="1" t="s">
        <v>7768</v>
      </c>
      <c r="F3846" s="1" t="s">
        <v>148</v>
      </c>
    </row>
    <row r="3847" spans="1:6" ht="30" customHeight="1" x14ac:dyDescent="0.25">
      <c r="A3847" s="1" t="s">
        <v>7769</v>
      </c>
      <c r="B3847" s="1" t="str">
        <f>"9781847421043"</f>
        <v>9781847421043</v>
      </c>
      <c r="C3847" s="1" t="s">
        <v>5446</v>
      </c>
      <c r="D3847" s="2">
        <v>40121</v>
      </c>
      <c r="E3847" s="1" t="s">
        <v>7770</v>
      </c>
      <c r="F3847" s="1" t="s">
        <v>75</v>
      </c>
    </row>
    <row r="3848" spans="1:6" ht="30" customHeight="1" x14ac:dyDescent="0.25">
      <c r="A3848" s="1" t="s">
        <v>7771</v>
      </c>
      <c r="B3848" s="1" t="str">
        <f>"9781444323771"</f>
        <v>9781444323771</v>
      </c>
      <c r="C3848" s="1" t="s">
        <v>65</v>
      </c>
      <c r="D3848" s="2">
        <v>40283</v>
      </c>
      <c r="E3848" s="1" t="s">
        <v>7772</v>
      </c>
      <c r="F3848" s="1" t="s">
        <v>30</v>
      </c>
    </row>
    <row r="3849" spans="1:6" ht="30" customHeight="1" x14ac:dyDescent="0.25">
      <c r="A3849" s="1" t="s">
        <v>7773</v>
      </c>
      <c r="B3849" s="1" t="str">
        <f>"9781444314472"</f>
        <v>9781444314472</v>
      </c>
      <c r="C3849" s="1" t="s">
        <v>65</v>
      </c>
      <c r="D3849" s="2">
        <v>40283</v>
      </c>
      <c r="E3849" s="1" t="s">
        <v>7774</v>
      </c>
      <c r="F3849" s="1" t="s">
        <v>13</v>
      </c>
    </row>
    <row r="3850" spans="1:6" ht="30" customHeight="1" x14ac:dyDescent="0.25">
      <c r="A3850" s="1" t="s">
        <v>7775</v>
      </c>
      <c r="B3850" s="1" t="str">
        <f>"9781444323320"</f>
        <v>9781444323320</v>
      </c>
      <c r="C3850" s="1" t="s">
        <v>65</v>
      </c>
      <c r="D3850" s="2">
        <v>40277</v>
      </c>
      <c r="E3850" s="1" t="s">
        <v>7776</v>
      </c>
      <c r="F3850" s="1" t="s">
        <v>30</v>
      </c>
    </row>
    <row r="3851" spans="1:6" ht="30" customHeight="1" x14ac:dyDescent="0.25">
      <c r="A3851" s="1" t="s">
        <v>7777</v>
      </c>
      <c r="B3851" s="1" t="str">
        <f>"9781444323818"</f>
        <v>9781444323818</v>
      </c>
      <c r="C3851" s="1" t="s">
        <v>65</v>
      </c>
      <c r="D3851" s="2">
        <v>40295</v>
      </c>
      <c r="E3851" s="1" t="s">
        <v>7778</v>
      </c>
      <c r="F3851" s="1" t="s">
        <v>13</v>
      </c>
    </row>
    <row r="3852" spans="1:6" ht="30" customHeight="1" x14ac:dyDescent="0.25">
      <c r="A3852" s="1" t="s">
        <v>7779</v>
      </c>
      <c r="B3852" s="1" t="str">
        <f>"9781444318401"</f>
        <v>9781444318401</v>
      </c>
      <c r="C3852" s="1" t="s">
        <v>65</v>
      </c>
      <c r="D3852" s="2">
        <v>40283</v>
      </c>
      <c r="E3852" s="1" t="s">
        <v>7780</v>
      </c>
      <c r="F3852" s="1" t="s">
        <v>13</v>
      </c>
    </row>
    <row r="3853" spans="1:6" ht="30" customHeight="1" x14ac:dyDescent="0.25">
      <c r="A3853" s="1" t="s">
        <v>7781</v>
      </c>
      <c r="B3853" s="1" t="str">
        <f>"9783110224986"</f>
        <v>9783110224986</v>
      </c>
      <c r="C3853" s="1" t="s">
        <v>1848</v>
      </c>
      <c r="D3853" s="2">
        <v>40297</v>
      </c>
      <c r="E3853" s="1" t="s">
        <v>7782</v>
      </c>
      <c r="F3853" s="1" t="s">
        <v>13</v>
      </c>
    </row>
    <row r="3854" spans="1:6" ht="30" customHeight="1" x14ac:dyDescent="0.25">
      <c r="A3854" s="1" t="s">
        <v>7783</v>
      </c>
      <c r="B3854" s="1" t="str">
        <f>"9783110231748"</f>
        <v>9783110231748</v>
      </c>
      <c r="C3854" s="1" t="s">
        <v>1848</v>
      </c>
      <c r="D3854" s="2">
        <v>40297</v>
      </c>
      <c r="E3854" s="1" t="s">
        <v>7784</v>
      </c>
      <c r="F3854" s="1" t="s">
        <v>775</v>
      </c>
    </row>
    <row r="3855" spans="1:6" ht="30" customHeight="1" x14ac:dyDescent="0.25">
      <c r="A3855" s="1" t="s">
        <v>7785</v>
      </c>
      <c r="B3855" s="1" t="str">
        <f>"9780826157928"</f>
        <v>9780826157928</v>
      </c>
      <c r="C3855" s="1" t="s">
        <v>2339</v>
      </c>
      <c r="D3855" s="2">
        <v>38777</v>
      </c>
      <c r="E3855" s="1" t="s">
        <v>7786</v>
      </c>
      <c r="F3855" s="1" t="s">
        <v>126</v>
      </c>
    </row>
    <row r="3856" spans="1:6" ht="30" customHeight="1" x14ac:dyDescent="0.25">
      <c r="A3856" s="1" t="s">
        <v>7787</v>
      </c>
      <c r="B3856" s="1" t="str">
        <f>"9781742230962"</f>
        <v>9781742230962</v>
      </c>
      <c r="C3856" s="1" t="s">
        <v>5514</v>
      </c>
      <c r="D3856" s="2">
        <v>40087</v>
      </c>
      <c r="E3856" s="1" t="s">
        <v>7788</v>
      </c>
      <c r="F3856" s="1" t="s">
        <v>70</v>
      </c>
    </row>
    <row r="3857" spans="1:6" ht="30" customHeight="1" x14ac:dyDescent="0.25">
      <c r="A3857" s="1" t="s">
        <v>7789</v>
      </c>
      <c r="B3857" s="1" t="str">
        <f>"9781742230856"</f>
        <v>9781742230856</v>
      </c>
      <c r="C3857" s="1" t="s">
        <v>5514</v>
      </c>
      <c r="D3857" s="2">
        <v>40026</v>
      </c>
      <c r="E3857" s="1" t="s">
        <v>7790</v>
      </c>
      <c r="F3857" s="1" t="s">
        <v>7791</v>
      </c>
    </row>
    <row r="3858" spans="1:6" ht="30" customHeight="1" x14ac:dyDescent="0.25">
      <c r="A3858" s="1" t="s">
        <v>7792</v>
      </c>
      <c r="B3858" s="1" t="str">
        <f>"9780470617632"</f>
        <v>9780470617632</v>
      </c>
      <c r="C3858" s="1" t="s">
        <v>65</v>
      </c>
      <c r="D3858" s="2">
        <v>40297</v>
      </c>
      <c r="E3858" s="1" t="s">
        <v>7793</v>
      </c>
      <c r="F3858" s="1" t="s">
        <v>13</v>
      </c>
    </row>
    <row r="3859" spans="1:6" ht="30" customHeight="1" x14ac:dyDescent="0.25">
      <c r="A3859" s="1" t="s">
        <v>7794</v>
      </c>
      <c r="B3859" s="1" t="str">
        <f>"9781444323863"</f>
        <v>9781444323863</v>
      </c>
      <c r="C3859" s="1" t="s">
        <v>65</v>
      </c>
      <c r="D3859" s="2">
        <v>40297</v>
      </c>
      <c r="E3859" s="1" t="s">
        <v>7795</v>
      </c>
      <c r="F3859" s="1" t="s">
        <v>13</v>
      </c>
    </row>
    <row r="3860" spans="1:6" ht="30" customHeight="1" x14ac:dyDescent="0.25">
      <c r="A3860" s="1" t="s">
        <v>7796</v>
      </c>
      <c r="B3860" s="1" t="str">
        <f>"9780226551791"</f>
        <v>9780226551791</v>
      </c>
      <c r="C3860" s="1" t="s">
        <v>5093</v>
      </c>
      <c r="D3860" s="2">
        <v>40283</v>
      </c>
      <c r="E3860" s="1" t="s">
        <v>7797</v>
      </c>
      <c r="F3860" s="1" t="s">
        <v>158</v>
      </c>
    </row>
    <row r="3861" spans="1:6" ht="30" customHeight="1" x14ac:dyDescent="0.25">
      <c r="A3861" s="1" t="s">
        <v>7798</v>
      </c>
      <c r="B3861" s="1" t="str">
        <f>"9780226645278"</f>
        <v>9780226645278</v>
      </c>
      <c r="C3861" s="1" t="s">
        <v>5093</v>
      </c>
      <c r="D3861" s="2">
        <v>40283</v>
      </c>
      <c r="E3861" s="1" t="s">
        <v>7799</v>
      </c>
      <c r="F3861" s="1" t="s">
        <v>4434</v>
      </c>
    </row>
    <row r="3862" spans="1:6" ht="30" customHeight="1" x14ac:dyDescent="0.25">
      <c r="A3862" s="1" t="s">
        <v>7800</v>
      </c>
      <c r="B3862" s="1" t="str">
        <f>"9780511743146"</f>
        <v>9780511743146</v>
      </c>
      <c r="C3862" s="1" t="s">
        <v>25</v>
      </c>
      <c r="D3862" s="2">
        <v>40269</v>
      </c>
      <c r="E3862" s="1" t="s">
        <v>7801</v>
      </c>
      <c r="F3862" s="1" t="s">
        <v>13</v>
      </c>
    </row>
    <row r="3863" spans="1:6" ht="30" customHeight="1" x14ac:dyDescent="0.25">
      <c r="A3863" s="1" t="s">
        <v>7802</v>
      </c>
      <c r="B3863" s="1" t="str">
        <f>"9780511743498"</f>
        <v>9780511743498</v>
      </c>
      <c r="C3863" s="1" t="s">
        <v>25</v>
      </c>
      <c r="D3863" s="2">
        <v>40353</v>
      </c>
      <c r="E3863" s="1" t="s">
        <v>7803</v>
      </c>
      <c r="F3863" s="1" t="s">
        <v>7804</v>
      </c>
    </row>
    <row r="3864" spans="1:6" ht="30" customHeight="1" x14ac:dyDescent="0.25">
      <c r="A3864" s="1" t="s">
        <v>7805</v>
      </c>
      <c r="B3864" s="1" t="str">
        <f>"9780511743597"</f>
        <v>9780511743597</v>
      </c>
      <c r="C3864" s="1" t="s">
        <v>25</v>
      </c>
      <c r="D3864" s="2">
        <v>40346</v>
      </c>
      <c r="E3864" s="1" t="s">
        <v>7806</v>
      </c>
      <c r="F3864" s="1" t="s">
        <v>13</v>
      </c>
    </row>
    <row r="3865" spans="1:6" ht="30" customHeight="1" x14ac:dyDescent="0.25">
      <c r="A3865" s="1" t="s">
        <v>7807</v>
      </c>
      <c r="B3865" s="1" t="str">
        <f>"9780511743061"</f>
        <v>9780511743061</v>
      </c>
      <c r="C3865" s="1" t="s">
        <v>25</v>
      </c>
      <c r="D3865" s="2">
        <v>40238</v>
      </c>
      <c r="E3865" s="1" t="s">
        <v>7808</v>
      </c>
      <c r="F3865" s="1" t="s">
        <v>176</v>
      </c>
    </row>
    <row r="3866" spans="1:6" ht="30" customHeight="1" x14ac:dyDescent="0.25">
      <c r="A3866" s="1" t="s">
        <v>7809</v>
      </c>
      <c r="B3866" s="1" t="str">
        <f>"9780511743269"</f>
        <v>9780511743269</v>
      </c>
      <c r="C3866" s="1" t="s">
        <v>25</v>
      </c>
      <c r="D3866" s="2">
        <v>40262</v>
      </c>
      <c r="E3866" s="1" t="s">
        <v>7810</v>
      </c>
      <c r="F3866" s="1" t="s">
        <v>13</v>
      </c>
    </row>
    <row r="3867" spans="1:6" ht="30" customHeight="1" x14ac:dyDescent="0.25">
      <c r="A3867" s="1" t="s">
        <v>7811</v>
      </c>
      <c r="B3867" s="1" t="str">
        <f>"9781409404996"</f>
        <v>9781409404996</v>
      </c>
      <c r="C3867" s="1" t="s">
        <v>93</v>
      </c>
      <c r="D3867" s="2">
        <v>40360</v>
      </c>
      <c r="E3867" s="1" t="s">
        <v>7812</v>
      </c>
      <c r="F3867" s="1" t="s">
        <v>21</v>
      </c>
    </row>
    <row r="3868" spans="1:6" ht="30" customHeight="1" x14ac:dyDescent="0.25">
      <c r="A3868" s="1" t="s">
        <v>7813</v>
      </c>
      <c r="B3868" s="1" t="str">
        <f>"9781444323887"</f>
        <v>9781444323887</v>
      </c>
      <c r="C3868" s="1" t="s">
        <v>65</v>
      </c>
      <c r="D3868" s="2">
        <v>40316</v>
      </c>
      <c r="E3868" s="1" t="s">
        <v>7814</v>
      </c>
      <c r="F3868" s="1" t="s">
        <v>13</v>
      </c>
    </row>
    <row r="3869" spans="1:6" ht="30" customHeight="1" x14ac:dyDescent="0.25">
      <c r="A3869" s="1" t="s">
        <v>7815</v>
      </c>
      <c r="B3869" s="1" t="str">
        <f>"9780470319222"</f>
        <v>9780470319222</v>
      </c>
      <c r="C3869" s="1" t="s">
        <v>65</v>
      </c>
      <c r="D3869" s="2">
        <v>40318</v>
      </c>
      <c r="E3869" s="1" t="s">
        <v>7816</v>
      </c>
      <c r="F3869" s="1" t="s">
        <v>137</v>
      </c>
    </row>
    <row r="3870" spans="1:6" ht="30" customHeight="1" x14ac:dyDescent="0.25">
      <c r="A3870" s="1" t="s">
        <v>7817</v>
      </c>
      <c r="B3870" s="1" t="str">
        <f>"9780199718153"</f>
        <v>9780199718153</v>
      </c>
      <c r="C3870" s="1" t="s">
        <v>1123</v>
      </c>
      <c r="D3870" s="2">
        <v>39661</v>
      </c>
      <c r="E3870" s="1" t="s">
        <v>7818</v>
      </c>
      <c r="F3870" s="1" t="s">
        <v>158</v>
      </c>
    </row>
    <row r="3871" spans="1:6" ht="30" customHeight="1" x14ac:dyDescent="0.25">
      <c r="A3871" s="1" t="s">
        <v>7819</v>
      </c>
      <c r="B3871" s="1" t="str">
        <f>"9780857025951"</f>
        <v>9780857025951</v>
      </c>
      <c r="C3871" s="1" t="s">
        <v>1228</v>
      </c>
      <c r="D3871" s="2">
        <v>35704</v>
      </c>
      <c r="E3871" s="1" t="s">
        <v>7820</v>
      </c>
      <c r="F3871" s="1" t="s">
        <v>599</v>
      </c>
    </row>
    <row r="3872" spans="1:6" ht="30" customHeight="1" x14ac:dyDescent="0.25">
      <c r="A3872" s="1" t="s">
        <v>7821</v>
      </c>
      <c r="B3872" s="1" t="str">
        <f>"9780857026040"</f>
        <v>9780857026040</v>
      </c>
      <c r="C3872" s="1" t="s">
        <v>1228</v>
      </c>
      <c r="D3872" s="2">
        <v>36159</v>
      </c>
      <c r="E3872" s="1" t="s">
        <v>7822</v>
      </c>
      <c r="F3872" s="1" t="s">
        <v>13</v>
      </c>
    </row>
    <row r="3873" spans="1:6" ht="30" customHeight="1" x14ac:dyDescent="0.25">
      <c r="A3873" s="1" t="s">
        <v>7823</v>
      </c>
      <c r="B3873" s="1" t="str">
        <f>"9780857026194"</f>
        <v>9780857026194</v>
      </c>
      <c r="C3873" s="1" t="s">
        <v>1228</v>
      </c>
      <c r="D3873" s="2">
        <v>36439</v>
      </c>
      <c r="E3873" s="1" t="s">
        <v>7824</v>
      </c>
      <c r="F3873" s="1" t="s">
        <v>13</v>
      </c>
    </row>
    <row r="3874" spans="1:6" ht="30" customHeight="1" x14ac:dyDescent="0.25">
      <c r="A3874" s="1" t="s">
        <v>7825</v>
      </c>
      <c r="B3874" s="1" t="str">
        <f>"9780857026330"</f>
        <v>9780857026330</v>
      </c>
      <c r="C3874" s="1" t="s">
        <v>1228</v>
      </c>
      <c r="D3874" s="2">
        <v>36608</v>
      </c>
      <c r="E3874" s="1" t="s">
        <v>3090</v>
      </c>
      <c r="F3874" s="1" t="s">
        <v>13</v>
      </c>
    </row>
    <row r="3875" spans="1:6" ht="30" customHeight="1" x14ac:dyDescent="0.25">
      <c r="A3875" s="1" t="s">
        <v>7826</v>
      </c>
      <c r="B3875" s="1" t="str">
        <f>"9780804774475"</f>
        <v>9780804774475</v>
      </c>
      <c r="C3875" s="1" t="s">
        <v>7827</v>
      </c>
      <c r="D3875" s="2">
        <v>41773</v>
      </c>
      <c r="E3875" s="1" t="s">
        <v>7828</v>
      </c>
      <c r="F3875" s="1" t="s">
        <v>7829</v>
      </c>
    </row>
    <row r="3876" spans="1:6" ht="30" customHeight="1" x14ac:dyDescent="0.25">
      <c r="A3876" s="1" t="s">
        <v>7830</v>
      </c>
      <c r="B3876" s="1" t="str">
        <f>"9780804773720"</f>
        <v>9780804773720</v>
      </c>
      <c r="C3876" s="1" t="s">
        <v>7827</v>
      </c>
      <c r="D3876" s="2">
        <v>40199</v>
      </c>
      <c r="E3876" s="1" t="s">
        <v>7831</v>
      </c>
      <c r="F3876" s="1" t="s">
        <v>95</v>
      </c>
    </row>
    <row r="3877" spans="1:6" ht="30" customHeight="1" x14ac:dyDescent="0.25">
      <c r="A3877" s="1" t="s">
        <v>7832</v>
      </c>
      <c r="B3877" s="1" t="str">
        <f>"9789240687721"</f>
        <v>9789240687721</v>
      </c>
      <c r="C3877" s="1" t="s">
        <v>1981</v>
      </c>
      <c r="D3877" s="2">
        <v>39814</v>
      </c>
      <c r="E3877" s="1" t="s">
        <v>3256</v>
      </c>
      <c r="F3877" s="1" t="s">
        <v>13</v>
      </c>
    </row>
    <row r="3878" spans="1:6" ht="30" customHeight="1" x14ac:dyDescent="0.25">
      <c r="A3878" s="1" t="s">
        <v>7833</v>
      </c>
      <c r="B3878" s="1" t="str">
        <f>"9789290223733"</f>
        <v>9789290223733</v>
      </c>
      <c r="C3878" s="1" t="s">
        <v>1981</v>
      </c>
      <c r="D3878" s="2">
        <v>39814</v>
      </c>
      <c r="E3878" s="1" t="s">
        <v>3256</v>
      </c>
      <c r="F3878" s="1" t="s">
        <v>148</v>
      </c>
    </row>
    <row r="3879" spans="1:6" ht="30" customHeight="1" x14ac:dyDescent="0.25">
      <c r="A3879" s="1" t="s">
        <v>7834</v>
      </c>
      <c r="B3879" s="1" t="str">
        <f>"9789289014182"</f>
        <v>9789289014182</v>
      </c>
      <c r="C3879" s="1" t="s">
        <v>1981</v>
      </c>
      <c r="D3879" s="2">
        <v>40179</v>
      </c>
      <c r="E3879" s="1" t="s">
        <v>3256</v>
      </c>
      <c r="F3879" s="1" t="s">
        <v>30</v>
      </c>
    </row>
    <row r="3880" spans="1:6" ht="30" customHeight="1" x14ac:dyDescent="0.25">
      <c r="A3880" s="1" t="s">
        <v>7835</v>
      </c>
      <c r="B3880" s="1" t="str">
        <f>"9789290614715"</f>
        <v>9789290614715</v>
      </c>
      <c r="C3880" s="1" t="s">
        <v>1981</v>
      </c>
      <c r="D3880" s="2">
        <v>39814</v>
      </c>
      <c r="E3880" s="1" t="s">
        <v>3256</v>
      </c>
      <c r="F3880" s="1" t="s">
        <v>158</v>
      </c>
    </row>
    <row r="3881" spans="1:6" ht="30" customHeight="1" x14ac:dyDescent="0.25">
      <c r="A3881" s="1" t="s">
        <v>7836</v>
      </c>
      <c r="B3881" s="1" t="str">
        <f>"9789290614678"</f>
        <v>9789290614678</v>
      </c>
      <c r="C3881" s="1" t="s">
        <v>1981</v>
      </c>
      <c r="D3881" s="2">
        <v>39814</v>
      </c>
      <c r="E3881" s="1" t="s">
        <v>3256</v>
      </c>
      <c r="F3881" s="1" t="s">
        <v>33</v>
      </c>
    </row>
    <row r="3882" spans="1:6" ht="30" customHeight="1" x14ac:dyDescent="0.25">
      <c r="A3882" s="1" t="s">
        <v>7837</v>
      </c>
      <c r="B3882" s="1" t="str">
        <f>"9789290614722"</f>
        <v>9789290614722</v>
      </c>
      <c r="C3882" s="1" t="s">
        <v>1981</v>
      </c>
      <c r="D3882" s="2">
        <v>39814</v>
      </c>
      <c r="E3882" s="1" t="s">
        <v>7838</v>
      </c>
      <c r="F3882" s="1" t="s">
        <v>7839</v>
      </c>
    </row>
    <row r="3883" spans="1:6" ht="30" customHeight="1" x14ac:dyDescent="0.25">
      <c r="A3883" s="1" t="s">
        <v>7840</v>
      </c>
      <c r="B3883" s="1" t="str">
        <f>"9789290223726"</f>
        <v>9789290223726</v>
      </c>
      <c r="C3883" s="1" t="s">
        <v>1981</v>
      </c>
      <c r="D3883" s="2">
        <v>39814</v>
      </c>
      <c r="E3883" s="1" t="s">
        <v>3256</v>
      </c>
      <c r="F3883" s="1" t="s">
        <v>7841</v>
      </c>
    </row>
    <row r="3884" spans="1:6" ht="30" customHeight="1" x14ac:dyDescent="0.25">
      <c r="A3884" s="1" t="s">
        <v>7842</v>
      </c>
      <c r="B3884" s="1" t="str">
        <f>"9789290614654"</f>
        <v>9789290614654</v>
      </c>
      <c r="C3884" s="1" t="s">
        <v>1981</v>
      </c>
      <c r="D3884" s="2">
        <v>38353</v>
      </c>
      <c r="E3884" s="1" t="s">
        <v>3256</v>
      </c>
      <c r="F3884" s="1" t="s">
        <v>30</v>
      </c>
    </row>
    <row r="3885" spans="1:6" ht="30" customHeight="1" x14ac:dyDescent="0.25">
      <c r="A3885" s="1" t="s">
        <v>7843</v>
      </c>
      <c r="B3885" s="1" t="str">
        <f>"9781282622623"</f>
        <v>9781282622623</v>
      </c>
      <c r="C3885" s="1" t="s">
        <v>1981</v>
      </c>
      <c r="D3885" s="2">
        <v>40179</v>
      </c>
      <c r="E3885" s="1" t="s">
        <v>3256</v>
      </c>
      <c r="F3885" s="1" t="s">
        <v>95</v>
      </c>
    </row>
    <row r="3886" spans="1:6" ht="30" customHeight="1" x14ac:dyDescent="0.25">
      <c r="A3886" s="1" t="s">
        <v>7844</v>
      </c>
      <c r="B3886" s="1" t="str">
        <f>"9789290614661"</f>
        <v>9789290614661</v>
      </c>
      <c r="C3886" s="1" t="s">
        <v>1981</v>
      </c>
      <c r="D3886" s="2">
        <v>39083</v>
      </c>
      <c r="E3886" s="1" t="s">
        <v>3256</v>
      </c>
      <c r="F3886" s="1" t="s">
        <v>95</v>
      </c>
    </row>
    <row r="3887" spans="1:6" ht="30" customHeight="1" x14ac:dyDescent="0.25">
      <c r="A3887" s="1" t="s">
        <v>7845</v>
      </c>
      <c r="B3887" s="1" t="str">
        <f>"9789290216827"</f>
        <v>9789290216827</v>
      </c>
      <c r="C3887" s="1" t="s">
        <v>1981</v>
      </c>
      <c r="D3887" s="2">
        <v>39814</v>
      </c>
      <c r="E3887" s="1" t="s">
        <v>3256</v>
      </c>
      <c r="F3887" s="1" t="s">
        <v>331</v>
      </c>
    </row>
    <row r="3888" spans="1:6" ht="30" customHeight="1" x14ac:dyDescent="0.25">
      <c r="A3888" s="1" t="s">
        <v>7846</v>
      </c>
      <c r="B3888" s="1" t="str">
        <f>"9789290217145"</f>
        <v>9789290217145</v>
      </c>
      <c r="C3888" s="1" t="s">
        <v>1981</v>
      </c>
      <c r="D3888" s="2">
        <v>39814</v>
      </c>
      <c r="E3888" s="1" t="s">
        <v>3256</v>
      </c>
      <c r="F3888" s="1" t="s">
        <v>7847</v>
      </c>
    </row>
    <row r="3889" spans="1:6" ht="30" customHeight="1" x14ac:dyDescent="0.25">
      <c r="A3889" s="1" t="s">
        <v>7848</v>
      </c>
      <c r="B3889" s="1" t="str">
        <f>"9789240684607"</f>
        <v>9789240684607</v>
      </c>
      <c r="C3889" s="1" t="s">
        <v>1981</v>
      </c>
      <c r="D3889" s="2">
        <v>40179</v>
      </c>
      <c r="E3889" s="1" t="s">
        <v>3256</v>
      </c>
      <c r="F3889" s="1" t="s">
        <v>7849</v>
      </c>
    </row>
    <row r="3890" spans="1:6" ht="30" customHeight="1" x14ac:dyDescent="0.25">
      <c r="A3890" s="1" t="s">
        <v>7850</v>
      </c>
      <c r="B3890" s="1" t="str">
        <f>"9789240684713"</f>
        <v>9789240684713</v>
      </c>
      <c r="C3890" s="1" t="s">
        <v>1981</v>
      </c>
      <c r="D3890" s="2">
        <v>40179</v>
      </c>
      <c r="E3890" s="1" t="s">
        <v>3256</v>
      </c>
      <c r="F3890" s="1" t="s">
        <v>158</v>
      </c>
    </row>
    <row r="3891" spans="1:6" ht="30" customHeight="1" x14ac:dyDescent="0.25">
      <c r="A3891" s="1" t="s">
        <v>7851</v>
      </c>
      <c r="B3891" s="1" t="str">
        <f>"9781400835119"</f>
        <v>9781400835119</v>
      </c>
      <c r="C3891" s="1" t="s">
        <v>6462</v>
      </c>
      <c r="D3891" s="2">
        <v>40179</v>
      </c>
      <c r="E3891" s="1" t="s">
        <v>7852</v>
      </c>
      <c r="F3891" s="1" t="s">
        <v>95</v>
      </c>
    </row>
    <row r="3892" spans="1:6" ht="30" customHeight="1" x14ac:dyDescent="0.25">
      <c r="A3892" s="1" t="s">
        <v>7853</v>
      </c>
      <c r="B3892" s="1" t="str">
        <f>"9789048511174"</f>
        <v>9789048511174</v>
      </c>
      <c r="C3892" s="1" t="s">
        <v>5455</v>
      </c>
      <c r="D3892" s="2">
        <v>40179</v>
      </c>
      <c r="E3892" s="1" t="s">
        <v>7854</v>
      </c>
      <c r="F3892" s="1" t="s">
        <v>13</v>
      </c>
    </row>
    <row r="3893" spans="1:6" ht="30" customHeight="1" x14ac:dyDescent="0.25">
      <c r="A3893" s="1" t="s">
        <v>7855</v>
      </c>
      <c r="B3893" s="1" t="str">
        <f>"9780511774089"</f>
        <v>9780511774089</v>
      </c>
      <c r="C3893" s="1" t="s">
        <v>25</v>
      </c>
      <c r="D3893" s="2">
        <v>40395</v>
      </c>
      <c r="E3893" s="1" t="s">
        <v>7856</v>
      </c>
      <c r="F3893" s="1" t="s">
        <v>13</v>
      </c>
    </row>
    <row r="3894" spans="1:6" ht="30" customHeight="1" x14ac:dyDescent="0.25">
      <c r="A3894" s="1" t="s">
        <v>7857</v>
      </c>
      <c r="B3894" s="1" t="str">
        <f>"9780511773563"</f>
        <v>9780511773563</v>
      </c>
      <c r="C3894" s="1" t="s">
        <v>25</v>
      </c>
      <c r="D3894" s="2">
        <v>40325</v>
      </c>
      <c r="E3894" s="1" t="s">
        <v>7858</v>
      </c>
      <c r="F3894" s="1" t="s">
        <v>13</v>
      </c>
    </row>
    <row r="3895" spans="1:6" ht="30" customHeight="1" x14ac:dyDescent="0.25">
      <c r="A3895" s="1" t="s">
        <v>7859</v>
      </c>
      <c r="B3895" s="1" t="str">
        <f>"9780511766893"</f>
        <v>9780511766893</v>
      </c>
      <c r="C3895" s="1" t="s">
        <v>25</v>
      </c>
      <c r="D3895" s="2">
        <v>40148</v>
      </c>
      <c r="E3895" s="1" t="s">
        <v>7860</v>
      </c>
      <c r="F3895" s="1" t="s">
        <v>13</v>
      </c>
    </row>
    <row r="3896" spans="1:6" ht="30" customHeight="1" x14ac:dyDescent="0.25">
      <c r="A3896" s="1" t="s">
        <v>7861</v>
      </c>
      <c r="B3896" s="1" t="str">
        <f>"9780511767128"</f>
        <v>9780511767128</v>
      </c>
      <c r="C3896" s="1" t="s">
        <v>25</v>
      </c>
      <c r="D3896" s="2">
        <v>40220</v>
      </c>
      <c r="E3896" s="1" t="s">
        <v>755</v>
      </c>
      <c r="F3896" s="1" t="s">
        <v>13</v>
      </c>
    </row>
    <row r="3897" spans="1:6" ht="30" customHeight="1" x14ac:dyDescent="0.25">
      <c r="A3897" s="1" t="s">
        <v>7862</v>
      </c>
      <c r="B3897" s="1" t="str">
        <f>"9780511773518"</f>
        <v>9780511773518</v>
      </c>
      <c r="C3897" s="1" t="s">
        <v>25</v>
      </c>
      <c r="D3897" s="2">
        <v>40262</v>
      </c>
      <c r="E3897" s="1" t="s">
        <v>7863</v>
      </c>
      <c r="F3897" s="1" t="s">
        <v>13</v>
      </c>
    </row>
    <row r="3898" spans="1:6" ht="30" customHeight="1" x14ac:dyDescent="0.25">
      <c r="A3898" s="1" t="s">
        <v>7864</v>
      </c>
      <c r="B3898" s="1" t="str">
        <f>"9780511773778"</f>
        <v>9780511773778</v>
      </c>
      <c r="C3898" s="1" t="s">
        <v>25</v>
      </c>
      <c r="D3898" s="2">
        <v>40353</v>
      </c>
      <c r="E3898" s="1" t="s">
        <v>7865</v>
      </c>
      <c r="F3898" s="1" t="s">
        <v>158</v>
      </c>
    </row>
    <row r="3899" spans="1:6" ht="30" customHeight="1" x14ac:dyDescent="0.25">
      <c r="A3899" s="1" t="s">
        <v>7866</v>
      </c>
      <c r="B3899" s="1" t="str">
        <f>"9781444325003"</f>
        <v>9781444325003</v>
      </c>
      <c r="C3899" s="1" t="s">
        <v>65</v>
      </c>
      <c r="D3899" s="2">
        <v>40325</v>
      </c>
      <c r="E3899" s="1" t="s">
        <v>7867</v>
      </c>
      <c r="F3899" s="1" t="s">
        <v>268</v>
      </c>
    </row>
    <row r="3900" spans="1:6" ht="30" customHeight="1" x14ac:dyDescent="0.25">
      <c r="A3900" s="1" t="s">
        <v>7868</v>
      </c>
      <c r="B3900" s="1" t="str">
        <f>"9780470695517"</f>
        <v>9780470695517</v>
      </c>
      <c r="C3900" s="1" t="s">
        <v>65</v>
      </c>
      <c r="D3900" s="2">
        <v>40332</v>
      </c>
      <c r="E3900" s="1" t="s">
        <v>7869</v>
      </c>
      <c r="F3900" s="1" t="s">
        <v>13</v>
      </c>
    </row>
    <row r="3901" spans="1:6" ht="30" customHeight="1" x14ac:dyDescent="0.25">
      <c r="A3901" s="1" t="s">
        <v>7870</v>
      </c>
      <c r="B3901" s="1" t="str">
        <f>"9781847692214"</f>
        <v>9781847692214</v>
      </c>
      <c r="C3901" s="1" t="s">
        <v>3377</v>
      </c>
      <c r="D3901" s="2">
        <v>40151</v>
      </c>
      <c r="E3901" s="1" t="s">
        <v>7871</v>
      </c>
      <c r="F3901" s="1" t="s">
        <v>95</v>
      </c>
    </row>
    <row r="3902" spans="1:6" ht="30" customHeight="1" x14ac:dyDescent="0.25">
      <c r="A3902" s="1" t="s">
        <v>7872</v>
      </c>
      <c r="B3902" s="1" t="str">
        <f>"9781847692474"</f>
        <v>9781847692474</v>
      </c>
      <c r="C3902" s="1" t="s">
        <v>3377</v>
      </c>
      <c r="D3902" s="2">
        <v>40298</v>
      </c>
      <c r="E3902" s="1" t="s">
        <v>7873</v>
      </c>
      <c r="F3902" s="1" t="s">
        <v>2225</v>
      </c>
    </row>
    <row r="3903" spans="1:6" ht="30" customHeight="1" x14ac:dyDescent="0.25">
      <c r="A3903" s="1" t="s">
        <v>7874</v>
      </c>
      <c r="B3903" s="1" t="str">
        <f>"9781847692818"</f>
        <v>9781847692818</v>
      </c>
      <c r="C3903" s="1" t="s">
        <v>3377</v>
      </c>
      <c r="D3903" s="2">
        <v>40352</v>
      </c>
      <c r="E3903" s="1" t="s">
        <v>7875</v>
      </c>
      <c r="F3903" s="1" t="s">
        <v>13</v>
      </c>
    </row>
    <row r="3904" spans="1:6" ht="30" customHeight="1" x14ac:dyDescent="0.25">
      <c r="A3904" s="1" t="s">
        <v>7876</v>
      </c>
      <c r="B3904" s="1" t="str">
        <f>"9781847692375"</f>
        <v>9781847692375</v>
      </c>
      <c r="C3904" s="1" t="s">
        <v>3377</v>
      </c>
      <c r="D3904" s="2">
        <v>40143</v>
      </c>
      <c r="E3904" s="1" t="s">
        <v>7877</v>
      </c>
      <c r="F3904" s="1" t="s">
        <v>30</v>
      </c>
    </row>
    <row r="3905" spans="1:6" ht="30" customHeight="1" x14ac:dyDescent="0.25">
      <c r="A3905" s="1" t="s">
        <v>7878</v>
      </c>
      <c r="B3905" s="1" t="str">
        <f>"9780826105998"</f>
        <v>9780826105998</v>
      </c>
      <c r="C3905" s="1" t="s">
        <v>2339</v>
      </c>
      <c r="D3905" s="2">
        <v>40513</v>
      </c>
      <c r="E3905" s="1" t="s">
        <v>7879</v>
      </c>
      <c r="F3905" s="1" t="s">
        <v>95</v>
      </c>
    </row>
    <row r="3906" spans="1:6" ht="30" customHeight="1" x14ac:dyDescent="0.25">
      <c r="A3906" s="1" t="s">
        <v>7880</v>
      </c>
      <c r="B3906" s="1" t="str">
        <f>"9780826105318"</f>
        <v>9780826105318</v>
      </c>
      <c r="C3906" s="1" t="s">
        <v>2339</v>
      </c>
      <c r="D3906" s="2">
        <v>40319</v>
      </c>
      <c r="E3906" s="1" t="s">
        <v>7881</v>
      </c>
      <c r="F3906" s="1" t="s">
        <v>126</v>
      </c>
    </row>
    <row r="3907" spans="1:6" ht="30" customHeight="1" x14ac:dyDescent="0.25">
      <c r="A3907" s="1" t="s">
        <v>7882</v>
      </c>
      <c r="B3907" s="1" t="str">
        <f>"9780804771344"</f>
        <v>9780804771344</v>
      </c>
      <c r="C3907" s="1" t="s">
        <v>7827</v>
      </c>
      <c r="D3907" s="2">
        <v>40261</v>
      </c>
      <c r="E3907" s="1" t="s">
        <v>7883</v>
      </c>
      <c r="F3907" s="1" t="s">
        <v>30</v>
      </c>
    </row>
    <row r="3908" spans="1:6" ht="30" customHeight="1" x14ac:dyDescent="0.25">
      <c r="A3908" s="1" t="s">
        <v>7884</v>
      </c>
      <c r="B3908" s="1" t="str">
        <f>"9780804774482"</f>
        <v>9780804774482</v>
      </c>
      <c r="C3908" s="1" t="s">
        <v>7827</v>
      </c>
      <c r="D3908" s="2">
        <v>40296</v>
      </c>
      <c r="E3908" s="1" t="s">
        <v>7885</v>
      </c>
      <c r="F3908" s="1" t="s">
        <v>70</v>
      </c>
    </row>
    <row r="3909" spans="1:6" ht="30" customHeight="1" x14ac:dyDescent="0.25">
      <c r="A3909" s="1" t="s">
        <v>7886</v>
      </c>
      <c r="B3909" s="1" t="str">
        <f>"9781847424648"</f>
        <v>9781847424648</v>
      </c>
      <c r="C3909" s="1" t="s">
        <v>5446</v>
      </c>
      <c r="D3909" s="2">
        <v>40247</v>
      </c>
      <c r="E3909" s="1" t="s">
        <v>7887</v>
      </c>
      <c r="F3909" s="1" t="s">
        <v>30</v>
      </c>
    </row>
    <row r="3910" spans="1:6" ht="30" customHeight="1" x14ac:dyDescent="0.25">
      <c r="A3910" s="1" t="s">
        <v>7888</v>
      </c>
      <c r="B3910" s="1" t="str">
        <f>"9781847424884"</f>
        <v>9781847424884</v>
      </c>
      <c r="C3910" s="1" t="s">
        <v>5446</v>
      </c>
      <c r="D3910" s="2">
        <v>40261</v>
      </c>
      <c r="E3910" s="1" t="s">
        <v>7889</v>
      </c>
      <c r="F3910" s="1" t="s">
        <v>95</v>
      </c>
    </row>
    <row r="3911" spans="1:6" ht="30" customHeight="1" x14ac:dyDescent="0.25">
      <c r="A3911" s="1" t="s">
        <v>7890</v>
      </c>
      <c r="B3911" s="1" t="str">
        <f>"9780199774388"</f>
        <v>9780199774388</v>
      </c>
      <c r="C3911" s="1" t="s">
        <v>1120</v>
      </c>
      <c r="D3911" s="2">
        <v>40280</v>
      </c>
      <c r="E3911" s="1" t="s">
        <v>7891</v>
      </c>
      <c r="F3911" s="1" t="s">
        <v>13</v>
      </c>
    </row>
    <row r="3912" spans="1:6" ht="30" customHeight="1" x14ac:dyDescent="0.25">
      <c r="A3912" s="1" t="s">
        <v>7892</v>
      </c>
      <c r="B3912" s="1" t="str">
        <f>"9780080547251"</f>
        <v>9780080547251</v>
      </c>
      <c r="C3912" s="1" t="s">
        <v>900</v>
      </c>
      <c r="D3912" s="2">
        <v>38449</v>
      </c>
      <c r="E3912" s="1" t="s">
        <v>7893</v>
      </c>
      <c r="F3912" s="1" t="s">
        <v>1948</v>
      </c>
    </row>
    <row r="3913" spans="1:6" ht="30" customHeight="1" x14ac:dyDescent="0.25">
      <c r="A3913" s="1" t="s">
        <v>7894</v>
      </c>
      <c r="B3913" s="1" t="str">
        <f>"9781444315493"</f>
        <v>9781444315493</v>
      </c>
      <c r="C3913" s="1" t="s">
        <v>65</v>
      </c>
      <c r="D3913" s="2">
        <v>40095</v>
      </c>
      <c r="E3913" s="1" t="s">
        <v>7895</v>
      </c>
      <c r="F3913" s="1" t="s">
        <v>13</v>
      </c>
    </row>
    <row r="3914" spans="1:6" ht="30" customHeight="1" x14ac:dyDescent="0.25">
      <c r="A3914" s="1" t="s">
        <v>7896</v>
      </c>
      <c r="B3914" s="1" t="str">
        <f>"9781444307962"</f>
        <v>9781444307962</v>
      </c>
      <c r="C3914" s="1" t="s">
        <v>65</v>
      </c>
      <c r="D3914" s="2">
        <v>40092</v>
      </c>
      <c r="E3914" s="1" t="s">
        <v>7897</v>
      </c>
      <c r="F3914" s="1" t="s">
        <v>13</v>
      </c>
    </row>
    <row r="3915" spans="1:6" ht="30" customHeight="1" x14ac:dyDescent="0.25">
      <c r="A3915" s="1" t="s">
        <v>7898</v>
      </c>
      <c r="B3915" s="1" t="str">
        <f>"9781444317602"</f>
        <v>9781444317602</v>
      </c>
      <c r="C3915" s="1" t="s">
        <v>65</v>
      </c>
      <c r="D3915" s="2">
        <v>40094</v>
      </c>
      <c r="E3915" s="1" t="s">
        <v>7899</v>
      </c>
      <c r="F3915" s="1" t="s">
        <v>13</v>
      </c>
    </row>
    <row r="3916" spans="1:6" ht="30" customHeight="1" x14ac:dyDescent="0.25">
      <c r="A3916" s="1" t="s">
        <v>7900</v>
      </c>
      <c r="B3916" s="1" t="str">
        <f>"9781444316964"</f>
        <v>9781444316964</v>
      </c>
      <c r="C3916" s="1" t="s">
        <v>65</v>
      </c>
      <c r="D3916" s="2">
        <v>40078</v>
      </c>
      <c r="E3916" s="1" t="s">
        <v>7901</v>
      </c>
      <c r="F3916" s="1" t="s">
        <v>13</v>
      </c>
    </row>
    <row r="3917" spans="1:6" ht="30" customHeight="1" x14ac:dyDescent="0.25">
      <c r="A3917" s="1" t="s">
        <v>7902</v>
      </c>
      <c r="B3917" s="1" t="str">
        <f>"9781444307559"</f>
        <v>9781444307559</v>
      </c>
      <c r="C3917" s="1" t="s">
        <v>65</v>
      </c>
      <c r="D3917" s="2">
        <v>40080</v>
      </c>
      <c r="E3917" s="1" t="s">
        <v>7903</v>
      </c>
      <c r="F3917" s="1" t="s">
        <v>13</v>
      </c>
    </row>
    <row r="3918" spans="1:6" ht="30" customHeight="1" x14ac:dyDescent="0.25">
      <c r="A3918" s="1" t="s">
        <v>7904</v>
      </c>
      <c r="B3918" s="1" t="str">
        <f>"9781444315288"</f>
        <v>9781444315288</v>
      </c>
      <c r="C3918" s="1" t="s">
        <v>65</v>
      </c>
      <c r="D3918" s="2">
        <v>40092</v>
      </c>
      <c r="E3918" s="1" t="s">
        <v>6582</v>
      </c>
      <c r="F3918" s="1" t="s">
        <v>82</v>
      </c>
    </row>
    <row r="3919" spans="1:6" ht="30" customHeight="1" x14ac:dyDescent="0.25">
      <c r="A3919" s="1" t="s">
        <v>7905</v>
      </c>
      <c r="B3919" s="1" t="str">
        <f>"9780470640456"</f>
        <v>9780470640456</v>
      </c>
      <c r="C3919" s="1" t="s">
        <v>11</v>
      </c>
      <c r="D3919" s="2">
        <v>40351</v>
      </c>
      <c r="E3919" s="1" t="s">
        <v>7906</v>
      </c>
      <c r="F3919" s="1" t="s">
        <v>33</v>
      </c>
    </row>
    <row r="3920" spans="1:6" ht="30" customHeight="1" x14ac:dyDescent="0.25">
      <c r="A3920" s="1" t="s">
        <v>7907</v>
      </c>
      <c r="B3920" s="1" t="str">
        <f>"9781444323795"</f>
        <v>9781444323795</v>
      </c>
      <c r="C3920" s="1" t="s">
        <v>65</v>
      </c>
      <c r="D3920" s="2">
        <v>40703</v>
      </c>
      <c r="E3920" s="1" t="s">
        <v>7908</v>
      </c>
      <c r="F3920" s="1" t="s">
        <v>356</v>
      </c>
    </row>
    <row r="3921" spans="1:6" ht="30" customHeight="1" x14ac:dyDescent="0.25">
      <c r="A3921" s="1" t="s">
        <v>7909</v>
      </c>
      <c r="B3921" s="1" t="str">
        <f>"9781444390490"</f>
        <v>9781444390490</v>
      </c>
      <c r="C3921" s="1" t="s">
        <v>65</v>
      </c>
      <c r="D3921" s="2">
        <v>40344</v>
      </c>
      <c r="E3921" s="1" t="s">
        <v>7910</v>
      </c>
      <c r="F3921" s="1" t="s">
        <v>126</v>
      </c>
    </row>
    <row r="3922" spans="1:6" ht="30" customHeight="1" x14ac:dyDescent="0.25">
      <c r="A3922" s="1" t="s">
        <v>7911</v>
      </c>
      <c r="B3922" s="1" t="str">
        <f>"9781444325034"</f>
        <v>9781444325034</v>
      </c>
      <c r="C3922" s="1" t="s">
        <v>11</v>
      </c>
      <c r="D3922" s="2">
        <v>40339</v>
      </c>
      <c r="E3922" s="1" t="s">
        <v>7912</v>
      </c>
      <c r="F3922" s="1" t="s">
        <v>33</v>
      </c>
    </row>
    <row r="3923" spans="1:6" ht="30" customHeight="1" x14ac:dyDescent="0.25">
      <c r="A3923" s="1" t="s">
        <v>7913</v>
      </c>
      <c r="B3923" s="1" t="str">
        <f>"9781444314519"</f>
        <v>9781444314519</v>
      </c>
      <c r="C3923" s="1" t="s">
        <v>11</v>
      </c>
      <c r="D3923" s="2">
        <v>40346</v>
      </c>
      <c r="E3923" s="1" t="s">
        <v>7914</v>
      </c>
      <c r="F3923" s="1" t="s">
        <v>13</v>
      </c>
    </row>
    <row r="3924" spans="1:6" ht="30" customHeight="1" x14ac:dyDescent="0.25">
      <c r="A3924" s="1" t="s">
        <v>7915</v>
      </c>
      <c r="B3924" s="1" t="str">
        <f>"9781444323221"</f>
        <v>9781444323221</v>
      </c>
      <c r="C3924" s="1" t="s">
        <v>11</v>
      </c>
      <c r="D3924" s="2">
        <v>40337</v>
      </c>
      <c r="E3924" s="1" t="s">
        <v>7916</v>
      </c>
      <c r="F3924" s="1" t="s">
        <v>13</v>
      </c>
    </row>
    <row r="3925" spans="1:6" ht="30" customHeight="1" x14ac:dyDescent="0.25">
      <c r="A3925" s="1" t="s">
        <v>7917</v>
      </c>
      <c r="B3925" s="1" t="str">
        <f>"9780470683002"</f>
        <v>9780470683002</v>
      </c>
      <c r="C3925" s="1" t="s">
        <v>11</v>
      </c>
      <c r="D3925" s="2">
        <v>40346</v>
      </c>
      <c r="E3925" s="1" t="s">
        <v>7918</v>
      </c>
      <c r="F3925" s="1" t="s">
        <v>13</v>
      </c>
    </row>
    <row r="3926" spans="1:6" ht="30" customHeight="1" x14ac:dyDescent="0.25">
      <c r="A3926" s="1" t="s">
        <v>7919</v>
      </c>
      <c r="B3926" s="1" t="str">
        <f>"9780826110763"</f>
        <v>9780826110763</v>
      </c>
      <c r="C3926" s="1" t="s">
        <v>2339</v>
      </c>
      <c r="D3926" s="2">
        <v>40269</v>
      </c>
      <c r="E3926" s="1" t="s">
        <v>7920</v>
      </c>
      <c r="F3926" s="1" t="s">
        <v>13</v>
      </c>
    </row>
    <row r="3927" spans="1:6" ht="30" customHeight="1" x14ac:dyDescent="0.25">
      <c r="A3927" s="1" t="s">
        <v>7921</v>
      </c>
      <c r="B3927" s="1" t="str">
        <f>"9780826118226"</f>
        <v>9780826118226</v>
      </c>
      <c r="C3927" s="1" t="s">
        <v>2339</v>
      </c>
      <c r="D3927" s="2">
        <v>40513</v>
      </c>
      <c r="E3927" s="1" t="s">
        <v>7922</v>
      </c>
      <c r="F3927" s="1" t="s">
        <v>126</v>
      </c>
    </row>
    <row r="3928" spans="1:6" ht="30" customHeight="1" x14ac:dyDescent="0.25">
      <c r="A3928" s="1" t="s">
        <v>7923</v>
      </c>
      <c r="B3928" s="1" t="str">
        <f>"9780826122223"</f>
        <v>9780826122223</v>
      </c>
      <c r="C3928" s="1" t="s">
        <v>2339</v>
      </c>
      <c r="D3928" s="2">
        <v>40513</v>
      </c>
      <c r="E3928" s="1" t="s">
        <v>7924</v>
      </c>
      <c r="F3928" s="1" t="s">
        <v>13</v>
      </c>
    </row>
    <row r="3929" spans="1:6" ht="30" customHeight="1" x14ac:dyDescent="0.25">
      <c r="A3929" s="1" t="s">
        <v>7925</v>
      </c>
      <c r="B3929" s="1" t="str">
        <f>"9780826124234"</f>
        <v>9780826124234</v>
      </c>
      <c r="C3929" s="1" t="s">
        <v>2339</v>
      </c>
      <c r="D3929" s="2">
        <v>40318</v>
      </c>
      <c r="E3929" s="1" t="s">
        <v>7926</v>
      </c>
      <c r="F3929" s="1" t="s">
        <v>176</v>
      </c>
    </row>
    <row r="3930" spans="1:6" ht="30" customHeight="1" x14ac:dyDescent="0.25">
      <c r="A3930" s="1" t="s">
        <v>7927</v>
      </c>
      <c r="B3930" s="1" t="str">
        <f>"9780826118486"</f>
        <v>9780826118486</v>
      </c>
      <c r="C3930" s="1" t="s">
        <v>2339</v>
      </c>
      <c r="D3930" s="2">
        <v>40288</v>
      </c>
      <c r="E3930" s="1" t="s">
        <v>7928</v>
      </c>
      <c r="F3930" s="1" t="s">
        <v>126</v>
      </c>
    </row>
    <row r="3931" spans="1:6" ht="30" customHeight="1" x14ac:dyDescent="0.25">
      <c r="A3931" s="1" t="s">
        <v>7929</v>
      </c>
      <c r="B3931" s="1" t="str">
        <f>"9780826105882"</f>
        <v>9780826105882</v>
      </c>
      <c r="C3931" s="1" t="s">
        <v>2339</v>
      </c>
      <c r="D3931" s="2">
        <v>40513</v>
      </c>
      <c r="E3931" s="1" t="s">
        <v>7930</v>
      </c>
      <c r="F3931" s="1" t="s">
        <v>126</v>
      </c>
    </row>
    <row r="3932" spans="1:6" ht="30" customHeight="1" x14ac:dyDescent="0.25">
      <c r="A3932" s="1" t="s">
        <v>7931</v>
      </c>
      <c r="B3932" s="1" t="str">
        <f>"9780826106803"</f>
        <v>9780826106803</v>
      </c>
      <c r="C3932" s="1" t="s">
        <v>2339</v>
      </c>
      <c r="D3932" s="2">
        <v>40315</v>
      </c>
      <c r="E3932" s="1" t="s">
        <v>7932</v>
      </c>
      <c r="F3932" s="1" t="s">
        <v>126</v>
      </c>
    </row>
    <row r="3933" spans="1:6" ht="30" customHeight="1" x14ac:dyDescent="0.25">
      <c r="A3933" s="1" t="s">
        <v>7933</v>
      </c>
      <c r="B3933" s="1" t="str">
        <f>"9781439905524"</f>
        <v>9781439905524</v>
      </c>
      <c r="C3933" s="1" t="s">
        <v>3205</v>
      </c>
      <c r="D3933" s="2">
        <v>41773</v>
      </c>
      <c r="E3933" s="1" t="s">
        <v>7934</v>
      </c>
      <c r="F3933" s="1" t="s">
        <v>200</v>
      </c>
    </row>
    <row r="3934" spans="1:6" ht="30" customHeight="1" x14ac:dyDescent="0.25">
      <c r="A3934" s="1" t="s">
        <v>7935</v>
      </c>
      <c r="B3934" s="1" t="str">
        <f>"9781589012769"</f>
        <v>9781589012769</v>
      </c>
      <c r="C3934" s="1" t="s">
        <v>6517</v>
      </c>
      <c r="D3934" s="2">
        <v>39195</v>
      </c>
      <c r="E3934" s="1" t="s">
        <v>7936</v>
      </c>
      <c r="F3934" s="1" t="s">
        <v>7937</v>
      </c>
    </row>
    <row r="3935" spans="1:6" ht="30" customHeight="1" x14ac:dyDescent="0.25">
      <c r="A3935" s="1" t="s">
        <v>7938</v>
      </c>
      <c r="B3935" s="1" t="str">
        <f>"9781589013377"</f>
        <v>9781589013377</v>
      </c>
      <c r="C3935" s="1" t="s">
        <v>6517</v>
      </c>
      <c r="D3935" s="2">
        <v>39048</v>
      </c>
      <c r="E3935" s="1" t="s">
        <v>7939</v>
      </c>
      <c r="F3935" s="1" t="s">
        <v>7940</v>
      </c>
    </row>
    <row r="3936" spans="1:6" ht="30" customHeight="1" x14ac:dyDescent="0.25">
      <c r="A3936" s="1" t="s">
        <v>7941</v>
      </c>
      <c r="B3936" s="1" t="str">
        <f>"9781589013360"</f>
        <v>9781589013360</v>
      </c>
      <c r="C3936" s="1" t="s">
        <v>6517</v>
      </c>
      <c r="D3936" s="2">
        <v>38888</v>
      </c>
      <c r="E3936" s="1" t="s">
        <v>7942</v>
      </c>
      <c r="F3936" s="1" t="s">
        <v>1879</v>
      </c>
    </row>
    <row r="3937" spans="1:6" ht="30" customHeight="1" x14ac:dyDescent="0.25">
      <c r="A3937" s="1" t="s">
        <v>7943</v>
      </c>
      <c r="B3937" s="1" t="str">
        <f>"9781589013391"</f>
        <v>9781589013391</v>
      </c>
      <c r="C3937" s="1" t="s">
        <v>6517</v>
      </c>
      <c r="D3937" s="2">
        <v>39336</v>
      </c>
      <c r="E3937" s="1" t="s">
        <v>7944</v>
      </c>
      <c r="F3937" s="1" t="s">
        <v>95</v>
      </c>
    </row>
    <row r="3938" spans="1:6" ht="30" customHeight="1" x14ac:dyDescent="0.25">
      <c r="A3938" s="1" t="s">
        <v>7945</v>
      </c>
      <c r="B3938" s="1" t="str">
        <f>"9781589012325"</f>
        <v>9781589012325</v>
      </c>
      <c r="C3938" s="1" t="s">
        <v>6517</v>
      </c>
      <c r="D3938" s="2">
        <v>39205</v>
      </c>
      <c r="E3938" s="1" t="s">
        <v>7946</v>
      </c>
      <c r="F3938" s="1" t="s">
        <v>205</v>
      </c>
    </row>
    <row r="3939" spans="1:6" ht="30" customHeight="1" x14ac:dyDescent="0.25">
      <c r="A3939" s="1" t="s">
        <v>7947</v>
      </c>
      <c r="B3939" s="1" t="str">
        <f>"9781589012424"</f>
        <v>9781589012424</v>
      </c>
      <c r="C3939" s="1" t="s">
        <v>6517</v>
      </c>
      <c r="D3939" s="2">
        <v>39338</v>
      </c>
      <c r="E3939" s="1" t="s">
        <v>7948</v>
      </c>
      <c r="F3939" s="1" t="s">
        <v>21</v>
      </c>
    </row>
    <row r="3940" spans="1:6" ht="30" customHeight="1" x14ac:dyDescent="0.25">
      <c r="A3940" s="1" t="s">
        <v>7949</v>
      </c>
      <c r="B3940" s="1" t="str">
        <f>"9781589017627"</f>
        <v>9781589017627</v>
      </c>
      <c r="C3940" s="1" t="s">
        <v>6517</v>
      </c>
      <c r="D3940" s="2">
        <v>40151</v>
      </c>
      <c r="E3940" s="1" t="s">
        <v>7950</v>
      </c>
      <c r="F3940" s="1" t="s">
        <v>205</v>
      </c>
    </row>
    <row r="3941" spans="1:6" ht="30" customHeight="1" x14ac:dyDescent="0.25">
      <c r="A3941" s="1" t="s">
        <v>7951</v>
      </c>
      <c r="B3941" s="1" t="str">
        <f>"9781589013674"</f>
        <v>9781589013674</v>
      </c>
      <c r="C3941" s="1" t="s">
        <v>6517</v>
      </c>
      <c r="D3941" s="2">
        <v>38991</v>
      </c>
      <c r="E3941" s="1" t="s">
        <v>7952</v>
      </c>
      <c r="F3941" s="1" t="s">
        <v>205</v>
      </c>
    </row>
    <row r="3942" spans="1:6" ht="30" customHeight="1" x14ac:dyDescent="0.25">
      <c r="A3942" s="1" t="s">
        <v>7953</v>
      </c>
      <c r="B3942" s="1" t="str">
        <f>"9781589014664"</f>
        <v>9781589014664</v>
      </c>
      <c r="C3942" s="1" t="s">
        <v>6517</v>
      </c>
      <c r="D3942" s="2">
        <v>39338</v>
      </c>
      <c r="E3942" s="1" t="s">
        <v>7954</v>
      </c>
      <c r="F3942" s="1" t="s">
        <v>21</v>
      </c>
    </row>
    <row r="3943" spans="1:6" ht="30" customHeight="1" x14ac:dyDescent="0.25">
      <c r="A3943" s="1" t="s">
        <v>7955</v>
      </c>
      <c r="B3943" s="1" t="str">
        <f>"9781589012301"</f>
        <v>9781589012301</v>
      </c>
      <c r="C3943" s="1" t="s">
        <v>6517</v>
      </c>
      <c r="D3943" s="2">
        <v>38237</v>
      </c>
      <c r="E3943" s="1" t="s">
        <v>7956</v>
      </c>
      <c r="F3943" s="1" t="s">
        <v>148</v>
      </c>
    </row>
    <row r="3944" spans="1:6" ht="30" customHeight="1" x14ac:dyDescent="0.25">
      <c r="A3944" s="1" t="s">
        <v>7957</v>
      </c>
      <c r="B3944" s="1" t="str">
        <f>"9781589016828"</f>
        <v>9781589016828</v>
      </c>
      <c r="C3944" s="1" t="s">
        <v>6517</v>
      </c>
      <c r="D3944" s="2">
        <v>40228</v>
      </c>
      <c r="E3944" s="1" t="s">
        <v>7958</v>
      </c>
      <c r="F3944" s="1" t="s">
        <v>13</v>
      </c>
    </row>
    <row r="3945" spans="1:6" ht="30" customHeight="1" x14ac:dyDescent="0.25">
      <c r="A3945" s="1" t="s">
        <v>7959</v>
      </c>
      <c r="B3945" s="1" t="str">
        <f>"9780199780150"</f>
        <v>9780199780150</v>
      </c>
      <c r="C3945" s="1" t="s">
        <v>1120</v>
      </c>
      <c r="D3945" s="2">
        <v>40389</v>
      </c>
      <c r="E3945" s="1" t="s">
        <v>7960</v>
      </c>
      <c r="F3945" s="1" t="s">
        <v>30</v>
      </c>
    </row>
    <row r="3946" spans="1:6" ht="30" customHeight="1" x14ac:dyDescent="0.25">
      <c r="A3946" s="1" t="s">
        <v>7961</v>
      </c>
      <c r="B3946" s="1" t="str">
        <f>"9780199780242"</f>
        <v>9780199780242</v>
      </c>
      <c r="C3946" s="1" t="s">
        <v>1120</v>
      </c>
      <c r="D3946" s="2">
        <v>40416</v>
      </c>
      <c r="E3946" s="1" t="s">
        <v>7962</v>
      </c>
      <c r="F3946" s="1" t="s">
        <v>33</v>
      </c>
    </row>
    <row r="3947" spans="1:6" ht="30" customHeight="1" x14ac:dyDescent="0.25">
      <c r="A3947" s="1" t="s">
        <v>7963</v>
      </c>
      <c r="B3947" s="1" t="str">
        <f>"9780199719853"</f>
        <v>9780199719853</v>
      </c>
      <c r="C3947" s="1" t="s">
        <v>1123</v>
      </c>
      <c r="D3947" s="2">
        <v>41773</v>
      </c>
      <c r="E3947" s="1" t="s">
        <v>7964</v>
      </c>
      <c r="F3947" s="1" t="s">
        <v>30</v>
      </c>
    </row>
    <row r="3948" spans="1:6" ht="30" customHeight="1" x14ac:dyDescent="0.25">
      <c r="A3948" s="1" t="s">
        <v>7965</v>
      </c>
      <c r="B3948" s="1" t="str">
        <f>"9783110213768"</f>
        <v>9783110213768</v>
      </c>
      <c r="C3948" s="1" t="s">
        <v>1848</v>
      </c>
      <c r="D3948" s="2">
        <v>40325</v>
      </c>
      <c r="E3948" s="1" t="s">
        <v>7966</v>
      </c>
      <c r="F3948" s="1" t="s">
        <v>13</v>
      </c>
    </row>
    <row r="3949" spans="1:6" ht="30" customHeight="1" x14ac:dyDescent="0.25">
      <c r="A3949" s="1" t="s">
        <v>7967</v>
      </c>
      <c r="B3949" s="1" t="str">
        <f>"9783110214864"</f>
        <v>9783110214864</v>
      </c>
      <c r="C3949" s="1" t="s">
        <v>1848</v>
      </c>
      <c r="D3949" s="2">
        <v>40325</v>
      </c>
      <c r="E3949" s="1" t="s">
        <v>7968</v>
      </c>
      <c r="F3949" s="1" t="s">
        <v>13</v>
      </c>
    </row>
    <row r="3950" spans="1:6" ht="30" customHeight="1" x14ac:dyDescent="0.25">
      <c r="A3950" s="1" t="s">
        <v>7969</v>
      </c>
      <c r="B3950" s="1" t="str">
        <f>"9780313357657"</f>
        <v>9780313357657</v>
      </c>
      <c r="C3950" s="1" t="s">
        <v>7550</v>
      </c>
      <c r="D3950" s="2">
        <v>39659</v>
      </c>
      <c r="E3950" s="1" t="s">
        <v>7970</v>
      </c>
      <c r="F3950" s="1" t="s">
        <v>599</v>
      </c>
    </row>
    <row r="3951" spans="1:6" ht="30" customHeight="1" x14ac:dyDescent="0.25">
      <c r="A3951" s="1" t="s">
        <v>7971</v>
      </c>
      <c r="B3951" s="1" t="str">
        <f>"9780313362439"</f>
        <v>9780313362439</v>
      </c>
      <c r="C3951" s="1" t="s">
        <v>7550</v>
      </c>
      <c r="D3951" s="2">
        <v>40283</v>
      </c>
      <c r="E3951" s="1" t="s">
        <v>7972</v>
      </c>
      <c r="F3951" s="1" t="s">
        <v>13</v>
      </c>
    </row>
    <row r="3952" spans="1:6" ht="30" customHeight="1" x14ac:dyDescent="0.25">
      <c r="A3952" s="1" t="s">
        <v>7973</v>
      </c>
      <c r="B3952" s="1" t="str">
        <f>"9781409410225"</f>
        <v>9781409410225</v>
      </c>
      <c r="C3952" s="1" t="s">
        <v>68</v>
      </c>
      <c r="D3952" s="2">
        <v>40391</v>
      </c>
      <c r="E3952" s="1" t="s">
        <v>7974</v>
      </c>
      <c r="F3952" s="1" t="s">
        <v>30</v>
      </c>
    </row>
    <row r="3953" spans="1:6" ht="30" customHeight="1" x14ac:dyDescent="0.25">
      <c r="A3953" s="1" t="s">
        <v>7975</v>
      </c>
      <c r="B3953" s="1" t="str">
        <f>"9781845935955"</f>
        <v>9781845935955</v>
      </c>
      <c r="C3953" s="1" t="s">
        <v>2321</v>
      </c>
      <c r="D3953" s="2">
        <v>40179</v>
      </c>
      <c r="E3953" s="1" t="s">
        <v>7976</v>
      </c>
      <c r="F3953" s="1" t="s">
        <v>1948</v>
      </c>
    </row>
    <row r="3954" spans="1:6" ht="30" customHeight="1" x14ac:dyDescent="0.25">
      <c r="A3954" s="1" t="s">
        <v>7977</v>
      </c>
      <c r="B3954" s="1" t="str">
        <f>"9780813814216"</f>
        <v>9780813814216</v>
      </c>
      <c r="C3954" s="1" t="s">
        <v>65</v>
      </c>
      <c r="D3954" s="2">
        <v>40353</v>
      </c>
      <c r="E3954" s="1" t="s">
        <v>7978</v>
      </c>
      <c r="F3954" s="1" t="s">
        <v>13</v>
      </c>
    </row>
    <row r="3955" spans="1:6" ht="30" customHeight="1" x14ac:dyDescent="0.25">
      <c r="A3955" s="1" t="s">
        <v>7979</v>
      </c>
      <c r="B3955" s="1" t="str">
        <f>"9781444320374"</f>
        <v>9781444320374</v>
      </c>
      <c r="C3955" s="1" t="s">
        <v>11</v>
      </c>
      <c r="D3955" s="2">
        <v>40353</v>
      </c>
      <c r="E3955" s="1" t="s">
        <v>7980</v>
      </c>
      <c r="F3955" s="1" t="s">
        <v>13</v>
      </c>
    </row>
    <row r="3956" spans="1:6" ht="30" customHeight="1" x14ac:dyDescent="0.25">
      <c r="A3956" s="1" t="s">
        <v>7981</v>
      </c>
      <c r="B3956" s="1" t="str">
        <f>"9780470666623"</f>
        <v>9780470666623</v>
      </c>
      <c r="C3956" s="1" t="s">
        <v>65</v>
      </c>
      <c r="D3956" s="2">
        <v>40365</v>
      </c>
      <c r="E3956" s="1" t="s">
        <v>7982</v>
      </c>
      <c r="F3956" s="1" t="s">
        <v>268</v>
      </c>
    </row>
    <row r="3957" spans="1:6" ht="30" customHeight="1" x14ac:dyDescent="0.25">
      <c r="A3957" s="1" t="s">
        <v>7983</v>
      </c>
      <c r="B3957" s="1" t="str">
        <f>"9781742232461"</f>
        <v>9781742232461</v>
      </c>
      <c r="C3957" s="1" t="s">
        <v>5514</v>
      </c>
      <c r="D3957" s="2">
        <v>40118</v>
      </c>
      <c r="E3957" s="1" t="s">
        <v>7984</v>
      </c>
      <c r="F3957" s="1" t="s">
        <v>70</v>
      </c>
    </row>
    <row r="3958" spans="1:6" ht="30" customHeight="1" x14ac:dyDescent="0.25">
      <c r="A3958" s="1" t="s">
        <v>7985</v>
      </c>
      <c r="B3958" s="1" t="str">
        <f>"9783110213836"</f>
        <v>9783110213836</v>
      </c>
      <c r="C3958" s="1" t="s">
        <v>1848</v>
      </c>
      <c r="D3958" s="2">
        <v>40358</v>
      </c>
      <c r="E3958" s="1" t="s">
        <v>7986</v>
      </c>
      <c r="F3958" s="1" t="s">
        <v>13</v>
      </c>
    </row>
    <row r="3959" spans="1:6" ht="30" customHeight="1" x14ac:dyDescent="0.25">
      <c r="A3959" s="1" t="s">
        <v>7987</v>
      </c>
      <c r="B3959" s="1" t="str">
        <f>"9789042026636"</f>
        <v>9789042026636</v>
      </c>
      <c r="C3959" s="1" t="s">
        <v>7988</v>
      </c>
      <c r="D3959" s="2">
        <v>39814</v>
      </c>
      <c r="E3959" s="1" t="s">
        <v>7989</v>
      </c>
      <c r="F3959" s="1" t="s">
        <v>13</v>
      </c>
    </row>
    <row r="3960" spans="1:6" ht="30" customHeight="1" x14ac:dyDescent="0.25">
      <c r="A3960" s="1" t="s">
        <v>7990</v>
      </c>
      <c r="B3960" s="1" t="str">
        <f>"9789401202954"</f>
        <v>9789401202954</v>
      </c>
      <c r="C3960" s="1" t="s">
        <v>7988</v>
      </c>
      <c r="D3960" s="2">
        <v>38353</v>
      </c>
      <c r="E3960" s="1" t="s">
        <v>7991</v>
      </c>
      <c r="F3960" s="1" t="s">
        <v>13</v>
      </c>
    </row>
    <row r="3961" spans="1:6" ht="30" customHeight="1" x14ac:dyDescent="0.25">
      <c r="A3961" s="1" t="s">
        <v>7992</v>
      </c>
      <c r="B3961" s="1" t="str">
        <f>"9789401201353"</f>
        <v>9789401201353</v>
      </c>
      <c r="C3961" s="1" t="s">
        <v>7988</v>
      </c>
      <c r="D3961" s="2">
        <v>38353</v>
      </c>
      <c r="E3961" s="1" t="s">
        <v>7993</v>
      </c>
      <c r="F3961" s="1" t="s">
        <v>359</v>
      </c>
    </row>
    <row r="3962" spans="1:6" ht="30" customHeight="1" x14ac:dyDescent="0.25">
      <c r="A3962" s="1" t="s">
        <v>7994</v>
      </c>
      <c r="B3962" s="1" t="str">
        <f>"9789401203388"</f>
        <v>9789401203388</v>
      </c>
      <c r="C3962" s="1" t="s">
        <v>7988</v>
      </c>
      <c r="D3962" s="2">
        <v>38718</v>
      </c>
      <c r="E3962" s="1" t="s">
        <v>7995</v>
      </c>
      <c r="F3962" s="1" t="s">
        <v>6430</v>
      </c>
    </row>
    <row r="3963" spans="1:6" ht="30" customHeight="1" x14ac:dyDescent="0.25">
      <c r="A3963" s="1" t="s">
        <v>7996</v>
      </c>
      <c r="B3963" s="1" t="str">
        <f>"9789401206716"</f>
        <v>9789401206716</v>
      </c>
      <c r="C3963" s="1" t="s">
        <v>7988</v>
      </c>
      <c r="D3963" s="2">
        <v>39814</v>
      </c>
      <c r="E3963" s="1" t="s">
        <v>7997</v>
      </c>
      <c r="F3963" s="1" t="s">
        <v>95</v>
      </c>
    </row>
    <row r="3964" spans="1:6" ht="30" customHeight="1" x14ac:dyDescent="0.25">
      <c r="A3964" s="1" t="s">
        <v>7998</v>
      </c>
      <c r="B3964" s="1" t="str">
        <f>"9789401203456"</f>
        <v>9789401203456</v>
      </c>
      <c r="C3964" s="1" t="s">
        <v>7988</v>
      </c>
      <c r="D3964" s="2">
        <v>38718</v>
      </c>
      <c r="E3964" s="1" t="s">
        <v>7999</v>
      </c>
      <c r="F3964" s="1" t="s">
        <v>13</v>
      </c>
    </row>
    <row r="3965" spans="1:6" ht="30" customHeight="1" x14ac:dyDescent="0.25">
      <c r="A3965" s="1" t="s">
        <v>8000</v>
      </c>
      <c r="B3965" s="1" t="str">
        <f>"9789042026261"</f>
        <v>9789042026261</v>
      </c>
      <c r="C3965" s="1" t="s">
        <v>7988</v>
      </c>
      <c r="D3965" s="2">
        <v>39814</v>
      </c>
      <c r="E3965" s="1" t="s">
        <v>8001</v>
      </c>
      <c r="F3965" s="1" t="s">
        <v>104</v>
      </c>
    </row>
    <row r="3966" spans="1:6" ht="30" customHeight="1" x14ac:dyDescent="0.25">
      <c r="A3966" s="1" t="s">
        <v>8002</v>
      </c>
      <c r="B3966" s="1" t="str">
        <f>"9789401204941"</f>
        <v>9789401204941</v>
      </c>
      <c r="C3966" s="1" t="s">
        <v>906</v>
      </c>
      <c r="D3966" s="2">
        <v>39083</v>
      </c>
      <c r="E3966" s="1" t="s">
        <v>8003</v>
      </c>
      <c r="F3966" s="1" t="s">
        <v>13</v>
      </c>
    </row>
    <row r="3967" spans="1:6" ht="30" customHeight="1" x14ac:dyDescent="0.25">
      <c r="A3967" s="1" t="s">
        <v>8004</v>
      </c>
      <c r="B3967" s="1" t="str">
        <f>"9789401201780"</f>
        <v>9789401201780</v>
      </c>
      <c r="C3967" s="1" t="s">
        <v>7988</v>
      </c>
      <c r="D3967" s="2">
        <v>38353</v>
      </c>
      <c r="E3967" s="1" t="s">
        <v>8005</v>
      </c>
      <c r="F3967" s="1" t="s">
        <v>70</v>
      </c>
    </row>
    <row r="3968" spans="1:6" ht="30" customHeight="1" x14ac:dyDescent="0.25">
      <c r="A3968" s="1" t="s">
        <v>8006</v>
      </c>
      <c r="B3968" s="1" t="str">
        <f>"9789401205917"</f>
        <v>9789401205917</v>
      </c>
      <c r="C3968" s="1" t="s">
        <v>7988</v>
      </c>
      <c r="D3968" s="2">
        <v>39448</v>
      </c>
      <c r="E3968" s="1" t="s">
        <v>8007</v>
      </c>
      <c r="F3968" s="1" t="s">
        <v>95</v>
      </c>
    </row>
    <row r="3969" spans="1:6" ht="30" customHeight="1" x14ac:dyDescent="0.25">
      <c r="A3969" s="1" t="s">
        <v>8008</v>
      </c>
      <c r="B3969" s="1" t="str">
        <f>"9789401204194"</f>
        <v>9789401204194</v>
      </c>
      <c r="C3969" s="1" t="s">
        <v>7988</v>
      </c>
      <c r="D3969" s="2">
        <v>39083</v>
      </c>
      <c r="E3969" s="1" t="s">
        <v>8009</v>
      </c>
      <c r="F3969" s="1" t="s">
        <v>205</v>
      </c>
    </row>
    <row r="3970" spans="1:6" ht="30" customHeight="1" x14ac:dyDescent="0.25">
      <c r="A3970" s="1" t="s">
        <v>8010</v>
      </c>
      <c r="B3970" s="1" t="str">
        <f>"9789401206013"</f>
        <v>9789401206013</v>
      </c>
      <c r="C3970" s="1" t="s">
        <v>906</v>
      </c>
      <c r="D3970" s="2">
        <v>39448</v>
      </c>
      <c r="E3970" s="1" t="s">
        <v>8011</v>
      </c>
      <c r="F3970" s="1" t="s">
        <v>70</v>
      </c>
    </row>
    <row r="3971" spans="1:6" ht="30" customHeight="1" x14ac:dyDescent="0.25">
      <c r="A3971" s="1" t="s">
        <v>8012</v>
      </c>
      <c r="B3971" s="1" t="str">
        <f>"9789401202961"</f>
        <v>9789401202961</v>
      </c>
      <c r="C3971" s="1" t="s">
        <v>7988</v>
      </c>
      <c r="D3971" s="2">
        <v>38718</v>
      </c>
      <c r="E3971" s="1" t="s">
        <v>7997</v>
      </c>
      <c r="F3971" s="1" t="s">
        <v>13</v>
      </c>
    </row>
    <row r="3972" spans="1:6" ht="30" customHeight="1" x14ac:dyDescent="0.25">
      <c r="A3972" s="1" t="s">
        <v>8013</v>
      </c>
      <c r="B3972" s="1" t="str">
        <f>"9789042026612"</f>
        <v>9789042026612</v>
      </c>
      <c r="C3972" s="1" t="s">
        <v>7988</v>
      </c>
      <c r="D3972" s="2">
        <v>39814</v>
      </c>
      <c r="E3972" s="1" t="s">
        <v>8014</v>
      </c>
      <c r="F3972" s="1" t="s">
        <v>13</v>
      </c>
    </row>
    <row r="3973" spans="1:6" ht="30" customHeight="1" x14ac:dyDescent="0.25">
      <c r="A3973" s="1" t="s">
        <v>8015</v>
      </c>
      <c r="B3973" s="1" t="str">
        <f>"9789401206310"</f>
        <v>9789401206310</v>
      </c>
      <c r="C3973" s="1" t="s">
        <v>906</v>
      </c>
      <c r="D3973" s="2">
        <v>39448</v>
      </c>
      <c r="E3973" s="1" t="s">
        <v>8016</v>
      </c>
      <c r="F3973" s="1" t="s">
        <v>13</v>
      </c>
    </row>
    <row r="3974" spans="1:6" ht="30" customHeight="1" x14ac:dyDescent="0.25">
      <c r="A3974" s="1" t="s">
        <v>8017</v>
      </c>
      <c r="B3974" s="1" t="str">
        <f>"9789401204934"</f>
        <v>9789401204934</v>
      </c>
      <c r="C3974" s="1" t="s">
        <v>906</v>
      </c>
      <c r="D3974" s="2">
        <v>41786</v>
      </c>
      <c r="E3974" s="1" t="s">
        <v>8018</v>
      </c>
      <c r="F3974" s="1" t="s">
        <v>70</v>
      </c>
    </row>
    <row r="3975" spans="1:6" ht="30" customHeight="1" x14ac:dyDescent="0.25">
      <c r="A3975" s="1" t="s">
        <v>8019</v>
      </c>
      <c r="B3975" s="1" t="str">
        <f>"9789401202350"</f>
        <v>9789401202350</v>
      </c>
      <c r="C3975" s="1" t="s">
        <v>7988</v>
      </c>
      <c r="D3975" s="2">
        <v>38718</v>
      </c>
      <c r="E3975" s="1" t="s">
        <v>8020</v>
      </c>
      <c r="F3975" s="1" t="s">
        <v>13</v>
      </c>
    </row>
    <row r="3976" spans="1:6" ht="30" customHeight="1" x14ac:dyDescent="0.25">
      <c r="A3976" s="1" t="s">
        <v>8021</v>
      </c>
      <c r="B3976" s="1" t="str">
        <f>"9789401204958"</f>
        <v>9789401204958</v>
      </c>
      <c r="C3976" s="1" t="s">
        <v>906</v>
      </c>
      <c r="D3976" s="2">
        <v>39083</v>
      </c>
      <c r="E3976" s="1" t="s">
        <v>8022</v>
      </c>
      <c r="F3976" s="1" t="s">
        <v>6200</v>
      </c>
    </row>
    <row r="3977" spans="1:6" ht="30" customHeight="1" x14ac:dyDescent="0.25">
      <c r="A3977" s="1" t="s">
        <v>8023</v>
      </c>
      <c r="B3977" s="1" t="str">
        <f>"9789042026322"</f>
        <v>9789042026322</v>
      </c>
      <c r="C3977" s="1" t="s">
        <v>906</v>
      </c>
      <c r="D3977" s="2">
        <v>41426</v>
      </c>
      <c r="E3977" s="1" t="s">
        <v>8024</v>
      </c>
      <c r="F3977" s="1" t="s">
        <v>30</v>
      </c>
    </row>
    <row r="3978" spans="1:6" ht="30" customHeight="1" x14ac:dyDescent="0.25">
      <c r="A3978" s="1" t="s">
        <v>8025</v>
      </c>
      <c r="B3978" s="1" t="str">
        <f>"9789401203630"</f>
        <v>9789401203630</v>
      </c>
      <c r="C3978" s="1" t="s">
        <v>906</v>
      </c>
      <c r="D3978" s="2">
        <v>38718</v>
      </c>
      <c r="E3978" s="1" t="s">
        <v>8026</v>
      </c>
      <c r="F3978" s="1" t="s">
        <v>8027</v>
      </c>
    </row>
    <row r="3979" spans="1:6" ht="30" customHeight="1" x14ac:dyDescent="0.25">
      <c r="A3979" s="1" t="s">
        <v>8028</v>
      </c>
      <c r="B3979" s="1" t="str">
        <f>"9789401201155"</f>
        <v>9789401201155</v>
      </c>
      <c r="C3979" s="1" t="s">
        <v>7988</v>
      </c>
      <c r="D3979" s="2">
        <v>38718</v>
      </c>
      <c r="E3979" s="1" t="s">
        <v>8029</v>
      </c>
      <c r="F3979" s="1" t="s">
        <v>8030</v>
      </c>
    </row>
    <row r="3980" spans="1:6" ht="30" customHeight="1" x14ac:dyDescent="0.25">
      <c r="A3980" s="1" t="s">
        <v>8031</v>
      </c>
      <c r="B3980" s="1" t="str">
        <f>"9789042030473"</f>
        <v>9789042030473</v>
      </c>
      <c r="C3980" s="1" t="s">
        <v>7988</v>
      </c>
      <c r="D3980" s="2">
        <v>40179</v>
      </c>
      <c r="E3980" s="1" t="s">
        <v>8032</v>
      </c>
      <c r="F3980" s="1" t="s">
        <v>13</v>
      </c>
    </row>
    <row r="3981" spans="1:6" ht="30" customHeight="1" x14ac:dyDescent="0.25">
      <c r="A3981" s="1" t="s">
        <v>8033</v>
      </c>
      <c r="B3981" s="1" t="str">
        <f>"9781607505655"</f>
        <v>9781607505655</v>
      </c>
      <c r="C3981" s="1" t="s">
        <v>1390</v>
      </c>
      <c r="D3981" s="2">
        <v>40325</v>
      </c>
      <c r="E3981" s="1" t="s">
        <v>8034</v>
      </c>
      <c r="F3981" s="1" t="s">
        <v>2537</v>
      </c>
    </row>
    <row r="3982" spans="1:6" ht="30" customHeight="1" x14ac:dyDescent="0.25">
      <c r="A3982" s="1" t="s">
        <v>8035</v>
      </c>
      <c r="B3982" s="1" t="str">
        <f>"9781607505631"</f>
        <v>9781607505631</v>
      </c>
      <c r="C3982" s="1" t="s">
        <v>1390</v>
      </c>
      <c r="D3982" s="2">
        <v>40318</v>
      </c>
      <c r="E3982" s="1" t="s">
        <v>8036</v>
      </c>
      <c r="F3982" s="1" t="s">
        <v>95</v>
      </c>
    </row>
    <row r="3983" spans="1:6" ht="30" customHeight="1" x14ac:dyDescent="0.25">
      <c r="A3983" s="1" t="s">
        <v>8037</v>
      </c>
      <c r="B3983" s="1" t="str">
        <f>"9781607505617"</f>
        <v>9781607505617</v>
      </c>
      <c r="C3983" s="1" t="s">
        <v>1390</v>
      </c>
      <c r="D3983" s="2">
        <v>40325</v>
      </c>
      <c r="E3983" s="1" t="s">
        <v>8038</v>
      </c>
      <c r="F3983" s="1" t="s">
        <v>33</v>
      </c>
    </row>
    <row r="3984" spans="1:6" ht="30" customHeight="1" x14ac:dyDescent="0.25">
      <c r="A3984" s="1" t="s">
        <v>8039</v>
      </c>
      <c r="B3984" s="1" t="str">
        <f>"9781607504955"</f>
        <v>9781607504955</v>
      </c>
      <c r="C3984" s="1" t="s">
        <v>1390</v>
      </c>
      <c r="D3984" s="2">
        <v>40241</v>
      </c>
      <c r="E3984" s="1" t="s">
        <v>8040</v>
      </c>
      <c r="F3984" s="1" t="s">
        <v>13</v>
      </c>
    </row>
    <row r="3985" spans="1:6" ht="30" customHeight="1" x14ac:dyDescent="0.25">
      <c r="A3985" s="1" t="s">
        <v>8041</v>
      </c>
      <c r="B3985" s="1" t="str">
        <f>"9781607505273"</f>
        <v>9781607505273</v>
      </c>
      <c r="C3985" s="1" t="s">
        <v>1390</v>
      </c>
      <c r="D3985" s="2">
        <v>40295</v>
      </c>
      <c r="E3985" s="1" t="s">
        <v>8042</v>
      </c>
      <c r="F3985" s="1" t="s">
        <v>13</v>
      </c>
    </row>
    <row r="3986" spans="1:6" ht="30" customHeight="1" x14ac:dyDescent="0.25">
      <c r="A3986" s="1" t="s">
        <v>8043</v>
      </c>
      <c r="B3986" s="1" t="str">
        <f>"9780335239368"</f>
        <v>9780335239368</v>
      </c>
      <c r="C3986" s="1" t="s">
        <v>2247</v>
      </c>
      <c r="D3986" s="2">
        <v>40179</v>
      </c>
      <c r="E3986" s="1" t="s">
        <v>8044</v>
      </c>
      <c r="F3986" s="1" t="s">
        <v>13</v>
      </c>
    </row>
    <row r="3987" spans="1:6" ht="30" customHeight="1" x14ac:dyDescent="0.25">
      <c r="A3987" s="1" t="s">
        <v>8045</v>
      </c>
      <c r="B3987" s="1" t="str">
        <f>"9780335239917"</f>
        <v>9780335239917</v>
      </c>
      <c r="C3987" s="1" t="s">
        <v>2247</v>
      </c>
      <c r="D3987" s="2">
        <v>40179</v>
      </c>
      <c r="E3987" s="1" t="s">
        <v>8046</v>
      </c>
      <c r="F3987" s="1" t="s">
        <v>126</v>
      </c>
    </row>
    <row r="3988" spans="1:6" ht="30" customHeight="1" x14ac:dyDescent="0.25">
      <c r="A3988" s="1" t="s">
        <v>8047</v>
      </c>
      <c r="B3988" s="1" t="str">
        <f>"9780335240098"</f>
        <v>9780335240098</v>
      </c>
      <c r="C3988" s="1" t="s">
        <v>2247</v>
      </c>
      <c r="D3988" s="2">
        <v>40179</v>
      </c>
      <c r="E3988" s="1" t="s">
        <v>8048</v>
      </c>
      <c r="F3988" s="1" t="s">
        <v>13</v>
      </c>
    </row>
    <row r="3989" spans="1:6" ht="30" customHeight="1" x14ac:dyDescent="0.25">
      <c r="A3989" s="1" t="s">
        <v>8049</v>
      </c>
      <c r="B3989" s="1" t="str">
        <f>"9780335240340"</f>
        <v>9780335240340</v>
      </c>
      <c r="C3989" s="1" t="s">
        <v>2247</v>
      </c>
      <c r="D3989" s="2">
        <v>40179</v>
      </c>
      <c r="E3989" s="1" t="s">
        <v>8050</v>
      </c>
      <c r="F3989" s="1" t="s">
        <v>13</v>
      </c>
    </row>
    <row r="3990" spans="1:6" ht="30" customHeight="1" x14ac:dyDescent="0.25">
      <c r="A3990" s="1" t="s">
        <v>8051</v>
      </c>
      <c r="B3990" s="1" t="str">
        <f>"9780335240548"</f>
        <v>9780335240548</v>
      </c>
      <c r="C3990" s="1" t="s">
        <v>2247</v>
      </c>
      <c r="D3990" s="2">
        <v>40179</v>
      </c>
      <c r="E3990" s="1" t="s">
        <v>8052</v>
      </c>
      <c r="F3990" s="1" t="s">
        <v>95</v>
      </c>
    </row>
    <row r="3991" spans="1:6" ht="30" customHeight="1" x14ac:dyDescent="0.25">
      <c r="A3991" s="1" t="s">
        <v>8053</v>
      </c>
      <c r="B3991" s="1" t="str">
        <f>"9781400834884"</f>
        <v>9781400834884</v>
      </c>
      <c r="C3991" s="1" t="s">
        <v>6462</v>
      </c>
      <c r="D3991" s="2">
        <v>40287</v>
      </c>
      <c r="E3991" s="1" t="s">
        <v>8054</v>
      </c>
      <c r="F3991" s="1" t="s">
        <v>3393</v>
      </c>
    </row>
    <row r="3992" spans="1:6" ht="30" customHeight="1" x14ac:dyDescent="0.25">
      <c r="A3992" s="1" t="s">
        <v>8055</v>
      </c>
      <c r="B3992" s="1" t="str">
        <f>"9780833049841"</f>
        <v>9780833049841</v>
      </c>
      <c r="C3992" s="1" t="s">
        <v>516</v>
      </c>
      <c r="D3992" s="2">
        <v>40326</v>
      </c>
      <c r="E3992" s="1" t="s">
        <v>8056</v>
      </c>
      <c r="F3992" s="1" t="s">
        <v>95</v>
      </c>
    </row>
    <row r="3993" spans="1:6" ht="30" customHeight="1" x14ac:dyDescent="0.25">
      <c r="A3993" s="1" t="s">
        <v>8057</v>
      </c>
      <c r="B3993" s="1" t="str">
        <f>"9781439903957"</f>
        <v>9781439903957</v>
      </c>
      <c r="C3993" s="1" t="s">
        <v>3205</v>
      </c>
      <c r="D3993" s="2">
        <v>37956</v>
      </c>
      <c r="E3993" s="1" t="s">
        <v>8058</v>
      </c>
      <c r="F3993" s="1" t="s">
        <v>3843</v>
      </c>
    </row>
    <row r="3994" spans="1:6" ht="30" customHeight="1" x14ac:dyDescent="0.25">
      <c r="A3994" s="1" t="s">
        <v>8059</v>
      </c>
      <c r="B3994" s="1" t="str">
        <f>"9781926685014"</f>
        <v>9781926685014</v>
      </c>
      <c r="C3994" s="1" t="s">
        <v>8060</v>
      </c>
      <c r="D3994" s="2">
        <v>39164</v>
      </c>
      <c r="E3994" s="1" t="s">
        <v>8061</v>
      </c>
      <c r="F3994" s="1" t="s">
        <v>70</v>
      </c>
    </row>
    <row r="3995" spans="1:6" ht="30" customHeight="1" x14ac:dyDescent="0.25">
      <c r="A3995" s="1" t="s">
        <v>8062</v>
      </c>
      <c r="B3995" s="1" t="str">
        <f>"9780226260259"</f>
        <v>9780226260259</v>
      </c>
      <c r="C3995" s="1" t="s">
        <v>5093</v>
      </c>
      <c r="D3995" s="2">
        <v>40136</v>
      </c>
      <c r="E3995" s="1" t="s">
        <v>8063</v>
      </c>
      <c r="F3995" s="1" t="s">
        <v>13</v>
      </c>
    </row>
    <row r="3996" spans="1:6" ht="30" customHeight="1" x14ac:dyDescent="0.25">
      <c r="A3996" s="1" t="s">
        <v>8064</v>
      </c>
      <c r="B3996" s="1" t="str">
        <f>"9780226482361"</f>
        <v>9780226482361</v>
      </c>
      <c r="C3996" s="1" t="s">
        <v>5093</v>
      </c>
      <c r="D3996" s="2">
        <v>39731</v>
      </c>
      <c r="E3996" s="1" t="s">
        <v>8065</v>
      </c>
      <c r="F3996" s="1" t="s">
        <v>95</v>
      </c>
    </row>
    <row r="3997" spans="1:6" ht="30" customHeight="1" x14ac:dyDescent="0.25">
      <c r="A3997" s="1" t="s">
        <v>8066</v>
      </c>
      <c r="B3997" s="1" t="str">
        <f>"9789289041935"</f>
        <v>9789289041935</v>
      </c>
      <c r="C3997" s="1" t="s">
        <v>1981</v>
      </c>
      <c r="D3997" s="2">
        <v>40231</v>
      </c>
      <c r="E3997" s="1" t="s">
        <v>8067</v>
      </c>
      <c r="F3997" s="1" t="s">
        <v>30</v>
      </c>
    </row>
    <row r="3998" spans="1:6" ht="30" customHeight="1" x14ac:dyDescent="0.25">
      <c r="A3998" s="1" t="s">
        <v>8068</v>
      </c>
      <c r="B3998" s="1" t="str">
        <f>"9789240685178"</f>
        <v>9789240685178</v>
      </c>
      <c r="C3998" s="1" t="s">
        <v>1981</v>
      </c>
      <c r="D3998" s="2">
        <v>40023</v>
      </c>
      <c r="E3998" s="1" t="s">
        <v>8069</v>
      </c>
      <c r="F3998" s="1" t="s">
        <v>8070</v>
      </c>
    </row>
    <row r="3999" spans="1:6" ht="30" customHeight="1" x14ac:dyDescent="0.25">
      <c r="A3999" s="1" t="s">
        <v>8071</v>
      </c>
      <c r="B3999" s="1" t="str">
        <f>"9789289042093"</f>
        <v>9789289042093</v>
      </c>
      <c r="C3999" s="1" t="s">
        <v>1981</v>
      </c>
      <c r="D3999" s="2">
        <v>40179</v>
      </c>
      <c r="E3999" s="1" t="s">
        <v>4887</v>
      </c>
      <c r="F3999" s="1" t="s">
        <v>95</v>
      </c>
    </row>
    <row r="4000" spans="1:6" ht="30" customHeight="1" x14ac:dyDescent="0.25">
      <c r="A4000" s="1" t="s">
        <v>8072</v>
      </c>
      <c r="B4000" s="1" t="str">
        <f>"9789240684799"</f>
        <v>9789240684799</v>
      </c>
      <c r="C4000" s="1" t="s">
        <v>1981</v>
      </c>
      <c r="D4000" s="2">
        <v>40242</v>
      </c>
      <c r="E4000" s="1" t="s">
        <v>1981</v>
      </c>
      <c r="F4000" s="1" t="s">
        <v>6806</v>
      </c>
    </row>
    <row r="4001" spans="1:6" ht="30" customHeight="1" x14ac:dyDescent="0.25">
      <c r="A4001" s="1" t="s">
        <v>8073</v>
      </c>
      <c r="B4001" s="1" t="str">
        <f>"9789240685093"</f>
        <v>9789240685093</v>
      </c>
      <c r="C4001" s="1" t="s">
        <v>1981</v>
      </c>
      <c r="D4001" s="2">
        <v>40112</v>
      </c>
      <c r="E4001" s="1" t="s">
        <v>2149</v>
      </c>
      <c r="F4001" s="1" t="s">
        <v>30</v>
      </c>
    </row>
    <row r="4002" spans="1:6" ht="30" customHeight="1" x14ac:dyDescent="0.25">
      <c r="A4002" s="1" t="s">
        <v>8074</v>
      </c>
      <c r="B4002" s="1" t="str">
        <f>"9789240685192"</f>
        <v>9789240685192</v>
      </c>
      <c r="C4002" s="1" t="s">
        <v>1981</v>
      </c>
      <c r="D4002" s="2">
        <v>39485</v>
      </c>
      <c r="E4002" s="1" t="s">
        <v>1981</v>
      </c>
      <c r="F4002" s="1" t="s">
        <v>158</v>
      </c>
    </row>
    <row r="4003" spans="1:6" ht="30" customHeight="1" x14ac:dyDescent="0.25">
      <c r="A4003" s="1" t="s">
        <v>8075</v>
      </c>
      <c r="B4003" s="1" t="str">
        <f>"9789240685123"</f>
        <v>9789240685123</v>
      </c>
      <c r="C4003" s="1" t="s">
        <v>1981</v>
      </c>
      <c r="D4003" s="2">
        <v>39666</v>
      </c>
      <c r="E4003" s="1" t="s">
        <v>1981</v>
      </c>
      <c r="F4003" s="1" t="s">
        <v>13</v>
      </c>
    </row>
    <row r="4004" spans="1:6" ht="30" customHeight="1" x14ac:dyDescent="0.25">
      <c r="A4004" s="1" t="s">
        <v>8076</v>
      </c>
      <c r="B4004" s="1" t="str">
        <f>"9789240685130"</f>
        <v>9789240685130</v>
      </c>
      <c r="C4004" s="1" t="s">
        <v>1981</v>
      </c>
      <c r="D4004" s="2">
        <v>39896</v>
      </c>
      <c r="E4004" s="1" t="s">
        <v>1981</v>
      </c>
      <c r="F4004" s="1" t="s">
        <v>137</v>
      </c>
    </row>
    <row r="4005" spans="1:6" ht="30" customHeight="1" x14ac:dyDescent="0.25">
      <c r="A4005" s="1" t="s">
        <v>8077</v>
      </c>
      <c r="B4005" s="1" t="str">
        <f>"9789240685185"</f>
        <v>9789240685185</v>
      </c>
      <c r="C4005" s="1" t="s">
        <v>1981</v>
      </c>
      <c r="D4005" s="2">
        <v>40134</v>
      </c>
      <c r="E4005" s="1" t="s">
        <v>1981</v>
      </c>
      <c r="F4005" s="1" t="s">
        <v>13</v>
      </c>
    </row>
    <row r="4006" spans="1:6" ht="30" customHeight="1" x14ac:dyDescent="0.25">
      <c r="A4006" s="1" t="s">
        <v>8078</v>
      </c>
      <c r="B4006" s="1" t="str">
        <f>"9780511798955"</f>
        <v>9780511798955</v>
      </c>
      <c r="C4006" s="1" t="s">
        <v>25</v>
      </c>
      <c r="D4006" s="2">
        <v>40416</v>
      </c>
      <c r="E4006" s="1" t="s">
        <v>8079</v>
      </c>
      <c r="F4006" s="1" t="s">
        <v>13</v>
      </c>
    </row>
    <row r="4007" spans="1:6" ht="30" customHeight="1" x14ac:dyDescent="0.25">
      <c r="A4007" s="1" t="s">
        <v>8080</v>
      </c>
      <c r="B4007" s="1" t="str">
        <f>"9780511798818"</f>
        <v>9780511798818</v>
      </c>
      <c r="C4007" s="1" t="s">
        <v>25</v>
      </c>
      <c r="D4007" s="2">
        <v>40444</v>
      </c>
      <c r="E4007" s="1" t="s">
        <v>8081</v>
      </c>
      <c r="F4007" s="1" t="s">
        <v>30</v>
      </c>
    </row>
    <row r="4008" spans="1:6" ht="30" customHeight="1" x14ac:dyDescent="0.25">
      <c r="A4008" s="1" t="s">
        <v>8082</v>
      </c>
      <c r="B4008" s="1" t="str">
        <f>"9780511798962"</f>
        <v>9780511798962</v>
      </c>
      <c r="C4008" s="1" t="s">
        <v>25</v>
      </c>
      <c r="D4008" s="2">
        <v>40421</v>
      </c>
      <c r="E4008" s="1" t="s">
        <v>8083</v>
      </c>
      <c r="F4008" s="1" t="s">
        <v>13</v>
      </c>
    </row>
    <row r="4009" spans="1:6" ht="30" customHeight="1" x14ac:dyDescent="0.25">
      <c r="A4009" s="1" t="s">
        <v>8084</v>
      </c>
      <c r="B4009" s="1" t="str">
        <f>"9780511786679"</f>
        <v>9780511786679</v>
      </c>
      <c r="C4009" s="1" t="s">
        <v>25</v>
      </c>
      <c r="D4009" s="2">
        <v>40213</v>
      </c>
      <c r="E4009" s="1" t="s">
        <v>8085</v>
      </c>
      <c r="F4009" s="1" t="s">
        <v>13</v>
      </c>
    </row>
    <row r="4010" spans="1:6" ht="30" customHeight="1" x14ac:dyDescent="0.25">
      <c r="A4010" s="1" t="s">
        <v>8086</v>
      </c>
      <c r="B4010" s="1" t="str">
        <f>"9780511799129"</f>
        <v>9780511799129</v>
      </c>
      <c r="C4010" s="1" t="s">
        <v>25</v>
      </c>
      <c r="D4010" s="2">
        <v>40430</v>
      </c>
      <c r="E4010" s="1" t="s">
        <v>8087</v>
      </c>
      <c r="F4010" s="1" t="s">
        <v>13</v>
      </c>
    </row>
    <row r="4011" spans="1:6" ht="30" customHeight="1" x14ac:dyDescent="0.25">
      <c r="A4011" s="1" t="s">
        <v>8088</v>
      </c>
      <c r="B4011" s="1" t="str">
        <f>"9780511798603"</f>
        <v>9780511798603</v>
      </c>
      <c r="C4011" s="1" t="s">
        <v>25</v>
      </c>
      <c r="D4011" s="2">
        <v>40086</v>
      </c>
      <c r="E4011" s="1" t="s">
        <v>8089</v>
      </c>
      <c r="F4011" s="1" t="s">
        <v>70</v>
      </c>
    </row>
    <row r="4012" spans="1:6" ht="30" customHeight="1" x14ac:dyDescent="0.25">
      <c r="A4012" s="1" t="s">
        <v>8090</v>
      </c>
      <c r="B4012" s="1" t="str">
        <f>"9780511798924"</f>
        <v>9780511798924</v>
      </c>
      <c r="C4012" s="1" t="s">
        <v>25</v>
      </c>
      <c r="D4012" s="2">
        <v>40430</v>
      </c>
      <c r="E4012" s="1" t="s">
        <v>8091</v>
      </c>
      <c r="F4012" s="1" t="s">
        <v>13</v>
      </c>
    </row>
    <row r="4013" spans="1:6" ht="30" customHeight="1" x14ac:dyDescent="0.25">
      <c r="A4013" s="1" t="s">
        <v>8092</v>
      </c>
      <c r="B4013" s="1" t="str">
        <f>"9780511798559"</f>
        <v>9780511798559</v>
      </c>
      <c r="C4013" s="1" t="s">
        <v>25</v>
      </c>
      <c r="D4013" s="2">
        <v>39422</v>
      </c>
      <c r="E4013" s="1" t="s">
        <v>8093</v>
      </c>
      <c r="F4013" s="1" t="s">
        <v>13</v>
      </c>
    </row>
    <row r="4014" spans="1:6" ht="30" customHeight="1" x14ac:dyDescent="0.25">
      <c r="A4014" s="1" t="s">
        <v>8094</v>
      </c>
      <c r="B4014" s="1" t="str">
        <f>"9780511798887"</f>
        <v>9780511798887</v>
      </c>
      <c r="C4014" s="1" t="s">
        <v>25</v>
      </c>
      <c r="D4014" s="2">
        <v>40465</v>
      </c>
      <c r="E4014" s="1" t="s">
        <v>8095</v>
      </c>
      <c r="F4014" s="1" t="s">
        <v>13</v>
      </c>
    </row>
    <row r="4015" spans="1:6" ht="30" customHeight="1" x14ac:dyDescent="0.25">
      <c r="A4015" s="1" t="s">
        <v>8096</v>
      </c>
      <c r="B4015" s="1" t="str">
        <f>"9780511798801"</f>
        <v>9780511798801</v>
      </c>
      <c r="C4015" s="1" t="s">
        <v>25</v>
      </c>
      <c r="D4015" s="2">
        <v>40422</v>
      </c>
      <c r="E4015" s="1" t="s">
        <v>8097</v>
      </c>
      <c r="F4015" s="1" t="s">
        <v>13</v>
      </c>
    </row>
    <row r="4016" spans="1:6" ht="30" customHeight="1" x14ac:dyDescent="0.25">
      <c r="A4016" s="1" t="s">
        <v>8098</v>
      </c>
      <c r="B4016" s="1" t="str">
        <f>"9780470626511"</f>
        <v>9780470626511</v>
      </c>
      <c r="C4016" s="1" t="s">
        <v>11</v>
      </c>
      <c r="D4016" s="2">
        <v>40375</v>
      </c>
      <c r="E4016" s="1" t="s">
        <v>8099</v>
      </c>
      <c r="F4016" s="1" t="s">
        <v>13</v>
      </c>
    </row>
    <row r="4017" spans="1:6" ht="30" customHeight="1" x14ac:dyDescent="0.25">
      <c r="A4017" s="1" t="s">
        <v>8100</v>
      </c>
      <c r="B4017" s="1" t="str">
        <f>"9780470644577"</f>
        <v>9780470644577</v>
      </c>
      <c r="C4017" s="1" t="s">
        <v>11</v>
      </c>
      <c r="D4017" s="2">
        <v>40372</v>
      </c>
      <c r="E4017" s="1" t="s">
        <v>8101</v>
      </c>
      <c r="F4017" s="1" t="s">
        <v>13</v>
      </c>
    </row>
    <row r="4018" spans="1:6" ht="30" customHeight="1" x14ac:dyDescent="0.25">
      <c r="A4018" s="1" t="s">
        <v>8102</v>
      </c>
      <c r="B4018" s="1" t="str">
        <f>"9780470769812"</f>
        <v>9780470769812</v>
      </c>
      <c r="C4018" s="1" t="s">
        <v>11</v>
      </c>
      <c r="D4018" s="2">
        <v>40372</v>
      </c>
      <c r="E4018" s="1" t="s">
        <v>8103</v>
      </c>
      <c r="F4018" s="1" t="s">
        <v>268</v>
      </c>
    </row>
    <row r="4019" spans="1:6" ht="30" customHeight="1" x14ac:dyDescent="0.25">
      <c r="A4019" s="1" t="s">
        <v>8104</v>
      </c>
      <c r="B4019" s="1" t="str">
        <f>"9780470626627"</f>
        <v>9780470626627</v>
      </c>
      <c r="C4019" s="1" t="s">
        <v>11</v>
      </c>
      <c r="D4019" s="2">
        <v>40375</v>
      </c>
      <c r="E4019" s="1" t="s">
        <v>8105</v>
      </c>
      <c r="F4019" s="1" t="s">
        <v>214</v>
      </c>
    </row>
    <row r="4020" spans="1:6" ht="30" customHeight="1" x14ac:dyDescent="0.25">
      <c r="A4020" s="1" t="s">
        <v>8106</v>
      </c>
      <c r="B4020" s="1" t="str">
        <f>"9780470613207"</f>
        <v>9780470613207</v>
      </c>
      <c r="C4020" s="1" t="s">
        <v>11</v>
      </c>
      <c r="D4020" s="2">
        <v>40372</v>
      </c>
      <c r="E4020" s="1" t="s">
        <v>8107</v>
      </c>
      <c r="F4020" s="1" t="s">
        <v>13</v>
      </c>
    </row>
    <row r="4021" spans="1:6" ht="30" customHeight="1" x14ac:dyDescent="0.25">
      <c r="A4021" s="1" t="s">
        <v>8108</v>
      </c>
      <c r="B4021" s="1" t="str">
        <f>"9781558616905"</f>
        <v>9781558616905</v>
      </c>
      <c r="C4021" s="1" t="s">
        <v>8109</v>
      </c>
      <c r="D4021" s="2">
        <v>40360</v>
      </c>
      <c r="E4021" s="1" t="s">
        <v>8110</v>
      </c>
      <c r="F4021" s="1" t="s">
        <v>13</v>
      </c>
    </row>
    <row r="4022" spans="1:6" ht="30" customHeight="1" x14ac:dyDescent="0.25">
      <c r="A4022" s="1" t="s">
        <v>8111</v>
      </c>
      <c r="B4022" s="1" t="str">
        <f>"9781569752777"</f>
        <v>9781569752777</v>
      </c>
      <c r="C4022" s="1" t="s">
        <v>8112</v>
      </c>
      <c r="D4022" s="2">
        <v>38698</v>
      </c>
      <c r="E4022" s="1" t="s">
        <v>8113</v>
      </c>
      <c r="F4022" s="1" t="s">
        <v>13</v>
      </c>
    </row>
    <row r="4023" spans="1:6" ht="30" customHeight="1" x14ac:dyDescent="0.25">
      <c r="A4023" s="1" t="s">
        <v>8114</v>
      </c>
      <c r="B4023" s="1" t="str">
        <f>"9781847428585"</f>
        <v>9781847428585</v>
      </c>
      <c r="C4023" s="1" t="s">
        <v>5446</v>
      </c>
      <c r="D4023" s="2">
        <v>40330</v>
      </c>
      <c r="E4023" s="1" t="s">
        <v>8115</v>
      </c>
      <c r="F4023" s="1" t="s">
        <v>158</v>
      </c>
    </row>
    <row r="4024" spans="1:6" ht="30" customHeight="1" x14ac:dyDescent="0.25">
      <c r="A4024" s="1" t="s">
        <v>8116</v>
      </c>
      <c r="B4024" s="1" t="str">
        <f>"9781847427465"</f>
        <v>9781847427465</v>
      </c>
      <c r="C4024" s="1" t="s">
        <v>5446</v>
      </c>
      <c r="D4024" s="2">
        <v>40338</v>
      </c>
      <c r="E4024" s="1" t="s">
        <v>8117</v>
      </c>
      <c r="F4024" s="1" t="s">
        <v>33</v>
      </c>
    </row>
    <row r="4025" spans="1:6" ht="30" customHeight="1" x14ac:dyDescent="0.25">
      <c r="A4025" s="1" t="s">
        <v>8118</v>
      </c>
      <c r="B4025" s="1" t="str">
        <f>"9780817384913"</f>
        <v>9780817384913</v>
      </c>
      <c r="C4025" s="1" t="s">
        <v>6589</v>
      </c>
      <c r="D4025" s="2">
        <v>40386</v>
      </c>
      <c r="E4025" s="1" t="s">
        <v>8119</v>
      </c>
      <c r="F4025" s="1" t="s">
        <v>33</v>
      </c>
    </row>
    <row r="4026" spans="1:6" ht="30" customHeight="1" x14ac:dyDescent="0.25">
      <c r="A4026" s="1" t="s">
        <v>8120</v>
      </c>
      <c r="B4026" s="1" t="str">
        <f>"9780520946309"</f>
        <v>9780520946309</v>
      </c>
      <c r="C4026" s="1" t="s">
        <v>818</v>
      </c>
      <c r="D4026" s="2">
        <v>40344</v>
      </c>
      <c r="E4026" s="1" t="s">
        <v>8121</v>
      </c>
      <c r="F4026" s="1" t="s">
        <v>30</v>
      </c>
    </row>
    <row r="4027" spans="1:6" ht="30" customHeight="1" x14ac:dyDescent="0.25">
      <c r="A4027" s="1" t="s">
        <v>8122</v>
      </c>
      <c r="B4027" s="1" t="str">
        <f>"9780253004611"</f>
        <v>9780253004611</v>
      </c>
      <c r="C4027" s="1" t="s">
        <v>19</v>
      </c>
      <c r="D4027" s="2">
        <v>40389</v>
      </c>
      <c r="E4027" s="1" t="s">
        <v>8123</v>
      </c>
      <c r="F4027" s="1" t="s">
        <v>30</v>
      </c>
    </row>
    <row r="4028" spans="1:6" ht="30" customHeight="1" x14ac:dyDescent="0.25">
      <c r="A4028" s="1" t="s">
        <v>8124</v>
      </c>
      <c r="B4028" s="1" t="str">
        <f>"9780826118431"</f>
        <v>9780826118431</v>
      </c>
      <c r="C4028" s="1" t="s">
        <v>2339</v>
      </c>
      <c r="D4028" s="2">
        <v>40325</v>
      </c>
      <c r="E4028" s="1" t="s">
        <v>8125</v>
      </c>
      <c r="F4028" s="1" t="s">
        <v>126</v>
      </c>
    </row>
    <row r="4029" spans="1:6" ht="30" customHeight="1" x14ac:dyDescent="0.25">
      <c r="A4029" s="1" t="s">
        <v>8126</v>
      </c>
      <c r="B4029" s="1" t="str">
        <f>"9780520947610"</f>
        <v>9780520947610</v>
      </c>
      <c r="C4029" s="1" t="s">
        <v>818</v>
      </c>
      <c r="D4029" s="2">
        <v>40401</v>
      </c>
      <c r="E4029" s="1" t="s">
        <v>8127</v>
      </c>
      <c r="F4029" s="1" t="s">
        <v>158</v>
      </c>
    </row>
    <row r="4030" spans="1:6" ht="30" customHeight="1" x14ac:dyDescent="0.25">
      <c r="A4030" s="1" t="s">
        <v>8128</v>
      </c>
      <c r="B4030" s="1" t="str">
        <f>"9780470930502"</f>
        <v>9780470930502</v>
      </c>
      <c r="C4030" s="1" t="s">
        <v>65</v>
      </c>
      <c r="D4030" s="2">
        <v>39637</v>
      </c>
      <c r="E4030" s="1" t="s">
        <v>8129</v>
      </c>
      <c r="F4030" s="1" t="s">
        <v>13</v>
      </c>
    </row>
    <row r="4031" spans="1:6" ht="30" customHeight="1" x14ac:dyDescent="0.25">
      <c r="A4031" s="1" t="s">
        <v>8130</v>
      </c>
      <c r="B4031" s="1" t="str">
        <f>"9780470930489"</f>
        <v>9780470930489</v>
      </c>
      <c r="C4031" s="1" t="s">
        <v>11</v>
      </c>
      <c r="D4031" s="2">
        <v>40098</v>
      </c>
      <c r="E4031" s="1" t="s">
        <v>8131</v>
      </c>
      <c r="F4031" s="1" t="s">
        <v>268</v>
      </c>
    </row>
    <row r="4032" spans="1:6" ht="30" customHeight="1" x14ac:dyDescent="0.25">
      <c r="A4032" s="1" t="s">
        <v>8132</v>
      </c>
      <c r="B4032" s="1" t="str">
        <f>"9780470930533"</f>
        <v>9780470930533</v>
      </c>
      <c r="C4032" s="1" t="s">
        <v>65</v>
      </c>
      <c r="D4032" s="2">
        <v>40393</v>
      </c>
      <c r="E4032" s="1" t="s">
        <v>8133</v>
      </c>
      <c r="F4032" s="1" t="s">
        <v>13</v>
      </c>
    </row>
    <row r="4033" spans="1:6" ht="30" customHeight="1" x14ac:dyDescent="0.25">
      <c r="A4033" s="1" t="s">
        <v>8134</v>
      </c>
      <c r="B4033" s="1" t="str">
        <f>"9780470875773"</f>
        <v>9780470875773</v>
      </c>
      <c r="C4033" s="1" t="s">
        <v>11</v>
      </c>
      <c r="D4033" s="2">
        <v>40393</v>
      </c>
      <c r="E4033" s="1" t="s">
        <v>8135</v>
      </c>
      <c r="F4033" s="1" t="s">
        <v>137</v>
      </c>
    </row>
    <row r="4034" spans="1:6" ht="30" customHeight="1" x14ac:dyDescent="0.25">
      <c r="A4034" s="1" t="s">
        <v>8136</v>
      </c>
      <c r="B4034" s="1" t="str">
        <f>"9780470636923"</f>
        <v>9780470636923</v>
      </c>
      <c r="C4034" s="1" t="s">
        <v>11</v>
      </c>
      <c r="D4034" s="2">
        <v>40393</v>
      </c>
      <c r="E4034" s="1" t="s">
        <v>8137</v>
      </c>
      <c r="F4034" s="1" t="s">
        <v>6137</v>
      </c>
    </row>
    <row r="4035" spans="1:6" ht="30" customHeight="1" x14ac:dyDescent="0.25">
      <c r="A4035" s="1" t="s">
        <v>8138</v>
      </c>
      <c r="B4035" s="1" t="str">
        <f>"9780470930564"</f>
        <v>9780470930564</v>
      </c>
      <c r="C4035" s="1" t="s">
        <v>11</v>
      </c>
      <c r="D4035" s="2">
        <v>40393</v>
      </c>
      <c r="E4035" s="1" t="s">
        <v>8139</v>
      </c>
      <c r="F4035" s="1" t="s">
        <v>13</v>
      </c>
    </row>
    <row r="4036" spans="1:6" ht="30" customHeight="1" x14ac:dyDescent="0.25">
      <c r="A4036" s="1" t="s">
        <v>8140</v>
      </c>
      <c r="B4036" s="1" t="str">
        <f>"9780470768587"</f>
        <v>9780470768587</v>
      </c>
      <c r="C4036" s="1" t="s">
        <v>11</v>
      </c>
      <c r="D4036" s="2">
        <v>40393</v>
      </c>
      <c r="E4036" s="1" t="s">
        <v>8141</v>
      </c>
      <c r="F4036" s="1" t="s">
        <v>268</v>
      </c>
    </row>
    <row r="4037" spans="1:6" ht="30" customHeight="1" x14ac:dyDescent="0.25">
      <c r="A4037" s="1" t="s">
        <v>8142</v>
      </c>
      <c r="B4037" s="1" t="str">
        <f>"9780470930496"</f>
        <v>9780470930496</v>
      </c>
      <c r="C4037" s="1" t="s">
        <v>11</v>
      </c>
      <c r="D4037" s="2">
        <v>39916</v>
      </c>
      <c r="E4037" s="1" t="s">
        <v>8143</v>
      </c>
      <c r="F4037" s="1" t="s">
        <v>13</v>
      </c>
    </row>
    <row r="4038" spans="1:6" ht="30" customHeight="1" x14ac:dyDescent="0.25">
      <c r="A4038" s="1" t="s">
        <v>8144</v>
      </c>
      <c r="B4038" s="1" t="str">
        <f>"9780470930557"</f>
        <v>9780470930557</v>
      </c>
      <c r="C4038" s="1" t="s">
        <v>65</v>
      </c>
      <c r="D4038" s="2">
        <v>40028</v>
      </c>
      <c r="E4038" s="1" t="s">
        <v>8145</v>
      </c>
      <c r="F4038" s="1" t="s">
        <v>13</v>
      </c>
    </row>
    <row r="4039" spans="1:6" ht="30" customHeight="1" x14ac:dyDescent="0.25">
      <c r="A4039" s="1" t="s">
        <v>8146</v>
      </c>
      <c r="B4039" s="1" t="str">
        <f>"9780470613177"</f>
        <v>9780470613177</v>
      </c>
      <c r="C4039" s="1" t="s">
        <v>11</v>
      </c>
      <c r="D4039" s="2">
        <v>40393</v>
      </c>
      <c r="E4039" s="1" t="s">
        <v>8147</v>
      </c>
      <c r="F4039" s="1" t="s">
        <v>268</v>
      </c>
    </row>
    <row r="4040" spans="1:6" ht="30" customHeight="1" x14ac:dyDescent="0.25">
      <c r="A4040" s="1" t="s">
        <v>8148</v>
      </c>
      <c r="B4040" s="1" t="str">
        <f>"9781444327328"</f>
        <v>9781444327328</v>
      </c>
      <c r="C4040" s="1" t="s">
        <v>65</v>
      </c>
      <c r="D4040" s="2">
        <v>40389</v>
      </c>
      <c r="E4040" s="1" t="s">
        <v>8149</v>
      </c>
      <c r="F4040" s="1" t="s">
        <v>13</v>
      </c>
    </row>
    <row r="4041" spans="1:6" ht="30" customHeight="1" x14ac:dyDescent="0.25">
      <c r="A4041" s="1" t="s">
        <v>8150</v>
      </c>
      <c r="B4041" s="1" t="str">
        <f>"9781444320381"</f>
        <v>9781444320381</v>
      </c>
      <c r="C4041" s="1" t="s">
        <v>65</v>
      </c>
      <c r="D4041" s="2">
        <v>40393</v>
      </c>
      <c r="E4041" s="1" t="s">
        <v>8151</v>
      </c>
      <c r="F4041" s="1" t="s">
        <v>13</v>
      </c>
    </row>
    <row r="4042" spans="1:6" ht="30" customHeight="1" x14ac:dyDescent="0.25">
      <c r="A4042" s="1" t="s">
        <v>8152</v>
      </c>
      <c r="B4042" s="1" t="str">
        <f>"9781444325539"</f>
        <v>9781444325539</v>
      </c>
      <c r="C4042" s="1" t="s">
        <v>65</v>
      </c>
      <c r="D4042" s="2">
        <v>40389</v>
      </c>
      <c r="E4042" s="1" t="s">
        <v>8153</v>
      </c>
      <c r="F4042" s="1" t="s">
        <v>13</v>
      </c>
    </row>
    <row r="4043" spans="1:6" ht="30" customHeight="1" x14ac:dyDescent="0.25">
      <c r="A4043" s="1" t="s">
        <v>8154</v>
      </c>
      <c r="B4043" s="1" t="str">
        <f>"9780226322384"</f>
        <v>9780226322384</v>
      </c>
      <c r="C4043" s="1" t="s">
        <v>5093</v>
      </c>
      <c r="D4043" s="2">
        <v>40405</v>
      </c>
      <c r="E4043" s="1" t="s">
        <v>8155</v>
      </c>
      <c r="F4043" s="1" t="s">
        <v>148</v>
      </c>
    </row>
    <row r="4044" spans="1:6" ht="30" customHeight="1" x14ac:dyDescent="0.25">
      <c r="A4044" s="1" t="s">
        <v>8156</v>
      </c>
      <c r="B4044" s="1" t="str">
        <f>"9789240685376"</f>
        <v>9789240685376</v>
      </c>
      <c r="C4044" s="1" t="s">
        <v>1981</v>
      </c>
      <c r="D4044" s="2">
        <v>40162</v>
      </c>
      <c r="E4044" s="1" t="s">
        <v>8157</v>
      </c>
      <c r="F4044" s="1" t="s">
        <v>8158</v>
      </c>
    </row>
    <row r="4045" spans="1:6" ht="30" customHeight="1" x14ac:dyDescent="0.25">
      <c r="A4045" s="1" t="s">
        <v>8159</v>
      </c>
      <c r="B4045" s="1" t="str">
        <f>"9789240685383"</f>
        <v>9789240685383</v>
      </c>
      <c r="C4045" s="1" t="s">
        <v>1981</v>
      </c>
      <c r="D4045" s="2">
        <v>40162</v>
      </c>
      <c r="E4045" s="1" t="s">
        <v>8157</v>
      </c>
      <c r="F4045" s="1" t="s">
        <v>8160</v>
      </c>
    </row>
    <row r="4046" spans="1:6" ht="30" customHeight="1" x14ac:dyDescent="0.25">
      <c r="A4046" s="1" t="s">
        <v>8161</v>
      </c>
      <c r="B4046" s="1" t="str">
        <f>"9789240685222"</f>
        <v>9789240685222</v>
      </c>
      <c r="C4046" s="1" t="s">
        <v>1981</v>
      </c>
      <c r="D4046" s="2">
        <v>40214</v>
      </c>
      <c r="E4046" s="1" t="s">
        <v>3918</v>
      </c>
      <c r="F4046" s="1" t="s">
        <v>8162</v>
      </c>
    </row>
    <row r="4047" spans="1:6" ht="30" customHeight="1" x14ac:dyDescent="0.25">
      <c r="A4047" s="1" t="s">
        <v>8163</v>
      </c>
      <c r="B4047" s="1" t="str">
        <f>"9789240685413"</f>
        <v>9789240685413</v>
      </c>
      <c r="C4047" s="1" t="s">
        <v>1981</v>
      </c>
      <c r="D4047" s="2">
        <v>39902</v>
      </c>
      <c r="E4047" s="1" t="s">
        <v>8164</v>
      </c>
      <c r="F4047" s="1" t="s">
        <v>8165</v>
      </c>
    </row>
    <row r="4048" spans="1:6" ht="30" customHeight="1" x14ac:dyDescent="0.25">
      <c r="A4048" s="1" t="s">
        <v>8166</v>
      </c>
      <c r="B4048" s="1" t="str">
        <f>"9789290216957"</f>
        <v>9789290216957</v>
      </c>
      <c r="C4048" s="1" t="s">
        <v>1981</v>
      </c>
      <c r="D4048" s="2">
        <v>40179</v>
      </c>
      <c r="E4048" s="1" t="s">
        <v>6382</v>
      </c>
      <c r="F4048" s="1" t="s">
        <v>395</v>
      </c>
    </row>
    <row r="4049" spans="1:6" ht="30" customHeight="1" x14ac:dyDescent="0.25">
      <c r="A4049" s="1" t="s">
        <v>2154</v>
      </c>
      <c r="B4049" s="1" t="str">
        <f>"9789240685406"</f>
        <v>9789240685406</v>
      </c>
      <c r="C4049" s="1" t="s">
        <v>1981</v>
      </c>
      <c r="D4049" s="2">
        <v>40252</v>
      </c>
      <c r="E4049" s="1" t="s">
        <v>1981</v>
      </c>
      <c r="F4049" s="1" t="s">
        <v>13</v>
      </c>
    </row>
    <row r="4050" spans="1:6" ht="30" customHeight="1" x14ac:dyDescent="0.25">
      <c r="A4050" s="1" t="s">
        <v>8167</v>
      </c>
      <c r="B4050" s="1" t="str">
        <f>"9789240685444"</f>
        <v>9789240685444</v>
      </c>
      <c r="C4050" s="1" t="s">
        <v>1981</v>
      </c>
      <c r="D4050" s="2">
        <v>40070</v>
      </c>
      <c r="E4050" s="1" t="s">
        <v>1981</v>
      </c>
      <c r="F4050" s="1" t="s">
        <v>33</v>
      </c>
    </row>
    <row r="4051" spans="1:6" ht="30" customHeight="1" x14ac:dyDescent="0.25">
      <c r="A4051" s="1" t="s">
        <v>8168</v>
      </c>
      <c r="B4051" s="1" t="str">
        <f>"9789240685772"</f>
        <v>9789240685772</v>
      </c>
      <c r="C4051" s="1" t="s">
        <v>1981</v>
      </c>
      <c r="D4051" s="2">
        <v>40143</v>
      </c>
      <c r="E4051" s="1" t="s">
        <v>1981</v>
      </c>
      <c r="F4051" s="1" t="s">
        <v>95</v>
      </c>
    </row>
    <row r="4052" spans="1:6" ht="30" customHeight="1" x14ac:dyDescent="0.25">
      <c r="A4052" s="1" t="s">
        <v>8169</v>
      </c>
      <c r="B4052" s="1" t="str">
        <f>"9789240685321"</f>
        <v>9789240685321</v>
      </c>
      <c r="C4052" s="1" t="s">
        <v>1981</v>
      </c>
      <c r="D4052" s="2">
        <v>39674</v>
      </c>
      <c r="E4052" s="1" t="s">
        <v>1981</v>
      </c>
      <c r="F4052" s="1" t="s">
        <v>8170</v>
      </c>
    </row>
    <row r="4053" spans="1:6" ht="30" customHeight="1" x14ac:dyDescent="0.25">
      <c r="A4053" s="1" t="s">
        <v>8171</v>
      </c>
      <c r="B4053" s="1" t="str">
        <f>"9789240685369"</f>
        <v>9789240685369</v>
      </c>
      <c r="C4053" s="1" t="s">
        <v>1981</v>
      </c>
      <c r="D4053" s="2">
        <v>40032</v>
      </c>
      <c r="E4053" s="1" t="s">
        <v>1981</v>
      </c>
      <c r="F4053" s="1" t="s">
        <v>13</v>
      </c>
    </row>
    <row r="4054" spans="1:6" ht="30" customHeight="1" x14ac:dyDescent="0.25">
      <c r="A4054" s="1" t="s">
        <v>8172</v>
      </c>
      <c r="B4054" s="1" t="str">
        <f>"9789240684959"</f>
        <v>9789240684959</v>
      </c>
      <c r="C4054" s="1" t="s">
        <v>1981</v>
      </c>
      <c r="D4054" s="2">
        <v>40179</v>
      </c>
      <c r="E4054" s="1" t="s">
        <v>1981</v>
      </c>
      <c r="F4054" s="1" t="s">
        <v>30</v>
      </c>
    </row>
    <row r="4055" spans="1:6" ht="30" customHeight="1" x14ac:dyDescent="0.25">
      <c r="A4055" s="1" t="s">
        <v>8173</v>
      </c>
      <c r="B4055" s="1" t="str">
        <f>"9789240685338"</f>
        <v>9789240685338</v>
      </c>
      <c r="C4055" s="1" t="s">
        <v>1981</v>
      </c>
      <c r="D4055" s="2">
        <v>40235</v>
      </c>
      <c r="E4055" s="1" t="s">
        <v>1981</v>
      </c>
      <c r="F4055" s="1" t="s">
        <v>158</v>
      </c>
    </row>
    <row r="4056" spans="1:6" ht="30" customHeight="1" x14ac:dyDescent="0.25">
      <c r="A4056" s="1" t="s">
        <v>8174</v>
      </c>
      <c r="B4056" s="1" t="str">
        <f>"9789240685307"</f>
        <v>9789240685307</v>
      </c>
      <c r="C4056" s="1" t="s">
        <v>1981</v>
      </c>
      <c r="D4056" s="2">
        <v>39674</v>
      </c>
      <c r="E4056" s="1" t="s">
        <v>1981</v>
      </c>
      <c r="F4056" s="1" t="s">
        <v>8175</v>
      </c>
    </row>
    <row r="4057" spans="1:6" ht="30" customHeight="1" x14ac:dyDescent="0.25">
      <c r="A4057" s="1" t="s">
        <v>8176</v>
      </c>
      <c r="B4057" s="1" t="str">
        <f>"9789240685390"</f>
        <v>9789240685390</v>
      </c>
      <c r="C4057" s="1" t="s">
        <v>1981</v>
      </c>
      <c r="D4057" s="2">
        <v>40210</v>
      </c>
      <c r="E4057" s="1" t="s">
        <v>1981</v>
      </c>
      <c r="F4057" s="1" t="s">
        <v>359</v>
      </c>
    </row>
    <row r="4058" spans="1:6" ht="30" customHeight="1" x14ac:dyDescent="0.25">
      <c r="A4058" s="1" t="s">
        <v>8177</v>
      </c>
      <c r="B4058" s="1" t="str">
        <f>"9789240685345"</f>
        <v>9789240685345</v>
      </c>
      <c r="C4058" s="1" t="s">
        <v>1981</v>
      </c>
      <c r="D4058" s="2">
        <v>40011</v>
      </c>
      <c r="E4058" s="1" t="s">
        <v>1981</v>
      </c>
      <c r="F4058" s="1" t="s">
        <v>176</v>
      </c>
    </row>
    <row r="4059" spans="1:6" ht="30" customHeight="1" x14ac:dyDescent="0.25">
      <c r="A4059" s="1" t="s">
        <v>8178</v>
      </c>
      <c r="B4059" s="1" t="str">
        <f>"9789240685352"</f>
        <v>9789240685352</v>
      </c>
      <c r="C4059" s="1" t="s">
        <v>1981</v>
      </c>
      <c r="D4059" s="2">
        <v>40035</v>
      </c>
      <c r="E4059" s="1" t="s">
        <v>1981</v>
      </c>
      <c r="F4059" s="1" t="s">
        <v>13</v>
      </c>
    </row>
    <row r="4060" spans="1:6" ht="30" customHeight="1" x14ac:dyDescent="0.25">
      <c r="A4060" s="1" t="s">
        <v>8179</v>
      </c>
      <c r="B4060" s="1" t="str">
        <f>"9789240685420"</f>
        <v>9789240685420</v>
      </c>
      <c r="C4060" s="1" t="s">
        <v>1981</v>
      </c>
      <c r="D4060" s="2">
        <v>40148</v>
      </c>
      <c r="E4060" s="1" t="s">
        <v>1981</v>
      </c>
      <c r="F4060" s="1" t="s">
        <v>158</v>
      </c>
    </row>
    <row r="4061" spans="1:6" ht="30" customHeight="1" x14ac:dyDescent="0.25">
      <c r="A4061" s="1" t="s">
        <v>8180</v>
      </c>
      <c r="B4061" s="1" t="str">
        <f>"9789240685260"</f>
        <v>9789240685260</v>
      </c>
      <c r="C4061" s="1" t="s">
        <v>1981</v>
      </c>
      <c r="D4061" s="2">
        <v>40179</v>
      </c>
      <c r="E4061" s="1" t="s">
        <v>1981</v>
      </c>
      <c r="F4061" s="1" t="s">
        <v>8181</v>
      </c>
    </row>
    <row r="4062" spans="1:6" ht="30" customHeight="1" x14ac:dyDescent="0.25">
      <c r="A4062" s="1" t="s">
        <v>8182</v>
      </c>
      <c r="B4062" s="1" t="str">
        <f>"9789240685291"</f>
        <v>9789240685291</v>
      </c>
      <c r="C4062" s="1" t="s">
        <v>1981</v>
      </c>
      <c r="D4062" s="2">
        <v>39904</v>
      </c>
      <c r="E4062" s="1" t="s">
        <v>1981</v>
      </c>
      <c r="F4062" s="1" t="s">
        <v>30</v>
      </c>
    </row>
    <row r="4063" spans="1:6" ht="30" customHeight="1" x14ac:dyDescent="0.25">
      <c r="A4063" s="1" t="s">
        <v>8183</v>
      </c>
      <c r="B4063" s="1" t="str">
        <f>"9789240685451"</f>
        <v>9789240685451</v>
      </c>
      <c r="C4063" s="1" t="s">
        <v>1981</v>
      </c>
      <c r="D4063" s="2">
        <v>39862</v>
      </c>
      <c r="E4063" s="1" t="s">
        <v>8184</v>
      </c>
      <c r="F4063" s="1" t="s">
        <v>3409</v>
      </c>
    </row>
    <row r="4064" spans="1:6" ht="30" customHeight="1" x14ac:dyDescent="0.25">
      <c r="A4064" s="1" t="s">
        <v>8185</v>
      </c>
      <c r="B4064" s="1" t="str">
        <f>"9789240685468"</f>
        <v>9789240685468</v>
      </c>
      <c r="C4064" s="1" t="s">
        <v>1981</v>
      </c>
      <c r="D4064" s="2">
        <v>39814</v>
      </c>
      <c r="E4064" s="1" t="s">
        <v>1981</v>
      </c>
      <c r="F4064" s="1" t="s">
        <v>1985</v>
      </c>
    </row>
    <row r="4065" spans="1:6" ht="30" customHeight="1" x14ac:dyDescent="0.25">
      <c r="A4065" s="1" t="s">
        <v>8186</v>
      </c>
      <c r="B4065" s="1" t="str">
        <f>"9780511906749"</f>
        <v>9780511906749</v>
      </c>
      <c r="C4065" s="1" t="s">
        <v>25</v>
      </c>
      <c r="D4065" s="2">
        <v>40451</v>
      </c>
      <c r="E4065" s="1" t="s">
        <v>8187</v>
      </c>
      <c r="F4065" s="1" t="s">
        <v>13</v>
      </c>
    </row>
    <row r="4066" spans="1:6" ht="30" customHeight="1" x14ac:dyDescent="0.25">
      <c r="A4066" s="1" t="s">
        <v>8188</v>
      </c>
      <c r="B4066" s="1" t="str">
        <f>"9780511906909"</f>
        <v>9780511906909</v>
      </c>
      <c r="C4066" s="1" t="s">
        <v>25</v>
      </c>
      <c r="D4066" s="2">
        <v>40472</v>
      </c>
      <c r="E4066" s="1" t="s">
        <v>8189</v>
      </c>
      <c r="F4066" s="1" t="s">
        <v>13</v>
      </c>
    </row>
    <row r="4067" spans="1:6" ht="30" customHeight="1" x14ac:dyDescent="0.25">
      <c r="A4067" s="1" t="s">
        <v>8190</v>
      </c>
      <c r="B4067" s="1" t="str">
        <f>"9780511907036"</f>
        <v>9780511907036</v>
      </c>
      <c r="C4067" s="1" t="s">
        <v>25</v>
      </c>
      <c r="D4067" s="2">
        <v>40458</v>
      </c>
      <c r="E4067" s="1" t="s">
        <v>8191</v>
      </c>
      <c r="F4067" s="1" t="s">
        <v>13</v>
      </c>
    </row>
    <row r="4068" spans="1:6" ht="30" customHeight="1" x14ac:dyDescent="0.25">
      <c r="A4068" s="1" t="s">
        <v>8192</v>
      </c>
      <c r="B4068" s="1" t="str">
        <f>"9780511907081"</f>
        <v>9780511907081</v>
      </c>
      <c r="C4068" s="1" t="s">
        <v>25</v>
      </c>
      <c r="D4068" s="2">
        <v>40458</v>
      </c>
      <c r="E4068" s="1" t="s">
        <v>8193</v>
      </c>
      <c r="F4068" s="1" t="s">
        <v>13</v>
      </c>
    </row>
    <row r="4069" spans="1:6" ht="30" customHeight="1" x14ac:dyDescent="0.25">
      <c r="A4069" s="1" t="s">
        <v>8194</v>
      </c>
      <c r="B4069" s="1" t="str">
        <f>"9780511907104"</f>
        <v>9780511907104</v>
      </c>
      <c r="C4069" s="1" t="s">
        <v>25</v>
      </c>
      <c r="D4069" s="2">
        <v>40479</v>
      </c>
      <c r="E4069" s="1" t="s">
        <v>8195</v>
      </c>
      <c r="F4069" s="1" t="s">
        <v>13</v>
      </c>
    </row>
    <row r="4070" spans="1:6" ht="30" customHeight="1" x14ac:dyDescent="0.25">
      <c r="A4070" s="1" t="s">
        <v>8196</v>
      </c>
      <c r="B4070" s="1" t="str">
        <f>"9780520947214"</f>
        <v>9780520947214</v>
      </c>
      <c r="C4070" s="1" t="s">
        <v>818</v>
      </c>
      <c r="D4070" s="2">
        <v>40473</v>
      </c>
      <c r="E4070" s="1" t="s">
        <v>8197</v>
      </c>
      <c r="F4070" s="1" t="s">
        <v>30</v>
      </c>
    </row>
    <row r="4071" spans="1:6" ht="30" customHeight="1" x14ac:dyDescent="0.25">
      <c r="A4071" s="1" t="s">
        <v>8198</v>
      </c>
      <c r="B4071" s="1" t="str">
        <f>"9781859591840"</f>
        <v>9781859591840</v>
      </c>
      <c r="C4071" s="1" t="s">
        <v>1024</v>
      </c>
      <c r="D4071" s="2">
        <v>38718</v>
      </c>
      <c r="E4071" s="1" t="s">
        <v>8199</v>
      </c>
      <c r="F4071" s="1" t="s">
        <v>33</v>
      </c>
    </row>
    <row r="4072" spans="1:6" ht="30" customHeight="1" x14ac:dyDescent="0.25">
      <c r="A4072" s="1" t="s">
        <v>8200</v>
      </c>
      <c r="B4072" s="1" t="str">
        <f>"9780857003652"</f>
        <v>9780857003652</v>
      </c>
      <c r="C4072" s="1" t="s">
        <v>2387</v>
      </c>
      <c r="D4072" s="2">
        <v>40224</v>
      </c>
      <c r="E4072" s="1" t="s">
        <v>8201</v>
      </c>
      <c r="F4072" s="1" t="s">
        <v>205</v>
      </c>
    </row>
    <row r="4073" spans="1:6" ht="30" customHeight="1" x14ac:dyDescent="0.25">
      <c r="A4073" s="1" t="s">
        <v>8202</v>
      </c>
      <c r="B4073" s="1" t="str">
        <f>"9780857003560"</f>
        <v>9780857003560</v>
      </c>
      <c r="C4073" s="1" t="s">
        <v>2387</v>
      </c>
      <c r="D4073" s="2">
        <v>40193</v>
      </c>
      <c r="E4073" s="1" t="s">
        <v>8203</v>
      </c>
      <c r="F4073" s="1" t="s">
        <v>13</v>
      </c>
    </row>
    <row r="4074" spans="1:6" ht="30" customHeight="1" x14ac:dyDescent="0.25">
      <c r="A4074" s="1" t="s">
        <v>8204</v>
      </c>
      <c r="B4074" s="1" t="str">
        <f>"9780857003621"</f>
        <v>9780857003621</v>
      </c>
      <c r="C4074" s="1" t="s">
        <v>2387</v>
      </c>
      <c r="D4074" s="2">
        <v>40224</v>
      </c>
      <c r="E4074" s="1" t="s">
        <v>8205</v>
      </c>
      <c r="F4074" s="1" t="s">
        <v>13</v>
      </c>
    </row>
    <row r="4075" spans="1:6" ht="30" customHeight="1" x14ac:dyDescent="0.25">
      <c r="A4075" s="1" t="s">
        <v>8206</v>
      </c>
      <c r="B4075" s="1" t="str">
        <f>"9780857002198"</f>
        <v>9780857002198</v>
      </c>
      <c r="C4075" s="1" t="s">
        <v>2387</v>
      </c>
      <c r="D4075" s="2">
        <v>40162</v>
      </c>
      <c r="E4075" s="1" t="s">
        <v>8207</v>
      </c>
      <c r="F4075" s="1" t="s">
        <v>95</v>
      </c>
    </row>
    <row r="4076" spans="1:6" ht="30" customHeight="1" x14ac:dyDescent="0.25">
      <c r="A4076" s="1" t="s">
        <v>8208</v>
      </c>
      <c r="B4076" s="1" t="str">
        <f>"9780857003645"</f>
        <v>9780857003645</v>
      </c>
      <c r="C4076" s="1" t="s">
        <v>2387</v>
      </c>
      <c r="D4076" s="2">
        <v>40224</v>
      </c>
      <c r="E4076" s="1" t="s">
        <v>8209</v>
      </c>
      <c r="F4076" s="1" t="s">
        <v>13</v>
      </c>
    </row>
    <row r="4077" spans="1:6" ht="30" customHeight="1" x14ac:dyDescent="0.25">
      <c r="A4077" s="1" t="s">
        <v>8210</v>
      </c>
      <c r="B4077" s="1" t="str">
        <f>"9780857002143"</f>
        <v>9780857002143</v>
      </c>
      <c r="C4077" s="1" t="s">
        <v>2387</v>
      </c>
      <c r="D4077" s="2">
        <v>40132</v>
      </c>
      <c r="E4077" s="1" t="s">
        <v>8211</v>
      </c>
      <c r="F4077" s="1" t="s">
        <v>13</v>
      </c>
    </row>
    <row r="4078" spans="1:6" ht="30" customHeight="1" x14ac:dyDescent="0.25">
      <c r="A4078" s="1" t="s">
        <v>8212</v>
      </c>
      <c r="B4078" s="1" t="str">
        <f>"9780857002167"</f>
        <v>9780857002167</v>
      </c>
      <c r="C4078" s="1" t="s">
        <v>2387</v>
      </c>
      <c r="D4078" s="2">
        <v>40132</v>
      </c>
      <c r="E4078" s="1" t="s">
        <v>8213</v>
      </c>
      <c r="F4078" s="1" t="s">
        <v>148</v>
      </c>
    </row>
    <row r="4079" spans="1:6" ht="30" customHeight="1" x14ac:dyDescent="0.25">
      <c r="A4079" s="1" t="s">
        <v>8214</v>
      </c>
      <c r="B4079" s="1" t="str">
        <f>"9780857002204"</f>
        <v>9780857002204</v>
      </c>
      <c r="C4079" s="1" t="s">
        <v>2387</v>
      </c>
      <c r="D4079" s="2">
        <v>40162</v>
      </c>
      <c r="E4079" s="1" t="s">
        <v>8215</v>
      </c>
      <c r="F4079" s="1" t="s">
        <v>13</v>
      </c>
    </row>
    <row r="4080" spans="1:6" ht="30" customHeight="1" x14ac:dyDescent="0.25">
      <c r="A4080" s="1" t="s">
        <v>8216</v>
      </c>
      <c r="B4080" s="1" t="str">
        <f>"9780857002136"</f>
        <v>9780857002136</v>
      </c>
      <c r="C4080" s="1" t="s">
        <v>2387</v>
      </c>
      <c r="D4080" s="2">
        <v>40132</v>
      </c>
      <c r="E4080" s="1" t="s">
        <v>2792</v>
      </c>
      <c r="F4080" s="1" t="s">
        <v>13</v>
      </c>
    </row>
    <row r="4081" spans="1:6" ht="30" customHeight="1" x14ac:dyDescent="0.25">
      <c r="A4081" s="1" t="s">
        <v>8217</v>
      </c>
      <c r="B4081" s="1" t="str">
        <f>"9780857002129"</f>
        <v>9780857002129</v>
      </c>
      <c r="C4081" s="1" t="s">
        <v>2387</v>
      </c>
      <c r="D4081" s="2">
        <v>40132</v>
      </c>
      <c r="E4081" s="1" t="s">
        <v>8218</v>
      </c>
      <c r="F4081" s="1" t="s">
        <v>30</v>
      </c>
    </row>
    <row r="4082" spans="1:6" ht="30" customHeight="1" x14ac:dyDescent="0.25">
      <c r="A4082" s="1" t="s">
        <v>8219</v>
      </c>
      <c r="B4082" s="1" t="str">
        <f>"9781400821426"</f>
        <v>9781400821426</v>
      </c>
      <c r="C4082" s="1" t="s">
        <v>6462</v>
      </c>
      <c r="D4082" s="2">
        <v>34702</v>
      </c>
      <c r="E4082" s="1" t="s">
        <v>8220</v>
      </c>
      <c r="F4082" s="1" t="s">
        <v>158</v>
      </c>
    </row>
    <row r="4083" spans="1:6" ht="30" customHeight="1" x14ac:dyDescent="0.25">
      <c r="A4083" s="1" t="s">
        <v>8221</v>
      </c>
      <c r="B4083" s="1" t="str">
        <f>"9780826110701"</f>
        <v>9780826110701</v>
      </c>
      <c r="C4083" s="1" t="s">
        <v>2339</v>
      </c>
      <c r="D4083" s="2">
        <v>40416</v>
      </c>
      <c r="E4083" s="1" t="s">
        <v>8222</v>
      </c>
      <c r="F4083" s="1" t="s">
        <v>30</v>
      </c>
    </row>
    <row r="4084" spans="1:6" ht="30" customHeight="1" x14ac:dyDescent="0.25">
      <c r="A4084" s="1" t="s">
        <v>8223</v>
      </c>
      <c r="B4084" s="1" t="str">
        <f>"9780080890494"</f>
        <v>9780080890494</v>
      </c>
      <c r="C4084" s="1" t="s">
        <v>900</v>
      </c>
      <c r="D4084" s="2">
        <v>40437</v>
      </c>
      <c r="E4084" s="1" t="s">
        <v>8224</v>
      </c>
      <c r="F4084" s="1" t="s">
        <v>221</v>
      </c>
    </row>
    <row r="4085" spans="1:6" ht="30" customHeight="1" x14ac:dyDescent="0.25">
      <c r="A4085" s="1" t="s">
        <v>8225</v>
      </c>
      <c r="B4085" s="1" t="str">
        <f>"9781608070565"</f>
        <v>9781608070565</v>
      </c>
      <c r="C4085" s="1" t="s">
        <v>4200</v>
      </c>
      <c r="D4085" s="2">
        <v>40269</v>
      </c>
      <c r="E4085" s="1" t="s">
        <v>8226</v>
      </c>
      <c r="F4085" s="1" t="s">
        <v>13</v>
      </c>
    </row>
    <row r="4086" spans="1:6" ht="30" customHeight="1" x14ac:dyDescent="0.25">
      <c r="A4086" s="1" t="s">
        <v>8227</v>
      </c>
      <c r="B4086" s="1" t="str">
        <f>"9789047444251"</f>
        <v>9789047444251</v>
      </c>
      <c r="C4086" s="1" t="s">
        <v>906</v>
      </c>
      <c r="D4086" s="2">
        <v>40118</v>
      </c>
      <c r="E4086" s="1" t="s">
        <v>8228</v>
      </c>
      <c r="F4086" s="1" t="s">
        <v>1400</v>
      </c>
    </row>
    <row r="4087" spans="1:6" ht="30" customHeight="1" x14ac:dyDescent="0.25">
      <c r="A4087" s="1" t="s">
        <v>8229</v>
      </c>
      <c r="B4087" s="1" t="str">
        <f>"9781742231709"</f>
        <v>9781742231709</v>
      </c>
      <c r="C4087" s="1" t="s">
        <v>8230</v>
      </c>
      <c r="D4087" s="2">
        <v>41183</v>
      </c>
      <c r="E4087" s="1" t="s">
        <v>8231</v>
      </c>
      <c r="F4087" s="1" t="s">
        <v>95</v>
      </c>
    </row>
    <row r="4088" spans="1:6" ht="30" customHeight="1" x14ac:dyDescent="0.25">
      <c r="A4088" s="1" t="s">
        <v>8232</v>
      </c>
      <c r="B4088" s="1" t="str">
        <f>"9780199720309"</f>
        <v>9780199720309</v>
      </c>
      <c r="C4088" s="1" t="s">
        <v>1123</v>
      </c>
      <c r="D4088" s="2">
        <v>40220</v>
      </c>
      <c r="E4088" s="1" t="s">
        <v>8233</v>
      </c>
      <c r="F4088" s="1" t="s">
        <v>13</v>
      </c>
    </row>
    <row r="4089" spans="1:6" ht="30" customHeight="1" x14ac:dyDescent="0.25">
      <c r="A4089" s="1" t="s">
        <v>8234</v>
      </c>
      <c r="B4089" s="1" t="str">
        <f>"9780826105202"</f>
        <v>9780826105202</v>
      </c>
      <c r="C4089" s="1" t="s">
        <v>2339</v>
      </c>
      <c r="D4089" s="2">
        <v>40422</v>
      </c>
      <c r="E4089" s="1" t="s">
        <v>8235</v>
      </c>
      <c r="F4089" s="1" t="s">
        <v>126</v>
      </c>
    </row>
    <row r="4090" spans="1:6" ht="30" customHeight="1" x14ac:dyDescent="0.25">
      <c r="A4090" s="1" t="s">
        <v>8236</v>
      </c>
      <c r="B4090" s="1" t="str">
        <f>"9783110224382"</f>
        <v>9783110224382</v>
      </c>
      <c r="C4090" s="1" t="s">
        <v>1848</v>
      </c>
      <c r="D4090" s="2">
        <v>40421</v>
      </c>
      <c r="E4090" s="1" t="s">
        <v>8237</v>
      </c>
      <c r="F4090" s="1" t="s">
        <v>205</v>
      </c>
    </row>
    <row r="4091" spans="1:6" ht="30" customHeight="1" x14ac:dyDescent="0.25">
      <c r="A4091" s="1" t="s">
        <v>8238</v>
      </c>
      <c r="B4091" s="1" t="str">
        <f>"9789062998548"</f>
        <v>9789062998548</v>
      </c>
      <c r="C4091" s="1" t="s">
        <v>3411</v>
      </c>
      <c r="D4091" s="2">
        <v>40424</v>
      </c>
      <c r="E4091" s="1" t="s">
        <v>8239</v>
      </c>
      <c r="F4091" s="1" t="s">
        <v>13</v>
      </c>
    </row>
    <row r="4092" spans="1:6" ht="30" customHeight="1" x14ac:dyDescent="0.25">
      <c r="A4092" s="1" t="s">
        <v>8240</v>
      </c>
      <c r="B4092" s="1" t="str">
        <f>"9780511915277"</f>
        <v>9780511915277</v>
      </c>
      <c r="C4092" s="1" t="s">
        <v>25</v>
      </c>
      <c r="D4092" s="2">
        <v>40500</v>
      </c>
      <c r="E4092" s="1" t="s">
        <v>8241</v>
      </c>
      <c r="F4092" s="1" t="s">
        <v>13</v>
      </c>
    </row>
    <row r="4093" spans="1:6" ht="30" customHeight="1" x14ac:dyDescent="0.25">
      <c r="A4093" s="1" t="s">
        <v>8242</v>
      </c>
      <c r="B4093" s="1" t="str">
        <f>"9780511915345"</f>
        <v>9780511915345</v>
      </c>
      <c r="C4093" s="1" t="s">
        <v>25</v>
      </c>
      <c r="D4093" s="2">
        <v>40507</v>
      </c>
      <c r="E4093" s="1" t="s">
        <v>8243</v>
      </c>
      <c r="F4093" s="1" t="s">
        <v>13</v>
      </c>
    </row>
    <row r="4094" spans="1:6" ht="30" customHeight="1" x14ac:dyDescent="0.25">
      <c r="A4094" s="1" t="s">
        <v>8244</v>
      </c>
      <c r="B4094" s="1" t="str">
        <f>"9780511914904"</f>
        <v>9780511914904</v>
      </c>
      <c r="C4094" s="1" t="s">
        <v>25</v>
      </c>
      <c r="D4094" s="2">
        <v>40493</v>
      </c>
      <c r="E4094" s="1" t="s">
        <v>8245</v>
      </c>
      <c r="F4094" s="1" t="s">
        <v>13</v>
      </c>
    </row>
    <row r="4095" spans="1:6" ht="30" customHeight="1" x14ac:dyDescent="0.25">
      <c r="A4095" s="1" t="s">
        <v>8246</v>
      </c>
      <c r="B4095" s="1" t="str">
        <f>"9780511915321"</f>
        <v>9780511915321</v>
      </c>
      <c r="C4095" s="1" t="s">
        <v>25</v>
      </c>
      <c r="D4095" s="2">
        <v>40577</v>
      </c>
      <c r="E4095" s="1" t="s">
        <v>8247</v>
      </c>
      <c r="F4095" s="1" t="s">
        <v>13</v>
      </c>
    </row>
    <row r="4096" spans="1:6" ht="30" customHeight="1" x14ac:dyDescent="0.25">
      <c r="A4096" s="1" t="s">
        <v>8248</v>
      </c>
      <c r="B4096" s="1" t="str">
        <f>"9781849507158"</f>
        <v>9781849507158</v>
      </c>
      <c r="C4096" s="1" t="s">
        <v>971</v>
      </c>
      <c r="D4096" s="2">
        <v>40470</v>
      </c>
      <c r="E4096" s="1" t="s">
        <v>6549</v>
      </c>
      <c r="F4096" s="1" t="s">
        <v>30</v>
      </c>
    </row>
    <row r="4097" spans="1:6" ht="30" customHeight="1" x14ac:dyDescent="0.25">
      <c r="A4097" s="1" t="s">
        <v>8249</v>
      </c>
      <c r="B4097" s="1" t="str">
        <f>"9789350435298"</f>
        <v>9789350435298</v>
      </c>
      <c r="C4097" s="1" t="s">
        <v>8250</v>
      </c>
      <c r="D4097" s="2">
        <v>38718</v>
      </c>
      <c r="E4097" s="1" t="s">
        <v>8251</v>
      </c>
      <c r="F4097" s="1" t="s">
        <v>137</v>
      </c>
    </row>
    <row r="4098" spans="1:6" ht="30" customHeight="1" x14ac:dyDescent="0.25">
      <c r="A4098" s="1" t="s">
        <v>8252</v>
      </c>
      <c r="B4098" s="1" t="str">
        <f>"9780470875605"</f>
        <v>9780470875605</v>
      </c>
      <c r="C4098" s="1" t="s">
        <v>11</v>
      </c>
      <c r="D4098" s="2">
        <v>40374</v>
      </c>
      <c r="E4098" s="1" t="s">
        <v>8253</v>
      </c>
      <c r="F4098" s="1" t="s">
        <v>349</v>
      </c>
    </row>
    <row r="4099" spans="1:6" ht="30" customHeight="1" x14ac:dyDescent="0.25">
      <c r="A4099" s="1" t="s">
        <v>8254</v>
      </c>
      <c r="B4099" s="1" t="str">
        <f>"9780470932490"</f>
        <v>9780470932490</v>
      </c>
      <c r="C4099" s="1" t="s">
        <v>65</v>
      </c>
      <c r="D4099" s="2">
        <v>39545</v>
      </c>
      <c r="E4099" s="1" t="s">
        <v>8255</v>
      </c>
      <c r="F4099" s="1" t="s">
        <v>30</v>
      </c>
    </row>
    <row r="4100" spans="1:6" ht="30" customHeight="1" x14ac:dyDescent="0.25">
      <c r="A4100" s="1" t="s">
        <v>8256</v>
      </c>
      <c r="B4100" s="1" t="str">
        <f>"9780470640470"</f>
        <v>9780470640470</v>
      </c>
      <c r="C4100" s="1" t="s">
        <v>11</v>
      </c>
      <c r="D4100" s="2">
        <v>40403</v>
      </c>
      <c r="E4100" s="1" t="s">
        <v>8257</v>
      </c>
      <c r="F4100" s="1" t="s">
        <v>268</v>
      </c>
    </row>
    <row r="4101" spans="1:6" ht="30" customHeight="1" x14ac:dyDescent="0.25">
      <c r="A4101" s="1" t="s">
        <v>8258</v>
      </c>
      <c r="B4101" s="1" t="str">
        <f>"9780470890370"</f>
        <v>9780470890370</v>
      </c>
      <c r="C4101" s="1" t="s">
        <v>11</v>
      </c>
      <c r="D4101" s="2">
        <v>40428</v>
      </c>
      <c r="E4101" s="1" t="s">
        <v>8259</v>
      </c>
      <c r="F4101" s="1" t="s">
        <v>359</v>
      </c>
    </row>
    <row r="4102" spans="1:6" ht="30" customHeight="1" x14ac:dyDescent="0.25">
      <c r="A4102" s="1" t="s">
        <v>8260</v>
      </c>
      <c r="B4102" s="1" t="str">
        <f>"9780470958162"</f>
        <v>9780470958162</v>
      </c>
      <c r="C4102" s="1" t="s">
        <v>11</v>
      </c>
      <c r="D4102" s="2">
        <v>40403</v>
      </c>
      <c r="E4102" s="1" t="s">
        <v>8261</v>
      </c>
      <c r="F4102" s="1" t="s">
        <v>13</v>
      </c>
    </row>
    <row r="4103" spans="1:6" ht="30" customHeight="1" x14ac:dyDescent="0.25">
      <c r="A4103" s="1" t="s">
        <v>8262</v>
      </c>
      <c r="B4103" s="1" t="str">
        <f>"9781444325256"</f>
        <v>9781444325256</v>
      </c>
      <c r="C4103" s="1" t="s">
        <v>65</v>
      </c>
      <c r="D4103" s="2">
        <v>40395</v>
      </c>
      <c r="E4103" s="1" t="s">
        <v>8263</v>
      </c>
      <c r="F4103" s="1" t="s">
        <v>13</v>
      </c>
    </row>
    <row r="4104" spans="1:6" ht="30" customHeight="1" x14ac:dyDescent="0.25">
      <c r="A4104" s="1" t="s">
        <v>8264</v>
      </c>
      <c r="B4104" s="1" t="str">
        <f>"9781444316537"</f>
        <v>9781444316537</v>
      </c>
      <c r="C4104" s="1" t="s">
        <v>11</v>
      </c>
      <c r="D4104" s="2">
        <v>40410</v>
      </c>
      <c r="E4104" s="1" t="s">
        <v>8265</v>
      </c>
      <c r="F4104" s="1" t="s">
        <v>137</v>
      </c>
    </row>
    <row r="4105" spans="1:6" ht="30" customHeight="1" x14ac:dyDescent="0.25">
      <c r="A4105" s="1" t="s">
        <v>8266</v>
      </c>
      <c r="B4105" s="1" t="str">
        <f>"9780470689400"</f>
        <v>9780470689400</v>
      </c>
      <c r="C4105" s="1" t="s">
        <v>65</v>
      </c>
      <c r="D4105" s="2">
        <v>40382</v>
      </c>
      <c r="E4105" s="1" t="s">
        <v>8267</v>
      </c>
      <c r="F4105" s="1" t="s">
        <v>13</v>
      </c>
    </row>
    <row r="4106" spans="1:6" ht="30" customHeight="1" x14ac:dyDescent="0.25">
      <c r="A4106" s="1" t="s">
        <v>8268</v>
      </c>
      <c r="B4106" s="1" t="str">
        <f>"9780470972144"</f>
        <v>9780470972144</v>
      </c>
      <c r="C4106" s="1" t="s">
        <v>11</v>
      </c>
      <c r="D4106" s="2">
        <v>40430</v>
      </c>
      <c r="E4106" s="1" t="s">
        <v>8269</v>
      </c>
      <c r="F4106" s="1" t="s">
        <v>13</v>
      </c>
    </row>
    <row r="4107" spans="1:6" ht="30" customHeight="1" x14ac:dyDescent="0.25">
      <c r="A4107" s="1" t="s">
        <v>8270</v>
      </c>
      <c r="B4107" s="1" t="str">
        <f>"9781444324792"</f>
        <v>9781444324792</v>
      </c>
      <c r="C4107" s="1" t="s">
        <v>65</v>
      </c>
      <c r="D4107" s="2">
        <v>40430</v>
      </c>
      <c r="E4107" s="1" t="s">
        <v>8271</v>
      </c>
      <c r="F4107" s="1" t="s">
        <v>214</v>
      </c>
    </row>
    <row r="4108" spans="1:6" ht="30" customHeight="1" x14ac:dyDescent="0.25">
      <c r="A4108" s="1" t="s">
        <v>8272</v>
      </c>
      <c r="B4108" s="1" t="str">
        <f>"9781444323207"</f>
        <v>9781444323207</v>
      </c>
      <c r="C4108" s="1" t="s">
        <v>65</v>
      </c>
      <c r="D4108" s="2">
        <v>40416</v>
      </c>
      <c r="E4108" s="1" t="s">
        <v>8273</v>
      </c>
      <c r="F4108" s="1" t="s">
        <v>3696</v>
      </c>
    </row>
    <row r="4109" spans="1:6" ht="30" customHeight="1" x14ac:dyDescent="0.25">
      <c r="A4109" s="1" t="s">
        <v>8274</v>
      </c>
      <c r="B4109" s="1" t="str">
        <f>"9781444323955"</f>
        <v>9781444323955</v>
      </c>
      <c r="C4109" s="1" t="s">
        <v>11</v>
      </c>
      <c r="D4109" s="2">
        <v>40382</v>
      </c>
      <c r="E4109" s="1" t="s">
        <v>8275</v>
      </c>
      <c r="F4109" s="1" t="s">
        <v>13</v>
      </c>
    </row>
    <row r="4110" spans="1:6" ht="30" customHeight="1" x14ac:dyDescent="0.25">
      <c r="A4110" s="1" t="s">
        <v>5145</v>
      </c>
      <c r="B4110" s="1" t="str">
        <f>"9781444391237"</f>
        <v>9781444391237</v>
      </c>
      <c r="C4110" s="1" t="s">
        <v>11</v>
      </c>
      <c r="D4110" s="2">
        <v>40403</v>
      </c>
      <c r="E4110" s="1" t="s">
        <v>8276</v>
      </c>
      <c r="F4110" s="1" t="s">
        <v>13</v>
      </c>
    </row>
    <row r="4111" spans="1:6" ht="30" customHeight="1" x14ac:dyDescent="0.25">
      <c r="A4111" s="1" t="s">
        <v>8277</v>
      </c>
      <c r="B4111" s="1" t="str">
        <f>"9781444391244"</f>
        <v>9781444391244</v>
      </c>
      <c r="C4111" s="1" t="s">
        <v>8278</v>
      </c>
      <c r="D4111" s="2">
        <v>39899</v>
      </c>
      <c r="E4111" s="1" t="s">
        <v>8279</v>
      </c>
      <c r="F4111" s="1" t="s">
        <v>13</v>
      </c>
    </row>
    <row r="4112" spans="1:6" ht="30" customHeight="1" x14ac:dyDescent="0.25">
      <c r="A4112" s="1" t="s">
        <v>8280</v>
      </c>
      <c r="B4112" s="1" t="str">
        <f>"9781444325218"</f>
        <v>9781444325218</v>
      </c>
      <c r="C4112" s="1" t="s">
        <v>11</v>
      </c>
      <c r="D4112" s="2">
        <v>40403</v>
      </c>
      <c r="E4112" s="1" t="s">
        <v>8281</v>
      </c>
      <c r="F4112" s="1" t="s">
        <v>13</v>
      </c>
    </row>
    <row r="4113" spans="1:6" ht="30" customHeight="1" x14ac:dyDescent="0.25">
      <c r="A4113" s="1" t="s">
        <v>8282</v>
      </c>
      <c r="B4113" s="1" t="str">
        <f>"9781444320299"</f>
        <v>9781444320299</v>
      </c>
      <c r="C4113" s="1" t="s">
        <v>65</v>
      </c>
      <c r="D4113" s="2">
        <v>40403</v>
      </c>
      <c r="E4113" s="1" t="s">
        <v>8283</v>
      </c>
      <c r="F4113" s="1" t="s">
        <v>13</v>
      </c>
    </row>
    <row r="4114" spans="1:6" ht="30" customHeight="1" x14ac:dyDescent="0.25">
      <c r="A4114" s="1" t="s">
        <v>8284</v>
      </c>
      <c r="B4114" s="1" t="str">
        <f>"9781444328424"</f>
        <v>9781444328424</v>
      </c>
      <c r="C4114" s="1" t="s">
        <v>65</v>
      </c>
      <c r="D4114" s="2">
        <v>40395</v>
      </c>
      <c r="E4114" s="1" t="s">
        <v>8285</v>
      </c>
      <c r="F4114" s="1" t="s">
        <v>13</v>
      </c>
    </row>
    <row r="4115" spans="1:6" ht="30" customHeight="1" x14ac:dyDescent="0.25">
      <c r="A4115" s="1" t="s">
        <v>8286</v>
      </c>
      <c r="B4115" s="1" t="str">
        <f>"9781444323900"</f>
        <v>9781444323900</v>
      </c>
      <c r="C4115" s="1" t="s">
        <v>65</v>
      </c>
      <c r="D4115" s="2">
        <v>40395</v>
      </c>
      <c r="E4115" s="1" t="s">
        <v>8287</v>
      </c>
      <c r="F4115" s="1" t="s">
        <v>13</v>
      </c>
    </row>
    <row r="4116" spans="1:6" ht="30" customHeight="1" x14ac:dyDescent="0.25">
      <c r="A4116" s="1" t="s">
        <v>8288</v>
      </c>
      <c r="B4116" s="1" t="str">
        <f>"9781444327748"</f>
        <v>9781444327748</v>
      </c>
      <c r="C4116" s="1" t="s">
        <v>11</v>
      </c>
      <c r="D4116" s="2">
        <v>40414</v>
      </c>
      <c r="E4116" s="1" t="s">
        <v>8289</v>
      </c>
      <c r="F4116" s="1" t="s">
        <v>158</v>
      </c>
    </row>
    <row r="4117" spans="1:6" ht="30" customHeight="1" x14ac:dyDescent="0.25">
      <c r="A4117" s="1" t="s">
        <v>8290</v>
      </c>
      <c r="B4117" s="1" t="str">
        <f>"9780470669419"</f>
        <v>9780470669419</v>
      </c>
      <c r="C4117" s="1" t="s">
        <v>65</v>
      </c>
      <c r="D4117" s="2">
        <v>40421</v>
      </c>
      <c r="E4117" s="1" t="s">
        <v>8291</v>
      </c>
      <c r="F4117" s="1" t="s">
        <v>13</v>
      </c>
    </row>
    <row r="4118" spans="1:6" ht="30" customHeight="1" x14ac:dyDescent="0.25">
      <c r="A4118" s="1" t="s">
        <v>8292</v>
      </c>
      <c r="B4118" s="1" t="str">
        <f>"9781444325232"</f>
        <v>9781444325232</v>
      </c>
      <c r="C4118" s="1" t="s">
        <v>65</v>
      </c>
      <c r="D4118" s="2">
        <v>40435</v>
      </c>
      <c r="E4118" s="1" t="s">
        <v>8293</v>
      </c>
      <c r="F4118" s="1" t="s">
        <v>13</v>
      </c>
    </row>
    <row r="4119" spans="1:6" ht="30" customHeight="1" x14ac:dyDescent="0.25">
      <c r="A4119" s="1" t="s">
        <v>8294</v>
      </c>
      <c r="B4119" s="1" t="str">
        <f>"9780470753644"</f>
        <v>9780470753644</v>
      </c>
      <c r="C4119" s="1" t="s">
        <v>65</v>
      </c>
      <c r="D4119" s="2">
        <v>40421</v>
      </c>
      <c r="E4119" s="1" t="s">
        <v>8295</v>
      </c>
      <c r="F4119" s="1" t="s">
        <v>13</v>
      </c>
    </row>
    <row r="4120" spans="1:6" ht="30" customHeight="1" x14ac:dyDescent="0.25">
      <c r="A4120" s="1" t="s">
        <v>8296</v>
      </c>
      <c r="B4120" s="1" t="str">
        <f>"9781847791054"</f>
        <v>9781847791054</v>
      </c>
      <c r="C4120" s="1" t="s">
        <v>8297</v>
      </c>
      <c r="D4120" s="2">
        <v>38288</v>
      </c>
      <c r="E4120" s="1" t="s">
        <v>8298</v>
      </c>
      <c r="F4120" s="1" t="s">
        <v>3875</v>
      </c>
    </row>
    <row r="4121" spans="1:6" ht="30" customHeight="1" x14ac:dyDescent="0.25">
      <c r="A4121" s="1" t="s">
        <v>8299</v>
      </c>
      <c r="B4121" s="1" t="str">
        <f>"9780982336168"</f>
        <v>9780982336168</v>
      </c>
      <c r="C4121" s="1" t="s">
        <v>8300</v>
      </c>
      <c r="D4121" s="2">
        <v>39995</v>
      </c>
      <c r="E4121" s="1" t="s">
        <v>8301</v>
      </c>
      <c r="F4121" s="1" t="s">
        <v>8302</v>
      </c>
    </row>
    <row r="4122" spans="1:6" ht="30" customHeight="1" x14ac:dyDescent="0.25">
      <c r="A4122" s="1" t="s">
        <v>8303</v>
      </c>
      <c r="B4122" s="1" t="str">
        <f>"9780982336106"</f>
        <v>9780982336106</v>
      </c>
      <c r="C4122" s="1" t="s">
        <v>8300</v>
      </c>
      <c r="D4122" s="2">
        <v>39995</v>
      </c>
      <c r="E4122" s="1" t="s">
        <v>8301</v>
      </c>
      <c r="F4122" s="1" t="s">
        <v>95</v>
      </c>
    </row>
    <row r="4123" spans="1:6" ht="30" customHeight="1" x14ac:dyDescent="0.25">
      <c r="A4123" s="1" t="s">
        <v>8304</v>
      </c>
      <c r="B4123" s="1" t="str">
        <f>"9780982336144"</f>
        <v>9780982336144</v>
      </c>
      <c r="C4123" s="1" t="s">
        <v>8300</v>
      </c>
      <c r="D4123" s="2">
        <v>39995</v>
      </c>
      <c r="E4123" s="1" t="s">
        <v>8301</v>
      </c>
      <c r="F4123" s="1" t="s">
        <v>95</v>
      </c>
    </row>
    <row r="4124" spans="1:6" ht="30" customHeight="1" x14ac:dyDescent="0.25">
      <c r="A4124" s="1" t="s">
        <v>8305</v>
      </c>
      <c r="B4124" s="1" t="str">
        <f>"9789291738687"</f>
        <v>9789291738687</v>
      </c>
      <c r="C4124" s="1" t="s">
        <v>1981</v>
      </c>
      <c r="D4124" s="2">
        <v>39814</v>
      </c>
      <c r="E4124" s="1" t="s">
        <v>2116</v>
      </c>
      <c r="F4124" s="1" t="s">
        <v>70</v>
      </c>
    </row>
    <row r="4125" spans="1:6" ht="30" customHeight="1" x14ac:dyDescent="0.25">
      <c r="A4125" s="1" t="s">
        <v>8306</v>
      </c>
      <c r="B4125" s="1" t="str">
        <f>"9789291738755"</f>
        <v>9789291738755</v>
      </c>
      <c r="C4125" s="1" t="s">
        <v>1981</v>
      </c>
      <c r="D4125" s="2">
        <v>39814</v>
      </c>
      <c r="E4125" s="1" t="s">
        <v>2116</v>
      </c>
      <c r="F4125" s="1" t="s">
        <v>214</v>
      </c>
    </row>
    <row r="4126" spans="1:6" ht="30" customHeight="1" x14ac:dyDescent="0.25">
      <c r="A4126" s="1" t="s">
        <v>8307</v>
      </c>
      <c r="B4126" s="1" t="str">
        <f>"9789291738670"</f>
        <v>9789291738670</v>
      </c>
      <c r="C4126" s="1" t="s">
        <v>1981</v>
      </c>
      <c r="D4126" s="2">
        <v>39814</v>
      </c>
      <c r="E4126" s="1" t="s">
        <v>2116</v>
      </c>
      <c r="F4126" s="1" t="s">
        <v>30</v>
      </c>
    </row>
    <row r="4127" spans="1:6" ht="30" customHeight="1" x14ac:dyDescent="0.25">
      <c r="A4127" s="1" t="s">
        <v>8308</v>
      </c>
      <c r="B4127" s="1" t="str">
        <f>"9789240685475"</f>
        <v>9789240685475</v>
      </c>
      <c r="C4127" s="1" t="s">
        <v>1981</v>
      </c>
      <c r="D4127" s="2">
        <v>40179</v>
      </c>
      <c r="E4127" s="1" t="s">
        <v>1981</v>
      </c>
      <c r="F4127" s="1" t="s">
        <v>8309</v>
      </c>
    </row>
    <row r="4128" spans="1:6" ht="30" customHeight="1" x14ac:dyDescent="0.25">
      <c r="A4128" s="1" t="s">
        <v>8310</v>
      </c>
      <c r="B4128" s="1" t="str">
        <f>"9789291738694"</f>
        <v>9789291738694</v>
      </c>
      <c r="C4128" s="1" t="s">
        <v>1981</v>
      </c>
      <c r="D4128" s="2">
        <v>39814</v>
      </c>
      <c r="E4128" s="1" t="s">
        <v>2116</v>
      </c>
      <c r="F4128" s="1" t="s">
        <v>13</v>
      </c>
    </row>
    <row r="4129" spans="1:6" ht="30" customHeight="1" x14ac:dyDescent="0.25">
      <c r="A4129" s="1" t="s">
        <v>8311</v>
      </c>
      <c r="B4129" s="1" t="str">
        <f>"9789291738663"</f>
        <v>9789291738663</v>
      </c>
      <c r="C4129" s="1" t="s">
        <v>1981</v>
      </c>
      <c r="D4129" s="2">
        <v>40179</v>
      </c>
      <c r="E4129" s="1" t="s">
        <v>2116</v>
      </c>
      <c r="F4129" s="1" t="s">
        <v>214</v>
      </c>
    </row>
    <row r="4130" spans="1:6" ht="30" customHeight="1" x14ac:dyDescent="0.25">
      <c r="A4130" s="1" t="s">
        <v>8312</v>
      </c>
      <c r="B4130" s="1" t="str">
        <f>"9780821384510"</f>
        <v>9780821384510</v>
      </c>
      <c r="C4130" s="1" t="s">
        <v>6702</v>
      </c>
      <c r="D4130" s="2">
        <v>40365</v>
      </c>
      <c r="E4130" s="1" t="s">
        <v>8313</v>
      </c>
      <c r="F4130" s="1" t="s">
        <v>95</v>
      </c>
    </row>
    <row r="4131" spans="1:6" ht="30" customHeight="1" x14ac:dyDescent="0.25">
      <c r="A4131" s="1" t="s">
        <v>8314</v>
      </c>
      <c r="B4131" s="1" t="str">
        <f>"9780821383636"</f>
        <v>9780821383636</v>
      </c>
      <c r="C4131" s="1" t="s">
        <v>6702</v>
      </c>
      <c r="D4131" s="2">
        <v>40336</v>
      </c>
      <c r="E4131" s="1" t="s">
        <v>8315</v>
      </c>
      <c r="F4131" s="1" t="s">
        <v>95</v>
      </c>
    </row>
    <row r="4132" spans="1:6" ht="30" customHeight="1" x14ac:dyDescent="0.25">
      <c r="A4132" s="1" t="s">
        <v>8316</v>
      </c>
      <c r="B4132" s="1" t="str">
        <f>"9780821383407"</f>
        <v>9780821383407</v>
      </c>
      <c r="C4132" s="1" t="s">
        <v>6702</v>
      </c>
      <c r="D4132" s="2">
        <v>40282</v>
      </c>
      <c r="E4132" s="1" t="s">
        <v>8317</v>
      </c>
      <c r="F4132" s="1" t="s">
        <v>30</v>
      </c>
    </row>
    <row r="4133" spans="1:6" ht="30" customHeight="1" x14ac:dyDescent="0.25">
      <c r="A4133" s="1" t="s">
        <v>8318</v>
      </c>
      <c r="B4133" s="1" t="str">
        <f>"9780821383575"</f>
        <v>9780821383575</v>
      </c>
      <c r="C4133" s="1" t="s">
        <v>6702</v>
      </c>
      <c r="D4133" s="2">
        <v>40353</v>
      </c>
      <c r="E4133" s="1" t="s">
        <v>8319</v>
      </c>
      <c r="F4133" s="1" t="s">
        <v>30</v>
      </c>
    </row>
    <row r="4134" spans="1:6" ht="30" customHeight="1" x14ac:dyDescent="0.25">
      <c r="A4134" s="1" t="s">
        <v>8320</v>
      </c>
      <c r="B4134" s="1" t="str">
        <f>"9780821383360"</f>
        <v>9780821383360</v>
      </c>
      <c r="C4134" s="1" t="s">
        <v>6702</v>
      </c>
      <c r="D4134" s="2">
        <v>40317</v>
      </c>
      <c r="E4134" s="1" t="s">
        <v>8321</v>
      </c>
      <c r="F4134" s="1" t="s">
        <v>95</v>
      </c>
    </row>
    <row r="4135" spans="1:6" ht="30" customHeight="1" x14ac:dyDescent="0.25">
      <c r="A4135" s="1" t="s">
        <v>8322</v>
      </c>
      <c r="B4135" s="1" t="str">
        <f>"9780821383872"</f>
        <v>9780821383872</v>
      </c>
      <c r="C4135" s="1" t="s">
        <v>6702</v>
      </c>
      <c r="D4135" s="2">
        <v>40344</v>
      </c>
      <c r="E4135" s="1" t="s">
        <v>8323</v>
      </c>
      <c r="F4135" s="1" t="s">
        <v>95</v>
      </c>
    </row>
    <row r="4136" spans="1:6" ht="30" customHeight="1" x14ac:dyDescent="0.25">
      <c r="A4136" s="1" t="s">
        <v>8324</v>
      </c>
      <c r="B4136" s="1" t="str">
        <f>"9780821383131"</f>
        <v>9780821383131</v>
      </c>
      <c r="C4136" s="1" t="s">
        <v>6702</v>
      </c>
      <c r="D4136" s="2">
        <v>40275</v>
      </c>
      <c r="E4136" s="1" t="s">
        <v>6703</v>
      </c>
      <c r="F4136" s="1" t="s">
        <v>30</v>
      </c>
    </row>
    <row r="4137" spans="1:6" ht="30" customHeight="1" x14ac:dyDescent="0.25">
      <c r="A4137" s="1" t="s">
        <v>8325</v>
      </c>
      <c r="B4137" s="1" t="str">
        <f>"9780821383643"</f>
        <v>9780821383643</v>
      </c>
      <c r="C4137" s="1" t="s">
        <v>6702</v>
      </c>
      <c r="D4137" s="2">
        <v>40366</v>
      </c>
      <c r="E4137" s="1" t="s">
        <v>8326</v>
      </c>
      <c r="F4137" s="1" t="s">
        <v>2383</v>
      </c>
    </row>
    <row r="4138" spans="1:6" ht="30" customHeight="1" x14ac:dyDescent="0.25">
      <c r="A4138" s="1" t="s">
        <v>8327</v>
      </c>
      <c r="B4138" s="1" t="str">
        <f>"9780199715589"</f>
        <v>9780199715589</v>
      </c>
      <c r="C4138" s="1" t="s">
        <v>1120</v>
      </c>
      <c r="D4138" s="2">
        <v>39457</v>
      </c>
      <c r="E4138" s="1" t="s">
        <v>8328</v>
      </c>
      <c r="F4138" s="1" t="s">
        <v>126</v>
      </c>
    </row>
    <row r="4139" spans="1:6" ht="30" customHeight="1" x14ac:dyDescent="0.25">
      <c r="A4139" s="1" t="s">
        <v>8329</v>
      </c>
      <c r="B4139" s="1" t="str">
        <f>"9780199708802"</f>
        <v>9780199708802</v>
      </c>
      <c r="C4139" s="1" t="s">
        <v>1123</v>
      </c>
      <c r="D4139" s="2">
        <v>39953</v>
      </c>
      <c r="E4139" s="1" t="s">
        <v>8330</v>
      </c>
      <c r="F4139" s="1" t="s">
        <v>13</v>
      </c>
    </row>
    <row r="4140" spans="1:6" ht="30" customHeight="1" x14ac:dyDescent="0.25">
      <c r="A4140" s="1" t="s">
        <v>8331</v>
      </c>
      <c r="B4140" s="1" t="str">
        <f>"9781409405122"</f>
        <v>9781409405122</v>
      </c>
      <c r="C4140" s="1" t="s">
        <v>68</v>
      </c>
      <c r="D4140" s="2">
        <v>40483</v>
      </c>
      <c r="E4140" s="1" t="s">
        <v>8332</v>
      </c>
      <c r="F4140" s="1" t="s">
        <v>21</v>
      </c>
    </row>
    <row r="4141" spans="1:6" ht="30" customHeight="1" x14ac:dyDescent="0.25">
      <c r="A4141" s="1" t="s">
        <v>8333</v>
      </c>
      <c r="B4141" s="1" t="str">
        <f>"9781409412427"</f>
        <v>9781409412427</v>
      </c>
      <c r="C4141" s="1" t="s">
        <v>68</v>
      </c>
      <c r="D4141" s="2">
        <v>40483</v>
      </c>
      <c r="E4141" s="1" t="s">
        <v>8334</v>
      </c>
      <c r="F4141" s="1" t="s">
        <v>214</v>
      </c>
    </row>
    <row r="4142" spans="1:6" ht="30" customHeight="1" x14ac:dyDescent="0.25">
      <c r="A4142" s="1" t="s">
        <v>8335</v>
      </c>
      <c r="B4142" s="1" t="str">
        <f>"9780826105592"</f>
        <v>9780826105592</v>
      </c>
      <c r="C4142" s="1" t="s">
        <v>2339</v>
      </c>
      <c r="D4142" s="2">
        <v>40429</v>
      </c>
      <c r="E4142" s="1" t="s">
        <v>8336</v>
      </c>
      <c r="F4142" s="1" t="s">
        <v>973</v>
      </c>
    </row>
    <row r="4143" spans="1:6" ht="30" customHeight="1" x14ac:dyDescent="0.25">
      <c r="A4143" s="1" t="s">
        <v>8337</v>
      </c>
      <c r="B4143" s="1" t="str">
        <f>"9780826107602"</f>
        <v>9780826107602</v>
      </c>
      <c r="C4143" s="1" t="s">
        <v>2339</v>
      </c>
      <c r="D4143" s="2">
        <v>40466</v>
      </c>
      <c r="E4143" s="1" t="s">
        <v>8338</v>
      </c>
      <c r="F4143" s="1" t="s">
        <v>234</v>
      </c>
    </row>
    <row r="4144" spans="1:6" ht="30" customHeight="1" x14ac:dyDescent="0.25">
      <c r="A4144" s="1" t="s">
        <v>8339</v>
      </c>
      <c r="B4144" s="1" t="str">
        <f>"9780826117632"</f>
        <v>9780826117632</v>
      </c>
      <c r="C4144" s="1" t="s">
        <v>2339</v>
      </c>
      <c r="D4144" s="2">
        <v>40315</v>
      </c>
      <c r="E4144" s="1" t="s">
        <v>8340</v>
      </c>
      <c r="F4144" s="1" t="s">
        <v>126</v>
      </c>
    </row>
    <row r="4145" spans="1:6" ht="30" customHeight="1" x14ac:dyDescent="0.25">
      <c r="A4145" s="1" t="s">
        <v>8341</v>
      </c>
      <c r="B4145" s="1" t="str">
        <f>"9780826118295"</f>
        <v>9780826118295</v>
      </c>
      <c r="C4145" s="1" t="s">
        <v>2339</v>
      </c>
      <c r="D4145" s="2">
        <v>40330</v>
      </c>
      <c r="E4145" s="1" t="s">
        <v>8342</v>
      </c>
      <c r="F4145" s="1" t="s">
        <v>304</v>
      </c>
    </row>
    <row r="4146" spans="1:6" ht="30" customHeight="1" x14ac:dyDescent="0.25">
      <c r="A4146" s="1" t="s">
        <v>8343</v>
      </c>
      <c r="B4146" s="1" t="str">
        <f>"9781607506096"</f>
        <v>9781607506096</v>
      </c>
      <c r="C4146" s="1" t="s">
        <v>1390</v>
      </c>
      <c r="D4146" s="2">
        <v>40449</v>
      </c>
      <c r="E4146" s="1" t="s">
        <v>8344</v>
      </c>
      <c r="F4146" s="1" t="s">
        <v>13</v>
      </c>
    </row>
    <row r="4147" spans="1:6" ht="30" customHeight="1" x14ac:dyDescent="0.25">
      <c r="A4147" s="1" t="s">
        <v>8345</v>
      </c>
      <c r="B4147" s="1" t="str">
        <f>"9783836612029"</f>
        <v>9783836612029</v>
      </c>
      <c r="C4147" s="1" t="s">
        <v>8346</v>
      </c>
      <c r="D4147" s="2">
        <v>39594</v>
      </c>
      <c r="E4147" s="1" t="s">
        <v>8347</v>
      </c>
      <c r="F4147" s="1" t="s">
        <v>13</v>
      </c>
    </row>
    <row r="4148" spans="1:6" ht="30" customHeight="1" x14ac:dyDescent="0.25">
      <c r="A4148" s="1" t="s">
        <v>8348</v>
      </c>
      <c r="B4148" s="1" t="str">
        <f>"9781574413366"</f>
        <v>9781574413366</v>
      </c>
      <c r="C4148" s="1" t="s">
        <v>3602</v>
      </c>
      <c r="D4148" s="2">
        <v>40040</v>
      </c>
      <c r="E4148" s="1" t="s">
        <v>8349</v>
      </c>
      <c r="F4148" s="1" t="s">
        <v>70</v>
      </c>
    </row>
    <row r="4149" spans="1:6" ht="30" customHeight="1" x14ac:dyDescent="0.25">
      <c r="A4149" s="1" t="s">
        <v>8350</v>
      </c>
      <c r="B4149" s="1" t="str">
        <f>"9781441167545"</f>
        <v>9781441167545</v>
      </c>
      <c r="C4149" s="1" t="s">
        <v>3759</v>
      </c>
      <c r="D4149" s="2">
        <v>40205</v>
      </c>
      <c r="E4149" s="1" t="s">
        <v>8351</v>
      </c>
      <c r="F4149" s="1" t="s">
        <v>395</v>
      </c>
    </row>
    <row r="4150" spans="1:6" ht="30" customHeight="1" x14ac:dyDescent="0.25">
      <c r="A4150" s="1" t="s">
        <v>8352</v>
      </c>
      <c r="B4150" s="1" t="str">
        <f>"9781907284823"</f>
        <v>9781907284823</v>
      </c>
      <c r="C4150" s="1" t="s">
        <v>8353</v>
      </c>
      <c r="D4150" s="2">
        <v>40422</v>
      </c>
      <c r="E4150" s="1" t="s">
        <v>8354</v>
      </c>
      <c r="F4150" s="1" t="s">
        <v>33</v>
      </c>
    </row>
    <row r="4151" spans="1:6" ht="30" customHeight="1" x14ac:dyDescent="0.25">
      <c r="A4151" s="1" t="s">
        <v>8355</v>
      </c>
      <c r="B4151" s="1" t="str">
        <f>"9780199750054"</f>
        <v>9780199750054</v>
      </c>
      <c r="C4151" s="1" t="s">
        <v>1123</v>
      </c>
      <c r="D4151" s="2">
        <v>40541</v>
      </c>
      <c r="E4151" s="1" t="s">
        <v>8356</v>
      </c>
      <c r="F4151" s="1" t="s">
        <v>13</v>
      </c>
    </row>
    <row r="4152" spans="1:6" ht="30" customHeight="1" x14ac:dyDescent="0.25">
      <c r="A4152" s="1" t="s">
        <v>8357</v>
      </c>
      <c r="B4152" s="1" t="str">
        <f>"9780511927997"</f>
        <v>9780511927997</v>
      </c>
      <c r="C4152" s="1" t="s">
        <v>25</v>
      </c>
      <c r="D4152" s="2">
        <v>40619</v>
      </c>
      <c r="E4152" s="1" t="s">
        <v>8358</v>
      </c>
      <c r="F4152" s="1" t="s">
        <v>13</v>
      </c>
    </row>
    <row r="4153" spans="1:6" ht="30" customHeight="1" x14ac:dyDescent="0.25">
      <c r="A4153" s="1" t="s">
        <v>8359</v>
      </c>
      <c r="B4153" s="1" t="str">
        <f>"9780511927928"</f>
        <v>9780511927928</v>
      </c>
      <c r="C4153" s="1" t="s">
        <v>25</v>
      </c>
      <c r="D4153" s="2">
        <v>40528</v>
      </c>
      <c r="E4153" s="1" t="s">
        <v>8360</v>
      </c>
      <c r="F4153" s="1" t="s">
        <v>1372</v>
      </c>
    </row>
    <row r="4154" spans="1:6" ht="30" customHeight="1" x14ac:dyDescent="0.25">
      <c r="A4154" s="1" t="s">
        <v>8361</v>
      </c>
      <c r="B4154" s="1" t="str">
        <f>"9780511927164"</f>
        <v>9780511927164</v>
      </c>
      <c r="C4154" s="1" t="s">
        <v>25</v>
      </c>
      <c r="D4154" s="2">
        <v>40430</v>
      </c>
      <c r="E4154" s="1" t="s">
        <v>8362</v>
      </c>
      <c r="F4154" s="1" t="s">
        <v>13</v>
      </c>
    </row>
    <row r="4155" spans="1:6" ht="30" customHeight="1" x14ac:dyDescent="0.25">
      <c r="A4155" s="1" t="s">
        <v>8363</v>
      </c>
      <c r="B4155" s="1" t="str">
        <f>"9780511928079"</f>
        <v>9780511928079</v>
      </c>
      <c r="C4155" s="1" t="s">
        <v>25</v>
      </c>
      <c r="D4155" s="2">
        <v>40500</v>
      </c>
      <c r="E4155" s="1" t="s">
        <v>8364</v>
      </c>
      <c r="F4155" s="1" t="s">
        <v>13</v>
      </c>
    </row>
    <row r="4156" spans="1:6" ht="30" customHeight="1" x14ac:dyDescent="0.25">
      <c r="A4156" s="1" t="s">
        <v>8365</v>
      </c>
      <c r="B4156" s="1" t="str">
        <f>"9781555816629"</f>
        <v>9781555816629</v>
      </c>
      <c r="C4156" s="1" t="s">
        <v>7254</v>
      </c>
      <c r="D4156" s="2">
        <v>40179</v>
      </c>
      <c r="E4156" s="1" t="s">
        <v>8366</v>
      </c>
      <c r="F4156" s="1" t="s">
        <v>63</v>
      </c>
    </row>
    <row r="4157" spans="1:6" ht="30" customHeight="1" x14ac:dyDescent="0.25">
      <c r="A4157" s="1" t="s">
        <v>8367</v>
      </c>
      <c r="B4157" s="1" t="str">
        <f>"9781555815967"</f>
        <v>9781555815967</v>
      </c>
      <c r="C4157" s="1" t="s">
        <v>7254</v>
      </c>
      <c r="D4157" s="2">
        <v>39814</v>
      </c>
      <c r="E4157" s="1" t="s">
        <v>8368</v>
      </c>
      <c r="F4157" s="1" t="s">
        <v>13</v>
      </c>
    </row>
    <row r="4158" spans="1:6" ht="30" customHeight="1" x14ac:dyDescent="0.25">
      <c r="A4158" s="1" t="s">
        <v>8369</v>
      </c>
      <c r="B4158" s="1" t="str">
        <f>"9781555816018"</f>
        <v>9781555816018</v>
      </c>
      <c r="C4158" s="1" t="s">
        <v>7254</v>
      </c>
      <c r="D4158" s="2">
        <v>38718</v>
      </c>
      <c r="E4158" s="1" t="s">
        <v>8368</v>
      </c>
      <c r="F4158" s="1" t="s">
        <v>1948</v>
      </c>
    </row>
    <row r="4159" spans="1:6" ht="30" customHeight="1" x14ac:dyDescent="0.25">
      <c r="A4159" s="1" t="s">
        <v>8370</v>
      </c>
      <c r="B4159" s="1" t="str">
        <f>"9781555816445"</f>
        <v>9781555816445</v>
      </c>
      <c r="C4159" s="1" t="s">
        <v>7254</v>
      </c>
      <c r="D4159" s="2">
        <v>39083</v>
      </c>
      <c r="E4159" s="1" t="s">
        <v>8371</v>
      </c>
      <c r="F4159" s="1" t="s">
        <v>8372</v>
      </c>
    </row>
    <row r="4160" spans="1:6" ht="30" customHeight="1" x14ac:dyDescent="0.25">
      <c r="A4160" s="1" t="s">
        <v>8373</v>
      </c>
      <c r="B4160" s="1" t="str">
        <f>"9789221210634"</f>
        <v>9789221210634</v>
      </c>
      <c r="C4160" s="1" t="s">
        <v>8374</v>
      </c>
      <c r="D4160" s="2">
        <v>39448</v>
      </c>
      <c r="E4160" s="1" t="s">
        <v>8374</v>
      </c>
      <c r="F4160" s="1" t="s">
        <v>33</v>
      </c>
    </row>
    <row r="4161" spans="1:6" ht="30" customHeight="1" x14ac:dyDescent="0.25">
      <c r="A4161" s="1" t="s">
        <v>8375</v>
      </c>
      <c r="B4161" s="1" t="str">
        <f>"9781841503585"</f>
        <v>9781841503585</v>
      </c>
      <c r="C4161" s="1" t="s">
        <v>8376</v>
      </c>
      <c r="D4161" s="2">
        <v>40422</v>
      </c>
      <c r="E4161" s="1" t="s">
        <v>8377</v>
      </c>
      <c r="F4161" s="1" t="s">
        <v>30</v>
      </c>
    </row>
    <row r="4162" spans="1:6" ht="30" customHeight="1" x14ac:dyDescent="0.25">
      <c r="A4162" s="1" t="s">
        <v>8378</v>
      </c>
      <c r="B4162" s="1" t="str">
        <f>"9780285639232"</f>
        <v>9780285639232</v>
      </c>
      <c r="C4162" s="1" t="s">
        <v>8379</v>
      </c>
      <c r="D4162" s="2">
        <v>40269</v>
      </c>
      <c r="E4162" s="1" t="s">
        <v>8380</v>
      </c>
      <c r="F4162" s="1" t="s">
        <v>158</v>
      </c>
    </row>
    <row r="4163" spans="1:6" ht="30" customHeight="1" x14ac:dyDescent="0.25">
      <c r="A4163" s="1" t="s">
        <v>8381</v>
      </c>
      <c r="B4163" s="1" t="str">
        <f>"9780285639089"</f>
        <v>9780285639089</v>
      </c>
      <c r="C4163" s="1" t="s">
        <v>8379</v>
      </c>
      <c r="D4163" s="2">
        <v>39539</v>
      </c>
      <c r="E4163" s="1" t="s">
        <v>8382</v>
      </c>
      <c r="F4163" s="1" t="s">
        <v>13</v>
      </c>
    </row>
    <row r="4164" spans="1:6" ht="30" customHeight="1" x14ac:dyDescent="0.25">
      <c r="A4164" s="1" t="s">
        <v>8383</v>
      </c>
      <c r="B4164" s="1" t="str">
        <f>"9780826171030"</f>
        <v>9780826171030</v>
      </c>
      <c r="C4164" s="1" t="s">
        <v>2339</v>
      </c>
      <c r="D4164" s="2">
        <v>40410</v>
      </c>
      <c r="E4164" s="1" t="s">
        <v>8384</v>
      </c>
      <c r="F4164" s="1" t="s">
        <v>13</v>
      </c>
    </row>
    <row r="4165" spans="1:6" ht="30" customHeight="1" x14ac:dyDescent="0.25">
      <c r="A4165" s="1" t="s">
        <v>8385</v>
      </c>
      <c r="B4165" s="1" t="str">
        <f>"9780826118530"</f>
        <v>9780826118530</v>
      </c>
      <c r="C4165" s="1" t="s">
        <v>2339</v>
      </c>
      <c r="D4165" s="2">
        <v>40391</v>
      </c>
      <c r="E4165" s="1" t="s">
        <v>8386</v>
      </c>
      <c r="F4165" s="1" t="s">
        <v>13</v>
      </c>
    </row>
    <row r="4166" spans="1:6" ht="30" customHeight="1" x14ac:dyDescent="0.25">
      <c r="A4166" s="1" t="s">
        <v>8387</v>
      </c>
      <c r="B4166" s="1" t="str">
        <f>"9780826105295"</f>
        <v>9780826105295</v>
      </c>
      <c r="C4166" s="1" t="s">
        <v>2339</v>
      </c>
      <c r="D4166" s="2">
        <v>40422</v>
      </c>
      <c r="E4166" s="1" t="s">
        <v>8388</v>
      </c>
      <c r="F4166" s="1" t="s">
        <v>301</v>
      </c>
    </row>
    <row r="4167" spans="1:6" ht="30" customHeight="1" x14ac:dyDescent="0.25">
      <c r="A4167" s="1" t="s">
        <v>8389</v>
      </c>
      <c r="B4167" s="1" t="str">
        <f>"9780807879672"</f>
        <v>9780807879672</v>
      </c>
      <c r="C4167" s="1" t="s">
        <v>6600</v>
      </c>
      <c r="D4167" s="2">
        <v>40448</v>
      </c>
      <c r="E4167" s="1" t="s">
        <v>8390</v>
      </c>
      <c r="F4167" s="1" t="s">
        <v>4193</v>
      </c>
    </row>
    <row r="4168" spans="1:6" ht="30" customHeight="1" x14ac:dyDescent="0.25">
      <c r="A4168" s="1" t="s">
        <v>8391</v>
      </c>
      <c r="B4168" s="1" t="str">
        <f>"9780821384428"</f>
        <v>9780821384428</v>
      </c>
      <c r="C4168" s="1" t="s">
        <v>6702</v>
      </c>
      <c r="D4168" s="2">
        <v>40488</v>
      </c>
      <c r="E4168" s="1" t="s">
        <v>8392</v>
      </c>
      <c r="F4168" s="1" t="s">
        <v>30</v>
      </c>
    </row>
    <row r="4169" spans="1:6" ht="30" customHeight="1" x14ac:dyDescent="0.25">
      <c r="A4169" s="1" t="s">
        <v>8393</v>
      </c>
      <c r="B4169" s="1" t="str">
        <f>"9780821384077"</f>
        <v>9780821384077</v>
      </c>
      <c r="C4169" s="1" t="s">
        <v>6702</v>
      </c>
      <c r="D4169" s="2">
        <v>40417</v>
      </c>
      <c r="E4169" s="1" t="s">
        <v>8394</v>
      </c>
      <c r="F4169" s="1" t="s">
        <v>95</v>
      </c>
    </row>
    <row r="4170" spans="1:6" ht="30" customHeight="1" x14ac:dyDescent="0.25">
      <c r="A4170" s="1" t="s">
        <v>8395</v>
      </c>
      <c r="B4170" s="1" t="str">
        <f>"9780520947658"</f>
        <v>9780520947658</v>
      </c>
      <c r="C4170" s="1" t="s">
        <v>818</v>
      </c>
      <c r="D4170" s="2">
        <v>40514</v>
      </c>
      <c r="E4170" s="1" t="s">
        <v>8396</v>
      </c>
      <c r="F4170" s="1" t="s">
        <v>3328</v>
      </c>
    </row>
    <row r="4171" spans="1:6" ht="30" customHeight="1" x14ac:dyDescent="0.25">
      <c r="A4171" s="1" t="s">
        <v>8397</v>
      </c>
      <c r="B4171" s="1" t="str">
        <f>"9780511857836"</f>
        <v>9780511857836</v>
      </c>
      <c r="C4171" s="1" t="s">
        <v>25</v>
      </c>
      <c r="D4171" s="2">
        <v>40465</v>
      </c>
      <c r="E4171" s="1" t="s">
        <v>8398</v>
      </c>
      <c r="F4171" s="1" t="s">
        <v>137</v>
      </c>
    </row>
    <row r="4172" spans="1:6" ht="30" customHeight="1" x14ac:dyDescent="0.25">
      <c r="A4172" s="1" t="s">
        <v>8399</v>
      </c>
      <c r="B4172" s="1" t="str">
        <f>"9780511858116"</f>
        <v>9780511858116</v>
      </c>
      <c r="C4172" s="1" t="s">
        <v>25</v>
      </c>
      <c r="D4172" s="2">
        <v>40486</v>
      </c>
      <c r="E4172" s="1" t="s">
        <v>8400</v>
      </c>
      <c r="F4172" s="1" t="s">
        <v>13</v>
      </c>
    </row>
    <row r="4173" spans="1:6" ht="30" customHeight="1" x14ac:dyDescent="0.25">
      <c r="A4173" s="1" t="s">
        <v>8401</v>
      </c>
      <c r="B4173" s="1" t="str">
        <f>"9780511927874"</f>
        <v>9780511927874</v>
      </c>
      <c r="C4173" s="1" t="s">
        <v>25</v>
      </c>
      <c r="D4173" s="2">
        <v>40577</v>
      </c>
      <c r="E4173" s="1" t="s">
        <v>8402</v>
      </c>
      <c r="F4173" s="1" t="s">
        <v>13</v>
      </c>
    </row>
    <row r="4174" spans="1:6" ht="30" customHeight="1" x14ac:dyDescent="0.25">
      <c r="A4174" s="1" t="s">
        <v>8403</v>
      </c>
      <c r="B4174" s="1" t="str">
        <f>"9780226261225"</f>
        <v>9780226261225</v>
      </c>
      <c r="C4174" s="1" t="s">
        <v>5093</v>
      </c>
      <c r="D4174" s="2">
        <v>40497</v>
      </c>
      <c r="E4174" s="1" t="s">
        <v>8404</v>
      </c>
      <c r="F4174" s="1" t="s">
        <v>95</v>
      </c>
    </row>
    <row r="4175" spans="1:6" ht="30" customHeight="1" x14ac:dyDescent="0.25">
      <c r="A4175" s="1" t="s">
        <v>8405</v>
      </c>
      <c r="B4175" s="1" t="str">
        <f>"9789240685659"</f>
        <v>9789240685659</v>
      </c>
      <c r="C4175" s="1" t="s">
        <v>1981</v>
      </c>
      <c r="D4175" s="2">
        <v>40179</v>
      </c>
      <c r="E4175" s="1" t="s">
        <v>1981</v>
      </c>
      <c r="F4175" s="1" t="s">
        <v>70</v>
      </c>
    </row>
    <row r="4176" spans="1:6" ht="30" customHeight="1" x14ac:dyDescent="0.25">
      <c r="A4176" s="1" t="s">
        <v>8406</v>
      </c>
      <c r="B4176" s="1" t="str">
        <f>"9789240685666"</f>
        <v>9789240685666</v>
      </c>
      <c r="C4176" s="1" t="s">
        <v>1981</v>
      </c>
      <c r="D4176" s="2">
        <v>40179</v>
      </c>
      <c r="E4176" s="1" t="s">
        <v>1981</v>
      </c>
      <c r="F4176" s="1" t="s">
        <v>13</v>
      </c>
    </row>
    <row r="4177" spans="1:6" ht="30" customHeight="1" x14ac:dyDescent="0.25">
      <c r="A4177" s="1" t="s">
        <v>8407</v>
      </c>
      <c r="B4177" s="1" t="str">
        <f>"9789240685628"</f>
        <v>9789240685628</v>
      </c>
      <c r="C4177" s="1" t="s">
        <v>1981</v>
      </c>
      <c r="D4177" s="2">
        <v>40179</v>
      </c>
      <c r="E4177" s="1" t="s">
        <v>1981</v>
      </c>
      <c r="F4177" s="1" t="s">
        <v>13</v>
      </c>
    </row>
    <row r="4178" spans="1:6" ht="30" customHeight="1" x14ac:dyDescent="0.25">
      <c r="A4178" s="1" t="s">
        <v>8408</v>
      </c>
      <c r="B4178" s="1" t="str">
        <f>"9789240685611"</f>
        <v>9789240685611</v>
      </c>
      <c r="C4178" s="1" t="s">
        <v>1981</v>
      </c>
      <c r="D4178" s="2">
        <v>40179</v>
      </c>
      <c r="E4178" s="1" t="s">
        <v>8409</v>
      </c>
      <c r="F4178" s="1" t="s">
        <v>681</v>
      </c>
    </row>
    <row r="4179" spans="1:6" ht="30" customHeight="1" x14ac:dyDescent="0.25">
      <c r="A4179" s="1" t="s">
        <v>8410</v>
      </c>
      <c r="B4179" s="1" t="str">
        <f>"9789240685642"</f>
        <v>9789240685642</v>
      </c>
      <c r="C4179" s="1" t="s">
        <v>1981</v>
      </c>
      <c r="D4179" s="2">
        <v>40179</v>
      </c>
      <c r="E4179" s="1" t="s">
        <v>1981</v>
      </c>
      <c r="F4179" s="1" t="s">
        <v>158</v>
      </c>
    </row>
    <row r="4180" spans="1:6" ht="30" customHeight="1" x14ac:dyDescent="0.25">
      <c r="A4180" s="1" t="s">
        <v>8411</v>
      </c>
      <c r="B4180" s="1" t="str">
        <f>"9789240685673"</f>
        <v>9789240685673</v>
      </c>
      <c r="C4180" s="1" t="s">
        <v>1981</v>
      </c>
      <c r="D4180" s="2">
        <v>40179</v>
      </c>
      <c r="E4180" s="1" t="s">
        <v>1981</v>
      </c>
      <c r="F4180" s="1" t="s">
        <v>13</v>
      </c>
    </row>
    <row r="4181" spans="1:6" ht="30" customHeight="1" x14ac:dyDescent="0.25">
      <c r="A4181" s="1" t="s">
        <v>8412</v>
      </c>
      <c r="B4181" s="1" t="str">
        <f>"9780765706638"</f>
        <v>9780765706638</v>
      </c>
      <c r="C4181" s="1" t="s">
        <v>6903</v>
      </c>
      <c r="D4181" s="2">
        <v>40240</v>
      </c>
      <c r="E4181" s="1" t="s">
        <v>8413</v>
      </c>
      <c r="F4181" s="1" t="s">
        <v>13</v>
      </c>
    </row>
    <row r="4182" spans="1:6" ht="30" customHeight="1" x14ac:dyDescent="0.25">
      <c r="A4182" s="1" t="s">
        <v>8414</v>
      </c>
      <c r="B4182" s="1" t="str">
        <f>"9780765707567"</f>
        <v>9780765707567</v>
      </c>
      <c r="C4182" s="1" t="s">
        <v>6903</v>
      </c>
      <c r="D4182" s="2">
        <v>40331</v>
      </c>
      <c r="E4182" s="1" t="s">
        <v>8415</v>
      </c>
      <c r="F4182" s="1" t="s">
        <v>13</v>
      </c>
    </row>
    <row r="4183" spans="1:6" ht="30" customHeight="1" x14ac:dyDescent="0.25">
      <c r="A4183" s="1" t="s">
        <v>8416</v>
      </c>
      <c r="B4183" s="1" t="str">
        <f>"9780765707680"</f>
        <v>9780765707680</v>
      </c>
      <c r="C4183" s="1" t="s">
        <v>6903</v>
      </c>
      <c r="D4183" s="2">
        <v>40396</v>
      </c>
      <c r="E4183" s="1" t="s">
        <v>8417</v>
      </c>
      <c r="F4183" s="1" t="s">
        <v>13</v>
      </c>
    </row>
    <row r="4184" spans="1:6" ht="30" customHeight="1" x14ac:dyDescent="0.25">
      <c r="A4184" s="1" t="s">
        <v>8418</v>
      </c>
      <c r="B4184" s="1" t="str">
        <f>"9780765707802"</f>
        <v>9780765707802</v>
      </c>
      <c r="C4184" s="1" t="s">
        <v>6903</v>
      </c>
      <c r="D4184" s="2">
        <v>40331</v>
      </c>
      <c r="E4184" s="1" t="s">
        <v>8419</v>
      </c>
      <c r="F4184" s="1" t="s">
        <v>13</v>
      </c>
    </row>
    <row r="4185" spans="1:6" ht="30" customHeight="1" x14ac:dyDescent="0.25">
      <c r="A4185" s="1" t="s">
        <v>8420</v>
      </c>
      <c r="B4185" s="1" t="str">
        <f>"9780765707864"</f>
        <v>9780765707864</v>
      </c>
      <c r="C4185" s="1" t="s">
        <v>6903</v>
      </c>
      <c r="D4185" s="2">
        <v>40310</v>
      </c>
      <c r="E4185" s="1" t="s">
        <v>8421</v>
      </c>
      <c r="F4185" s="1" t="s">
        <v>13</v>
      </c>
    </row>
    <row r="4186" spans="1:6" ht="30" customHeight="1" x14ac:dyDescent="0.25">
      <c r="A4186" s="1" t="s">
        <v>8422</v>
      </c>
      <c r="B4186" s="1" t="str">
        <f>"9781605906829"</f>
        <v>9781605906829</v>
      </c>
      <c r="C4186" s="1" t="s">
        <v>8423</v>
      </c>
      <c r="D4186" s="2">
        <v>40406</v>
      </c>
      <c r="E4186" s="1" t="s">
        <v>8424</v>
      </c>
      <c r="F4186" s="1" t="s">
        <v>87</v>
      </c>
    </row>
    <row r="4187" spans="1:6" ht="30" customHeight="1" x14ac:dyDescent="0.25">
      <c r="A4187" s="1" t="s">
        <v>8425</v>
      </c>
      <c r="B4187" s="1" t="str">
        <f>"9783836645614"</f>
        <v>9783836645614</v>
      </c>
      <c r="C4187" s="1" t="s">
        <v>8346</v>
      </c>
      <c r="D4187" s="2">
        <v>40422</v>
      </c>
      <c r="E4187" s="1" t="s">
        <v>8426</v>
      </c>
      <c r="F4187" s="1" t="s">
        <v>95</v>
      </c>
    </row>
    <row r="4188" spans="1:6" ht="30" customHeight="1" x14ac:dyDescent="0.25">
      <c r="A4188" s="1" t="s">
        <v>8427</v>
      </c>
      <c r="B4188" s="1" t="str">
        <f>"9783836647670"</f>
        <v>9783836647670</v>
      </c>
      <c r="C4188" s="1" t="s">
        <v>8346</v>
      </c>
      <c r="D4188" s="2">
        <v>40452</v>
      </c>
      <c r="E4188" s="1" t="s">
        <v>8428</v>
      </c>
      <c r="F4188" s="1" t="s">
        <v>3390</v>
      </c>
    </row>
    <row r="4189" spans="1:6" ht="30" customHeight="1" x14ac:dyDescent="0.25">
      <c r="A4189" s="1" t="s">
        <v>8429</v>
      </c>
      <c r="B4189" s="1" t="str">
        <f>"9780313346651"</f>
        <v>9780313346651</v>
      </c>
      <c r="C4189" s="1" t="s">
        <v>7550</v>
      </c>
      <c r="D4189" s="2">
        <v>40513</v>
      </c>
      <c r="E4189" s="1" t="s">
        <v>8430</v>
      </c>
      <c r="F4189" s="1" t="s">
        <v>13</v>
      </c>
    </row>
    <row r="4190" spans="1:6" ht="30" customHeight="1" x14ac:dyDescent="0.25">
      <c r="A4190" s="1" t="s">
        <v>8431</v>
      </c>
      <c r="B4190" s="1" t="str">
        <f>"9780313359705"</f>
        <v>9780313359705</v>
      </c>
      <c r="C4190" s="1" t="s">
        <v>7550</v>
      </c>
      <c r="D4190" s="2">
        <v>40277</v>
      </c>
      <c r="E4190" s="1" t="s">
        <v>8432</v>
      </c>
      <c r="F4190" s="1" t="s">
        <v>13</v>
      </c>
    </row>
    <row r="4191" spans="1:6" ht="30" customHeight="1" x14ac:dyDescent="0.25">
      <c r="A4191" s="1" t="s">
        <v>8433</v>
      </c>
      <c r="B4191" s="1" t="str">
        <f>"9780313374555"</f>
        <v>9780313374555</v>
      </c>
      <c r="C4191" s="1" t="s">
        <v>7550</v>
      </c>
      <c r="D4191" s="2">
        <v>40500</v>
      </c>
      <c r="E4191" s="1" t="s">
        <v>8434</v>
      </c>
      <c r="F4191" s="1" t="s">
        <v>13</v>
      </c>
    </row>
    <row r="4192" spans="1:6" ht="30" customHeight="1" x14ac:dyDescent="0.25">
      <c r="A4192" s="1" t="s">
        <v>8435</v>
      </c>
      <c r="B4192" s="1" t="str">
        <f>"9780313381683"</f>
        <v>9780313381683</v>
      </c>
      <c r="C4192" s="1" t="s">
        <v>7550</v>
      </c>
      <c r="D4192" s="2">
        <v>40500</v>
      </c>
      <c r="E4192" s="1" t="s">
        <v>8436</v>
      </c>
      <c r="F4192" s="1" t="s">
        <v>541</v>
      </c>
    </row>
    <row r="4193" spans="1:6" ht="30" customHeight="1" x14ac:dyDescent="0.25">
      <c r="A4193" s="1" t="s">
        <v>8437</v>
      </c>
      <c r="B4193" s="1" t="str">
        <f>"9780313356339"</f>
        <v>9780313356339</v>
      </c>
      <c r="C4193" s="1" t="s">
        <v>7550</v>
      </c>
      <c r="D4193" s="2">
        <v>40472</v>
      </c>
      <c r="E4193" s="1" t="s">
        <v>8438</v>
      </c>
      <c r="F4193" s="1" t="s">
        <v>13</v>
      </c>
    </row>
    <row r="4194" spans="1:6" ht="30" customHeight="1" x14ac:dyDescent="0.25">
      <c r="A4194" s="1" t="s">
        <v>8439</v>
      </c>
      <c r="B4194" s="1" t="str">
        <f>"9781400830459"</f>
        <v>9781400830459</v>
      </c>
      <c r="C4194" s="1" t="s">
        <v>6462</v>
      </c>
      <c r="D4194" s="2">
        <v>39895</v>
      </c>
      <c r="E4194" s="1" t="s">
        <v>8440</v>
      </c>
      <c r="F4194" s="1" t="s">
        <v>30</v>
      </c>
    </row>
    <row r="4195" spans="1:6" ht="30" customHeight="1" x14ac:dyDescent="0.25">
      <c r="A4195" s="1" t="s">
        <v>8441</v>
      </c>
      <c r="B4195" s="1" t="str">
        <f>"9781400836659"</f>
        <v>9781400836659</v>
      </c>
      <c r="C4195" s="1" t="s">
        <v>6462</v>
      </c>
      <c r="D4195" s="2">
        <v>40469</v>
      </c>
      <c r="E4195" s="1" t="s">
        <v>8442</v>
      </c>
      <c r="F4195" s="1" t="s">
        <v>95</v>
      </c>
    </row>
    <row r="4196" spans="1:6" ht="30" customHeight="1" x14ac:dyDescent="0.25">
      <c r="A4196" s="1" t="s">
        <v>8443</v>
      </c>
      <c r="B4196" s="1" t="str">
        <f>"9781400821686"</f>
        <v>9781400821686</v>
      </c>
      <c r="C4196" s="1" t="s">
        <v>6462</v>
      </c>
      <c r="D4196" s="2">
        <v>36010</v>
      </c>
      <c r="E4196" s="1" t="s">
        <v>8444</v>
      </c>
      <c r="F4196" s="1" t="s">
        <v>104</v>
      </c>
    </row>
    <row r="4197" spans="1:6" ht="30" customHeight="1" x14ac:dyDescent="0.25">
      <c r="A4197" s="1" t="s">
        <v>8445</v>
      </c>
      <c r="B4197" s="1" t="str">
        <f>"9781400821891"</f>
        <v>9781400821891</v>
      </c>
      <c r="C4197" s="1" t="s">
        <v>6462</v>
      </c>
      <c r="D4197" s="2">
        <v>35779</v>
      </c>
      <c r="E4197" s="1" t="s">
        <v>8446</v>
      </c>
      <c r="F4197" s="1" t="s">
        <v>13</v>
      </c>
    </row>
    <row r="4198" spans="1:6" ht="30" customHeight="1" x14ac:dyDescent="0.25">
      <c r="A4198" s="1" t="s">
        <v>8447</v>
      </c>
      <c r="B4198" s="1" t="str">
        <f>"9781400821938"</f>
        <v>9781400821938</v>
      </c>
      <c r="C4198" s="1" t="s">
        <v>6462</v>
      </c>
      <c r="D4198" s="2">
        <v>35730</v>
      </c>
      <c r="E4198" s="1" t="s">
        <v>8448</v>
      </c>
      <c r="F4198" s="1" t="s">
        <v>13</v>
      </c>
    </row>
    <row r="4199" spans="1:6" ht="30" customHeight="1" x14ac:dyDescent="0.25">
      <c r="A4199" s="1" t="s">
        <v>8449</v>
      </c>
      <c r="B4199" s="1" t="str">
        <f>"9781400822676"</f>
        <v>9781400822676</v>
      </c>
      <c r="C4199" s="1" t="s">
        <v>6462</v>
      </c>
      <c r="D4199" s="2">
        <v>36101</v>
      </c>
      <c r="E4199" s="1" t="s">
        <v>8450</v>
      </c>
      <c r="F4199" s="1" t="s">
        <v>21</v>
      </c>
    </row>
    <row r="4200" spans="1:6" ht="30" customHeight="1" x14ac:dyDescent="0.25">
      <c r="A4200" s="1" t="s">
        <v>8451</v>
      </c>
      <c r="B4200" s="1" t="str">
        <f>"9781400824687"</f>
        <v>9781400824687</v>
      </c>
      <c r="C4200" s="1" t="s">
        <v>6462</v>
      </c>
      <c r="D4200" s="2">
        <v>39823</v>
      </c>
      <c r="E4200" s="1" t="s">
        <v>8452</v>
      </c>
      <c r="F4200" s="1" t="s">
        <v>2256</v>
      </c>
    </row>
    <row r="4201" spans="1:6" ht="30" customHeight="1" x14ac:dyDescent="0.25">
      <c r="A4201" s="1" t="s">
        <v>8453</v>
      </c>
      <c r="B4201" s="1" t="str">
        <f>"9780875866550"</f>
        <v>9780875866550</v>
      </c>
      <c r="C4201" s="1" t="s">
        <v>3733</v>
      </c>
      <c r="D4201" s="2">
        <v>40179</v>
      </c>
      <c r="E4201" s="1" t="s">
        <v>8454</v>
      </c>
      <c r="F4201" s="1" t="s">
        <v>13</v>
      </c>
    </row>
    <row r="4202" spans="1:6" ht="30" customHeight="1" x14ac:dyDescent="0.25">
      <c r="A4202" s="1" t="s">
        <v>8455</v>
      </c>
      <c r="B4202" s="1" t="str">
        <f>"9781608070954"</f>
        <v>9781608070954</v>
      </c>
      <c r="C4202" s="1" t="s">
        <v>4200</v>
      </c>
      <c r="D4202" s="2">
        <v>40483</v>
      </c>
      <c r="E4202" s="1" t="s">
        <v>8456</v>
      </c>
      <c r="F4202" s="1" t="s">
        <v>13</v>
      </c>
    </row>
    <row r="4203" spans="1:6" ht="30" customHeight="1" x14ac:dyDescent="0.25">
      <c r="A4203" s="1" t="s">
        <v>8457</v>
      </c>
      <c r="B4203" s="1" t="str">
        <f>"9781897425183"</f>
        <v>9781897425183</v>
      </c>
      <c r="C4203" s="1" t="s">
        <v>8458</v>
      </c>
      <c r="D4203" s="2">
        <v>39722</v>
      </c>
      <c r="E4203" s="1" t="s">
        <v>8459</v>
      </c>
      <c r="F4203" s="1" t="s">
        <v>13</v>
      </c>
    </row>
    <row r="4204" spans="1:6" ht="30" customHeight="1" x14ac:dyDescent="0.25">
      <c r="A4204" s="1" t="s">
        <v>8460</v>
      </c>
      <c r="B4204" s="1" t="str">
        <f>"9781845937157"</f>
        <v>9781845937157</v>
      </c>
      <c r="C4204" s="1" t="s">
        <v>2321</v>
      </c>
      <c r="D4204" s="2">
        <v>40179</v>
      </c>
      <c r="E4204" s="1" t="s">
        <v>8461</v>
      </c>
      <c r="F4204" s="1" t="s">
        <v>95</v>
      </c>
    </row>
    <row r="4205" spans="1:6" ht="30" customHeight="1" x14ac:dyDescent="0.25">
      <c r="A4205" s="1" t="s">
        <v>8462</v>
      </c>
      <c r="B4205" s="1" t="str">
        <f>"9781845937195"</f>
        <v>9781845937195</v>
      </c>
      <c r="C4205" s="1" t="s">
        <v>2321</v>
      </c>
      <c r="D4205" s="2">
        <v>40179</v>
      </c>
      <c r="E4205" s="1" t="s">
        <v>8463</v>
      </c>
      <c r="F4205" s="1" t="s">
        <v>33</v>
      </c>
    </row>
    <row r="4206" spans="1:6" ht="30" customHeight="1" x14ac:dyDescent="0.25">
      <c r="A4206" s="1" t="s">
        <v>8464</v>
      </c>
      <c r="B4206" s="1" t="str">
        <f>"9781845936945"</f>
        <v>9781845936945</v>
      </c>
      <c r="C4206" s="1" t="s">
        <v>2321</v>
      </c>
      <c r="D4206" s="2">
        <v>40179</v>
      </c>
      <c r="E4206" s="1" t="s">
        <v>8465</v>
      </c>
      <c r="F4206" s="1" t="s">
        <v>268</v>
      </c>
    </row>
    <row r="4207" spans="1:6" ht="30" customHeight="1" x14ac:dyDescent="0.25">
      <c r="A4207" s="1" t="s">
        <v>8466</v>
      </c>
      <c r="B4207" s="1" t="str">
        <f>"9789350440957"</f>
        <v>9789350440957</v>
      </c>
      <c r="C4207" s="1" t="s">
        <v>8250</v>
      </c>
      <c r="D4207" s="2">
        <v>38718</v>
      </c>
      <c r="E4207" s="1" t="s">
        <v>8467</v>
      </c>
      <c r="F4207" s="1" t="s">
        <v>13</v>
      </c>
    </row>
    <row r="4208" spans="1:6" ht="30" customHeight="1" x14ac:dyDescent="0.25">
      <c r="A4208" s="1" t="s">
        <v>8468</v>
      </c>
      <c r="B4208" s="1" t="str">
        <f>"9789350441107"</f>
        <v>9789350441107</v>
      </c>
      <c r="C4208" s="1" t="s">
        <v>8250</v>
      </c>
      <c r="D4208" s="2">
        <v>39448</v>
      </c>
      <c r="E4208" s="1" t="s">
        <v>8467</v>
      </c>
      <c r="F4208" s="1" t="s">
        <v>13</v>
      </c>
    </row>
    <row r="4209" spans="1:6" ht="30" customHeight="1" x14ac:dyDescent="0.25">
      <c r="A4209" s="1" t="s">
        <v>8469</v>
      </c>
      <c r="B4209" s="1" t="str">
        <f>"9780833050038"</f>
        <v>9780833050038</v>
      </c>
      <c r="C4209" s="1" t="s">
        <v>516</v>
      </c>
      <c r="D4209" s="2">
        <v>40331</v>
      </c>
      <c r="E4209" s="1" t="s">
        <v>8056</v>
      </c>
      <c r="F4209" s="1" t="s">
        <v>30</v>
      </c>
    </row>
    <row r="4210" spans="1:6" ht="30" customHeight="1" x14ac:dyDescent="0.25">
      <c r="A4210" s="1" t="s">
        <v>8470</v>
      </c>
      <c r="B4210" s="1" t="str">
        <f>"9781861897329"</f>
        <v>9781861897329</v>
      </c>
      <c r="C4210" s="1" t="s">
        <v>8471</v>
      </c>
      <c r="D4210" s="2">
        <v>40940</v>
      </c>
      <c r="E4210" s="1" t="s">
        <v>8472</v>
      </c>
      <c r="F4210" s="1" t="s">
        <v>1338</v>
      </c>
    </row>
    <row r="4211" spans="1:6" ht="30" customHeight="1" x14ac:dyDescent="0.25">
      <c r="A4211" s="1" t="s">
        <v>8473</v>
      </c>
      <c r="B4211" s="1" t="str">
        <f>"9781604736038"</f>
        <v>9781604736038</v>
      </c>
      <c r="C4211" s="1" t="s">
        <v>7711</v>
      </c>
      <c r="D4211" s="2">
        <v>38323</v>
      </c>
      <c r="E4211" s="1" t="s">
        <v>8474</v>
      </c>
      <c r="F4211" s="1" t="s">
        <v>95</v>
      </c>
    </row>
    <row r="4212" spans="1:6" ht="30" customHeight="1" x14ac:dyDescent="0.25">
      <c r="A4212" s="1" t="s">
        <v>8475</v>
      </c>
      <c r="B4212" s="1" t="str">
        <f>"9781848135192"</f>
        <v>9781848135192</v>
      </c>
      <c r="C4212" s="1" t="s">
        <v>8476</v>
      </c>
      <c r="D4212" s="2">
        <v>41368</v>
      </c>
      <c r="E4212" s="1" t="s">
        <v>8477</v>
      </c>
      <c r="F4212" s="1" t="s">
        <v>4861</v>
      </c>
    </row>
    <row r="4213" spans="1:6" ht="30" customHeight="1" x14ac:dyDescent="0.25">
      <c r="A4213" s="1" t="s">
        <v>8478</v>
      </c>
      <c r="B4213" s="1" t="str">
        <f>"9789027293473"</f>
        <v>9789027293473</v>
      </c>
      <c r="C4213" s="1" t="s">
        <v>8479</v>
      </c>
      <c r="D4213" s="2">
        <v>38917</v>
      </c>
      <c r="E4213" s="1" t="s">
        <v>8480</v>
      </c>
      <c r="F4213" s="1" t="s">
        <v>158</v>
      </c>
    </row>
    <row r="4214" spans="1:6" ht="30" customHeight="1" x14ac:dyDescent="0.25">
      <c r="A4214" s="1" t="s">
        <v>8481</v>
      </c>
      <c r="B4214" s="1" t="str">
        <f>"9789027295866"</f>
        <v>9789027295866</v>
      </c>
      <c r="C4214" s="1" t="s">
        <v>8479</v>
      </c>
      <c r="D4214" s="2">
        <v>38008</v>
      </c>
      <c r="E4214" s="1" t="s">
        <v>8482</v>
      </c>
      <c r="F4214" s="1" t="s">
        <v>13</v>
      </c>
    </row>
    <row r="4215" spans="1:6" ht="30" customHeight="1" x14ac:dyDescent="0.25">
      <c r="A4215" s="1" t="s">
        <v>8483</v>
      </c>
      <c r="B4215" s="1" t="str">
        <f>"9789027299918"</f>
        <v>9789027299918</v>
      </c>
      <c r="C4215" s="1" t="s">
        <v>8479</v>
      </c>
      <c r="D4215" s="2">
        <v>36814</v>
      </c>
      <c r="E4215" s="1" t="s">
        <v>8484</v>
      </c>
      <c r="F4215" s="1" t="s">
        <v>13</v>
      </c>
    </row>
    <row r="4216" spans="1:6" ht="30" customHeight="1" x14ac:dyDescent="0.25">
      <c r="A4216" s="1" t="s">
        <v>8485</v>
      </c>
      <c r="B4216" s="1" t="str">
        <f>"9789027292728"</f>
        <v>9789027292728</v>
      </c>
      <c r="C4216" s="1" t="s">
        <v>8479</v>
      </c>
      <c r="D4216" s="2">
        <v>39178</v>
      </c>
      <c r="E4216" s="1" t="s">
        <v>8486</v>
      </c>
      <c r="F4216" s="1" t="s">
        <v>158</v>
      </c>
    </row>
    <row r="4217" spans="1:6" ht="30" customHeight="1" x14ac:dyDescent="0.25">
      <c r="A4217" s="1" t="s">
        <v>8487</v>
      </c>
      <c r="B4217" s="1" t="str">
        <f>"9789027292759"</f>
        <v>9789027292759</v>
      </c>
      <c r="C4217" s="1" t="s">
        <v>8479</v>
      </c>
      <c r="D4217" s="2">
        <v>39191</v>
      </c>
      <c r="E4217" s="1" t="s">
        <v>8488</v>
      </c>
      <c r="F4217" s="1" t="s">
        <v>751</v>
      </c>
    </row>
    <row r="4218" spans="1:6" ht="30" customHeight="1" x14ac:dyDescent="0.25">
      <c r="A4218" s="1" t="s">
        <v>8489</v>
      </c>
      <c r="B4218" s="1" t="str">
        <f>"9789027297259"</f>
        <v>9789027297259</v>
      </c>
      <c r="C4218" s="1" t="s">
        <v>8479</v>
      </c>
      <c r="D4218" s="2">
        <v>36661</v>
      </c>
      <c r="E4218" s="1" t="s">
        <v>8490</v>
      </c>
      <c r="F4218" s="1" t="s">
        <v>13</v>
      </c>
    </row>
    <row r="4219" spans="1:6" ht="30" customHeight="1" x14ac:dyDescent="0.25">
      <c r="A4219" s="1" t="s">
        <v>8491</v>
      </c>
      <c r="B4219" s="1" t="str">
        <f>"9789027295514"</f>
        <v>9789027295514</v>
      </c>
      <c r="C4219" s="1" t="s">
        <v>8479</v>
      </c>
      <c r="D4219" s="2">
        <v>38160</v>
      </c>
      <c r="E4219" s="1" t="s">
        <v>8492</v>
      </c>
      <c r="F4219" s="1" t="s">
        <v>13</v>
      </c>
    </row>
    <row r="4220" spans="1:6" ht="30" customHeight="1" x14ac:dyDescent="0.25">
      <c r="A4220" s="1" t="s">
        <v>8493</v>
      </c>
      <c r="B4220" s="1" t="str">
        <f>"9781596934238"</f>
        <v>9781596934238</v>
      </c>
      <c r="C4220" s="1" t="s">
        <v>4200</v>
      </c>
      <c r="D4220" s="2">
        <v>40513</v>
      </c>
      <c r="E4220" s="1" t="s">
        <v>8494</v>
      </c>
      <c r="F4220" s="1" t="s">
        <v>13</v>
      </c>
    </row>
    <row r="4221" spans="1:6" ht="30" customHeight="1" x14ac:dyDescent="0.25">
      <c r="A4221" s="1" t="s">
        <v>8495</v>
      </c>
      <c r="B4221" s="1" t="str">
        <f>"9781607839989"</f>
        <v>9781607839989</v>
      </c>
      <c r="C4221" s="1" t="s">
        <v>4200</v>
      </c>
      <c r="D4221" s="2">
        <v>40513</v>
      </c>
      <c r="E4221" s="1" t="s">
        <v>8496</v>
      </c>
      <c r="F4221" s="1" t="s">
        <v>13</v>
      </c>
    </row>
    <row r="4222" spans="1:6" ht="30" customHeight="1" x14ac:dyDescent="0.25">
      <c r="A4222" s="1" t="s">
        <v>8497</v>
      </c>
      <c r="B4222" s="1" t="str">
        <f>"9780253004864"</f>
        <v>9780253004864</v>
      </c>
      <c r="C4222" s="1" t="s">
        <v>19</v>
      </c>
      <c r="D4222" s="2">
        <v>40508</v>
      </c>
      <c r="E4222" s="1" t="s">
        <v>8498</v>
      </c>
      <c r="F4222" s="1" t="s">
        <v>8309</v>
      </c>
    </row>
    <row r="4223" spans="1:6" ht="30" customHeight="1" x14ac:dyDescent="0.25">
      <c r="A4223" s="1" t="s">
        <v>8499</v>
      </c>
      <c r="B4223" s="1" t="str">
        <f>"9780470890165"</f>
        <v>9780470890165</v>
      </c>
      <c r="C4223" s="1" t="s">
        <v>65</v>
      </c>
      <c r="D4223" s="2">
        <v>40486</v>
      </c>
      <c r="E4223" s="1" t="s">
        <v>8500</v>
      </c>
      <c r="F4223" s="1" t="s">
        <v>95</v>
      </c>
    </row>
    <row r="4224" spans="1:6" ht="30" customHeight="1" x14ac:dyDescent="0.25">
      <c r="A4224" s="1" t="s">
        <v>8501</v>
      </c>
      <c r="B4224" s="1" t="str">
        <f>"9780470572740"</f>
        <v>9780470572740</v>
      </c>
      <c r="C4224" s="1" t="s">
        <v>65</v>
      </c>
      <c r="D4224" s="2">
        <v>40450</v>
      </c>
      <c r="E4224" s="1" t="s">
        <v>8502</v>
      </c>
      <c r="F4224" s="1" t="s">
        <v>268</v>
      </c>
    </row>
    <row r="4225" spans="1:6" ht="30" customHeight="1" x14ac:dyDescent="0.25">
      <c r="A4225" s="1" t="s">
        <v>8503</v>
      </c>
      <c r="B4225" s="1" t="str">
        <f>"9781444329698"</f>
        <v>9781444329698</v>
      </c>
      <c r="C4225" s="1" t="s">
        <v>11</v>
      </c>
      <c r="D4225" s="2">
        <v>40437</v>
      </c>
      <c r="E4225" s="1" t="s">
        <v>8504</v>
      </c>
      <c r="F4225" s="1" t="s">
        <v>95</v>
      </c>
    </row>
    <row r="4226" spans="1:6" ht="30" customHeight="1" x14ac:dyDescent="0.25">
      <c r="A4226" s="1" t="s">
        <v>8505</v>
      </c>
      <c r="B4226" s="1" t="str">
        <f>"9781444329728"</f>
        <v>9781444329728</v>
      </c>
      <c r="C4226" s="1" t="s">
        <v>11</v>
      </c>
      <c r="D4226" s="2">
        <v>40437</v>
      </c>
      <c r="E4226" s="1" t="s">
        <v>8506</v>
      </c>
      <c r="F4226" s="1" t="s">
        <v>13</v>
      </c>
    </row>
    <row r="4227" spans="1:6" ht="30" customHeight="1" x14ac:dyDescent="0.25">
      <c r="A4227" s="1" t="s">
        <v>8507</v>
      </c>
      <c r="B4227" s="1" t="str">
        <f>"9780470970324"</f>
        <v>9780470970324</v>
      </c>
      <c r="C4227" s="1" t="s">
        <v>65</v>
      </c>
      <c r="D4227" s="2">
        <v>40477</v>
      </c>
      <c r="E4227" s="1" t="s">
        <v>8508</v>
      </c>
      <c r="F4227" s="1" t="s">
        <v>13</v>
      </c>
    </row>
    <row r="4228" spans="1:6" ht="30" customHeight="1" x14ac:dyDescent="0.25">
      <c r="A4228" s="1" t="s">
        <v>8509</v>
      </c>
      <c r="B4228" s="1" t="str">
        <f>"9781444328349"</f>
        <v>9781444328349</v>
      </c>
      <c r="C4228" s="1" t="s">
        <v>65</v>
      </c>
      <c r="D4228" s="2">
        <v>40450</v>
      </c>
      <c r="E4228" s="1" t="s">
        <v>8510</v>
      </c>
      <c r="F4228" s="1" t="s">
        <v>13</v>
      </c>
    </row>
    <row r="4229" spans="1:6" ht="30" customHeight="1" x14ac:dyDescent="0.25">
      <c r="A4229" s="1" t="s">
        <v>8511</v>
      </c>
      <c r="B4229" s="1" t="str">
        <f>"9780470973141"</f>
        <v>9780470973141</v>
      </c>
      <c r="C4229" s="1" t="s">
        <v>11</v>
      </c>
      <c r="D4229" s="2">
        <v>40445</v>
      </c>
      <c r="E4229" s="1" t="s">
        <v>8512</v>
      </c>
      <c r="F4229" s="1" t="s">
        <v>13</v>
      </c>
    </row>
    <row r="4230" spans="1:6" ht="30" customHeight="1" x14ac:dyDescent="0.25">
      <c r="A4230" s="1" t="s">
        <v>8513</v>
      </c>
      <c r="B4230" s="1" t="str">
        <f>"9780470973127"</f>
        <v>9780470973127</v>
      </c>
      <c r="C4230" s="1" t="s">
        <v>65</v>
      </c>
      <c r="D4230" s="2">
        <v>40477</v>
      </c>
      <c r="E4230" s="1" t="s">
        <v>8514</v>
      </c>
      <c r="F4230" s="1" t="s">
        <v>13</v>
      </c>
    </row>
    <row r="4231" spans="1:6" ht="30" customHeight="1" x14ac:dyDescent="0.25">
      <c r="A4231" s="1" t="s">
        <v>8515</v>
      </c>
      <c r="B4231" s="1" t="str">
        <f>"9781444329315"</f>
        <v>9781444329315</v>
      </c>
      <c r="C4231" s="1" t="s">
        <v>11</v>
      </c>
      <c r="D4231" s="2">
        <v>40477</v>
      </c>
      <c r="E4231" s="1" t="s">
        <v>8516</v>
      </c>
      <c r="F4231" s="1" t="s">
        <v>13</v>
      </c>
    </row>
    <row r="4232" spans="1:6" ht="30" customHeight="1" x14ac:dyDescent="0.25">
      <c r="A4232" s="1" t="s">
        <v>8517</v>
      </c>
      <c r="B4232" s="1" t="str">
        <f>"9781444325010"</f>
        <v>9781444325010</v>
      </c>
      <c r="C4232" s="1" t="s">
        <v>65</v>
      </c>
      <c r="D4232" s="2">
        <v>40463</v>
      </c>
      <c r="E4232" s="1" t="s">
        <v>8518</v>
      </c>
      <c r="F4232" s="1" t="s">
        <v>13</v>
      </c>
    </row>
    <row r="4233" spans="1:6" ht="30" customHeight="1" x14ac:dyDescent="0.25">
      <c r="A4233" s="1" t="s">
        <v>8519</v>
      </c>
      <c r="B4233" s="1" t="str">
        <f>"9781444392845"</f>
        <v>9781444392845</v>
      </c>
      <c r="C4233" s="1" t="s">
        <v>65</v>
      </c>
      <c r="D4233" s="2">
        <v>40437</v>
      </c>
      <c r="E4233" s="1" t="s">
        <v>8520</v>
      </c>
      <c r="F4233" s="1" t="s">
        <v>13</v>
      </c>
    </row>
    <row r="4234" spans="1:6" ht="30" customHeight="1" x14ac:dyDescent="0.25">
      <c r="A4234" s="1" t="s">
        <v>6625</v>
      </c>
      <c r="B4234" s="1" t="str">
        <f>"9781444325294"</f>
        <v>9781444325294</v>
      </c>
      <c r="C4234" s="1" t="s">
        <v>65</v>
      </c>
      <c r="D4234" s="2">
        <v>40486</v>
      </c>
      <c r="E4234" s="1" t="s">
        <v>6626</v>
      </c>
      <c r="F4234" s="1" t="s">
        <v>13</v>
      </c>
    </row>
    <row r="4235" spans="1:6" ht="30" customHeight="1" x14ac:dyDescent="0.25">
      <c r="A4235" s="1" t="s">
        <v>8521</v>
      </c>
      <c r="B4235" s="1" t="str">
        <f>"9781444329216"</f>
        <v>9781444329216</v>
      </c>
      <c r="C4235" s="1" t="s">
        <v>11</v>
      </c>
      <c r="D4235" s="2">
        <v>40463</v>
      </c>
      <c r="E4235" s="1" t="s">
        <v>8522</v>
      </c>
      <c r="F4235" s="1" t="s">
        <v>200</v>
      </c>
    </row>
    <row r="4236" spans="1:6" ht="30" customHeight="1" x14ac:dyDescent="0.25">
      <c r="A4236" s="1" t="s">
        <v>8523</v>
      </c>
      <c r="B4236" s="1" t="str">
        <f>"9780470669808"</f>
        <v>9780470669808</v>
      </c>
      <c r="C4236" s="1" t="s">
        <v>65</v>
      </c>
      <c r="D4236" s="2">
        <v>40445</v>
      </c>
      <c r="E4236" s="1" t="s">
        <v>8524</v>
      </c>
      <c r="F4236" s="1" t="s">
        <v>13</v>
      </c>
    </row>
    <row r="4237" spans="1:6" ht="30" customHeight="1" x14ac:dyDescent="0.25">
      <c r="A4237" s="1" t="s">
        <v>8525</v>
      </c>
      <c r="B4237" s="1" t="str">
        <f>"9780826118134"</f>
        <v>9780826118134</v>
      </c>
      <c r="C4237" s="1" t="s">
        <v>2339</v>
      </c>
      <c r="D4237" s="2">
        <v>40500</v>
      </c>
      <c r="E4237" s="1" t="s">
        <v>8526</v>
      </c>
      <c r="F4237" s="1" t="s">
        <v>126</v>
      </c>
    </row>
    <row r="4238" spans="1:6" ht="30" customHeight="1" x14ac:dyDescent="0.25">
      <c r="A4238" s="1" t="s">
        <v>8527</v>
      </c>
      <c r="B4238" s="1" t="str">
        <f>"9780226058504"</f>
        <v>9780226058504</v>
      </c>
      <c r="C4238" s="1" t="s">
        <v>5093</v>
      </c>
      <c r="D4238" s="2">
        <v>40497</v>
      </c>
      <c r="E4238" s="1" t="s">
        <v>8528</v>
      </c>
      <c r="F4238" s="1" t="s">
        <v>87</v>
      </c>
    </row>
    <row r="4239" spans="1:6" ht="30" customHeight="1" x14ac:dyDescent="0.25">
      <c r="A4239" s="1" t="s">
        <v>8529</v>
      </c>
      <c r="B4239" s="1" t="str">
        <f>"9780080922010"</f>
        <v>9780080922010</v>
      </c>
      <c r="C4239" s="1" t="s">
        <v>900</v>
      </c>
      <c r="D4239" s="2">
        <v>40224</v>
      </c>
      <c r="E4239" s="1" t="s">
        <v>8530</v>
      </c>
      <c r="F4239" s="1" t="s">
        <v>70</v>
      </c>
    </row>
    <row r="4240" spans="1:6" ht="30" customHeight="1" x14ac:dyDescent="0.25">
      <c r="A4240" s="1" t="s">
        <v>8531</v>
      </c>
      <c r="B4240" s="1" t="str">
        <f>"9780080922096"</f>
        <v>9780080922096</v>
      </c>
      <c r="C4240" s="1" t="s">
        <v>900</v>
      </c>
      <c r="D4240" s="2">
        <v>40354</v>
      </c>
      <c r="E4240" s="1" t="s">
        <v>8532</v>
      </c>
      <c r="F4240" s="1" t="s">
        <v>33</v>
      </c>
    </row>
    <row r="4241" spans="1:6" ht="30" customHeight="1" x14ac:dyDescent="0.25">
      <c r="A4241" s="1" t="s">
        <v>8533</v>
      </c>
      <c r="B4241" s="1" t="str">
        <f>"9780080961729"</f>
        <v>9780080961729</v>
      </c>
      <c r="C4241" s="1" t="s">
        <v>900</v>
      </c>
      <c r="D4241" s="2">
        <v>40463</v>
      </c>
      <c r="E4241" s="1" t="s">
        <v>8534</v>
      </c>
      <c r="F4241" s="1" t="s">
        <v>13</v>
      </c>
    </row>
    <row r="4242" spans="1:6" ht="30" customHeight="1" x14ac:dyDescent="0.25">
      <c r="A4242" s="1" t="s">
        <v>8535</v>
      </c>
      <c r="B4242" s="1" t="str">
        <f>"9780520948235"</f>
        <v>9780520948235</v>
      </c>
      <c r="C4242" s="1" t="s">
        <v>818</v>
      </c>
      <c r="D4242" s="2">
        <v>40514</v>
      </c>
      <c r="E4242" s="1" t="s">
        <v>8536</v>
      </c>
      <c r="F4242" s="1" t="s">
        <v>30</v>
      </c>
    </row>
    <row r="4243" spans="1:6" ht="30" customHeight="1" x14ac:dyDescent="0.25">
      <c r="A4243" s="1" t="s">
        <v>8537</v>
      </c>
      <c r="B4243" s="1" t="str">
        <f>"9788776842628"</f>
        <v>9788776842628</v>
      </c>
      <c r="C4243" s="1" t="s">
        <v>8538</v>
      </c>
      <c r="D4243" s="2">
        <v>38353</v>
      </c>
      <c r="E4243" s="1" t="s">
        <v>8539</v>
      </c>
      <c r="F4243" s="1" t="s">
        <v>95</v>
      </c>
    </row>
    <row r="4244" spans="1:6" ht="30" customHeight="1" x14ac:dyDescent="0.25">
      <c r="A4244" s="1" t="s">
        <v>8540</v>
      </c>
      <c r="B4244" s="1" t="str">
        <f>"9789240685765"</f>
        <v>9789240685765</v>
      </c>
      <c r="C4244" s="1" t="s">
        <v>1981</v>
      </c>
      <c r="D4244" s="2">
        <v>40179</v>
      </c>
      <c r="E4244" s="1" t="s">
        <v>1981</v>
      </c>
      <c r="F4244" s="1" t="s">
        <v>95</v>
      </c>
    </row>
    <row r="4245" spans="1:6" ht="30" customHeight="1" x14ac:dyDescent="0.25">
      <c r="A4245" s="1" t="s">
        <v>8541</v>
      </c>
      <c r="B4245" s="1" t="str">
        <f>"9789240685789"</f>
        <v>9789240685789</v>
      </c>
      <c r="C4245" s="1" t="s">
        <v>1981</v>
      </c>
      <c r="D4245" s="2">
        <v>40179</v>
      </c>
      <c r="E4245" s="1" t="s">
        <v>1981</v>
      </c>
      <c r="F4245" s="1" t="s">
        <v>95</v>
      </c>
    </row>
    <row r="4246" spans="1:6" ht="30" customHeight="1" x14ac:dyDescent="0.25">
      <c r="A4246" s="1" t="s">
        <v>8542</v>
      </c>
      <c r="B4246" s="1" t="str">
        <f>"9789290614692"</f>
        <v>9789290614692</v>
      </c>
      <c r="C4246" s="1" t="s">
        <v>1981</v>
      </c>
      <c r="D4246" s="2">
        <v>40179</v>
      </c>
      <c r="E4246" s="1" t="s">
        <v>6342</v>
      </c>
      <c r="F4246" s="1" t="s">
        <v>13</v>
      </c>
    </row>
    <row r="4247" spans="1:6" ht="30" customHeight="1" x14ac:dyDescent="0.25">
      <c r="A4247" s="1" t="s">
        <v>8543</v>
      </c>
      <c r="B4247" s="1" t="str">
        <f>"9789289014205"</f>
        <v>9789289014205</v>
      </c>
      <c r="C4247" s="1" t="s">
        <v>1981</v>
      </c>
      <c r="D4247" s="2">
        <v>40179</v>
      </c>
      <c r="E4247" s="1" t="s">
        <v>4887</v>
      </c>
      <c r="F4247" s="1" t="s">
        <v>356</v>
      </c>
    </row>
    <row r="4248" spans="1:6" ht="30" customHeight="1" x14ac:dyDescent="0.25">
      <c r="A4248" s="1" t="s">
        <v>8544</v>
      </c>
      <c r="B4248" s="1" t="str">
        <f>"9789290614975"</f>
        <v>9789290614975</v>
      </c>
      <c r="C4248" s="1" t="s">
        <v>1981</v>
      </c>
      <c r="D4248" s="2">
        <v>39845</v>
      </c>
      <c r="E4248" s="1" t="s">
        <v>6342</v>
      </c>
      <c r="F4248" s="1" t="s">
        <v>1010</v>
      </c>
    </row>
    <row r="4249" spans="1:6" ht="30" customHeight="1" x14ac:dyDescent="0.25">
      <c r="A4249" s="1" t="s">
        <v>8545</v>
      </c>
      <c r="B4249" s="1" t="str">
        <f>"9781617050039"</f>
        <v>9781617050039</v>
      </c>
      <c r="C4249" s="1" t="s">
        <v>2342</v>
      </c>
      <c r="D4249" s="2">
        <v>40421</v>
      </c>
      <c r="E4249" s="1" t="s">
        <v>8546</v>
      </c>
      <c r="F4249" s="1" t="s">
        <v>13</v>
      </c>
    </row>
    <row r="4250" spans="1:6" ht="30" customHeight="1" x14ac:dyDescent="0.25">
      <c r="A4250" s="1" t="s">
        <v>8547</v>
      </c>
      <c r="B4250" s="1" t="str">
        <f>"9781590771877"</f>
        <v>9781590771877</v>
      </c>
      <c r="C4250" s="1" t="s">
        <v>8548</v>
      </c>
      <c r="D4250" s="2">
        <v>40498</v>
      </c>
      <c r="E4250" s="1" t="s">
        <v>8549</v>
      </c>
      <c r="F4250" s="1" t="s">
        <v>13</v>
      </c>
    </row>
    <row r="4251" spans="1:6" ht="30" customHeight="1" x14ac:dyDescent="0.25">
      <c r="A4251" s="1" t="s">
        <v>8550</v>
      </c>
      <c r="B4251" s="1" t="str">
        <f>"9780765707956"</f>
        <v>9780765707956</v>
      </c>
      <c r="C4251" s="1" t="s">
        <v>6903</v>
      </c>
      <c r="D4251" s="2">
        <v>40508</v>
      </c>
      <c r="E4251" s="1" t="s">
        <v>8551</v>
      </c>
      <c r="F4251" s="1" t="s">
        <v>13</v>
      </c>
    </row>
    <row r="4252" spans="1:6" ht="30" customHeight="1" x14ac:dyDescent="0.25">
      <c r="A4252" s="1" t="s">
        <v>8552</v>
      </c>
      <c r="B4252" s="1" t="str">
        <f>"9780982336151"</f>
        <v>9780982336151</v>
      </c>
      <c r="C4252" s="1" t="s">
        <v>8300</v>
      </c>
      <c r="D4252" s="2">
        <v>39995</v>
      </c>
      <c r="E4252" s="1" t="s">
        <v>8301</v>
      </c>
      <c r="F4252" s="1" t="s">
        <v>95</v>
      </c>
    </row>
    <row r="4253" spans="1:6" ht="30" customHeight="1" x14ac:dyDescent="0.25">
      <c r="A4253" s="1" t="s">
        <v>8553</v>
      </c>
      <c r="B4253" s="1" t="str">
        <f>"9789047441113"</f>
        <v>9789047441113</v>
      </c>
      <c r="C4253" s="1" t="s">
        <v>906</v>
      </c>
      <c r="D4253" s="2">
        <v>40080</v>
      </c>
      <c r="E4253" s="1" t="s">
        <v>8554</v>
      </c>
      <c r="F4253" s="1" t="s">
        <v>13</v>
      </c>
    </row>
    <row r="4254" spans="1:6" ht="30" customHeight="1" x14ac:dyDescent="0.25">
      <c r="A4254" s="1" t="s">
        <v>8555</v>
      </c>
      <c r="B4254" s="1" t="str">
        <f>"9789047429500"</f>
        <v>9789047429500</v>
      </c>
      <c r="C4254" s="1" t="s">
        <v>906</v>
      </c>
      <c r="D4254" s="2">
        <v>40118</v>
      </c>
      <c r="E4254" s="1" t="s">
        <v>8556</v>
      </c>
      <c r="F4254" s="1" t="s">
        <v>268</v>
      </c>
    </row>
    <row r="4255" spans="1:6" ht="30" customHeight="1" x14ac:dyDescent="0.25">
      <c r="A4255" s="1" t="s">
        <v>8557</v>
      </c>
      <c r="B4255" s="1" t="str">
        <f>"9789047425953"</f>
        <v>9789047425953</v>
      </c>
      <c r="C4255" s="1" t="s">
        <v>906</v>
      </c>
      <c r="D4255" s="2">
        <v>41773</v>
      </c>
      <c r="E4255" s="1" t="s">
        <v>8558</v>
      </c>
      <c r="F4255" s="1" t="s">
        <v>13</v>
      </c>
    </row>
    <row r="4256" spans="1:6" ht="30" customHeight="1" x14ac:dyDescent="0.25">
      <c r="A4256" s="1" t="s">
        <v>8559</v>
      </c>
      <c r="B4256" s="1" t="str">
        <f>"9789047441137"</f>
        <v>9789047441137</v>
      </c>
      <c r="C4256" s="1" t="s">
        <v>906</v>
      </c>
      <c r="D4256" s="2">
        <v>40085</v>
      </c>
      <c r="E4256" s="1" t="s">
        <v>8560</v>
      </c>
      <c r="F4256" s="1" t="s">
        <v>8561</v>
      </c>
    </row>
    <row r="4257" spans="1:6" ht="30" customHeight="1" x14ac:dyDescent="0.25">
      <c r="A4257" s="1" t="s">
        <v>8562</v>
      </c>
      <c r="B4257" s="1" t="str">
        <f>"9789047429654"</f>
        <v>9789047429654</v>
      </c>
      <c r="C4257" s="1" t="s">
        <v>906</v>
      </c>
      <c r="D4257" s="2">
        <v>40026</v>
      </c>
      <c r="E4257" s="1" t="s">
        <v>8563</v>
      </c>
      <c r="F4257" s="1" t="s">
        <v>87</v>
      </c>
    </row>
    <row r="4258" spans="1:6" ht="30" customHeight="1" x14ac:dyDescent="0.25">
      <c r="A4258" s="1" t="s">
        <v>8564</v>
      </c>
      <c r="B4258" s="1" t="str">
        <f>"9789004189737"</f>
        <v>9789004189737</v>
      </c>
      <c r="C4258" s="1" t="s">
        <v>906</v>
      </c>
      <c r="D4258" s="2">
        <v>40118</v>
      </c>
      <c r="E4258" s="1" t="s">
        <v>8565</v>
      </c>
      <c r="F4258" s="1" t="s">
        <v>95</v>
      </c>
    </row>
    <row r="4259" spans="1:6" ht="30" customHeight="1" x14ac:dyDescent="0.25">
      <c r="A4259" s="1" t="s">
        <v>8566</v>
      </c>
      <c r="B4259" s="1" t="str">
        <f>"9789047444701"</f>
        <v>9789047444701</v>
      </c>
      <c r="C4259" s="1" t="s">
        <v>906</v>
      </c>
      <c r="D4259" s="2">
        <v>40391</v>
      </c>
      <c r="E4259" s="1" t="s">
        <v>8567</v>
      </c>
      <c r="F4259" s="1" t="s">
        <v>137</v>
      </c>
    </row>
    <row r="4260" spans="1:6" ht="30" customHeight="1" x14ac:dyDescent="0.25">
      <c r="A4260" s="1" t="s">
        <v>8568</v>
      </c>
      <c r="B4260" s="1" t="str">
        <f>"9780826118042"</f>
        <v>9780826118042</v>
      </c>
      <c r="C4260" s="1" t="s">
        <v>2339</v>
      </c>
      <c r="D4260" s="2">
        <v>40330</v>
      </c>
      <c r="E4260" s="1" t="s">
        <v>8569</v>
      </c>
      <c r="F4260" s="1" t="s">
        <v>8570</v>
      </c>
    </row>
    <row r="4261" spans="1:6" ht="30" customHeight="1" x14ac:dyDescent="0.25">
      <c r="A4261" s="1" t="s">
        <v>8571</v>
      </c>
      <c r="B4261" s="1" t="str">
        <f>"9780826118790"</f>
        <v>9780826118790</v>
      </c>
      <c r="C4261" s="1" t="s">
        <v>2339</v>
      </c>
      <c r="D4261" s="2">
        <v>40476</v>
      </c>
      <c r="E4261" s="1" t="s">
        <v>8572</v>
      </c>
      <c r="F4261" s="1" t="s">
        <v>126</v>
      </c>
    </row>
    <row r="4262" spans="1:6" ht="30" customHeight="1" x14ac:dyDescent="0.25">
      <c r="A4262" s="1" t="s">
        <v>8573</v>
      </c>
      <c r="B4262" s="1" t="str">
        <f>"9780826118639"</f>
        <v>9780826118639</v>
      </c>
      <c r="C4262" s="1" t="s">
        <v>2339</v>
      </c>
      <c r="D4262" s="2">
        <v>40333</v>
      </c>
      <c r="E4262" s="1" t="s">
        <v>8574</v>
      </c>
      <c r="F4262" s="1" t="s">
        <v>126</v>
      </c>
    </row>
    <row r="4263" spans="1:6" ht="30" customHeight="1" x14ac:dyDescent="0.25">
      <c r="A4263" s="1" t="s">
        <v>8575</v>
      </c>
      <c r="B4263" s="1" t="str">
        <f>"9780826127846"</f>
        <v>9780826127846</v>
      </c>
      <c r="C4263" s="1" t="s">
        <v>2339</v>
      </c>
      <c r="D4263" s="2">
        <v>40360</v>
      </c>
      <c r="E4263" s="1" t="s">
        <v>8576</v>
      </c>
      <c r="F4263" s="1" t="s">
        <v>13</v>
      </c>
    </row>
    <row r="4264" spans="1:6" ht="30" customHeight="1" x14ac:dyDescent="0.25">
      <c r="A4264" s="1" t="s">
        <v>8577</v>
      </c>
      <c r="B4264" s="1" t="str">
        <f>"9780816675265"</f>
        <v>9780816675265</v>
      </c>
      <c r="C4264" s="1" t="s">
        <v>3458</v>
      </c>
      <c r="D4264" s="2">
        <v>40514</v>
      </c>
      <c r="E4264" s="1" t="s">
        <v>8578</v>
      </c>
      <c r="F4264" s="1" t="s">
        <v>30</v>
      </c>
    </row>
    <row r="4265" spans="1:6" ht="30" customHeight="1" x14ac:dyDescent="0.25">
      <c r="A4265" s="1" t="s">
        <v>8579</v>
      </c>
      <c r="B4265" s="1" t="str">
        <f>"9780821386002"</f>
        <v>9780821386002</v>
      </c>
      <c r="C4265" s="1" t="s">
        <v>6702</v>
      </c>
      <c r="D4265" s="2">
        <v>40519</v>
      </c>
      <c r="E4265" s="1" t="s">
        <v>8580</v>
      </c>
      <c r="F4265" s="1" t="s">
        <v>8581</v>
      </c>
    </row>
    <row r="4266" spans="1:6" ht="30" customHeight="1" x14ac:dyDescent="0.25">
      <c r="A4266" s="1" t="s">
        <v>8582</v>
      </c>
      <c r="B4266" s="1" t="str">
        <f>"9780470909980"</f>
        <v>9780470909980</v>
      </c>
      <c r="C4266" s="1" t="s">
        <v>11</v>
      </c>
      <c r="D4266" s="2">
        <v>40520</v>
      </c>
      <c r="E4266" s="1" t="s">
        <v>8583</v>
      </c>
      <c r="F4266" s="1" t="s">
        <v>137</v>
      </c>
    </row>
    <row r="4267" spans="1:6" ht="30" customHeight="1" x14ac:dyDescent="0.25">
      <c r="A4267" s="1" t="s">
        <v>8584</v>
      </c>
      <c r="B4267" s="1" t="str">
        <f>"9780470947814"</f>
        <v>9780470947814</v>
      </c>
      <c r="C4267" s="1" t="s">
        <v>11</v>
      </c>
      <c r="D4267" s="2">
        <v>40549</v>
      </c>
      <c r="E4267" s="1" t="s">
        <v>8585</v>
      </c>
      <c r="F4267" s="1" t="s">
        <v>13</v>
      </c>
    </row>
    <row r="4268" spans="1:6" ht="30" customHeight="1" x14ac:dyDescent="0.25">
      <c r="A4268" s="1" t="s">
        <v>8586</v>
      </c>
      <c r="B4268" s="1" t="str">
        <f>"9781444329636"</f>
        <v>9781444329636</v>
      </c>
      <c r="C4268" s="1" t="s">
        <v>65</v>
      </c>
      <c r="D4268" s="2">
        <v>40554</v>
      </c>
      <c r="E4268" s="1" t="s">
        <v>8587</v>
      </c>
      <c r="F4268" s="1" t="s">
        <v>13</v>
      </c>
    </row>
    <row r="4269" spans="1:6" ht="30" customHeight="1" x14ac:dyDescent="0.25">
      <c r="A4269" s="1" t="s">
        <v>8588</v>
      </c>
      <c r="B4269" s="1" t="str">
        <f>"9781444329292"</f>
        <v>9781444329292</v>
      </c>
      <c r="C4269" s="1" t="s">
        <v>11</v>
      </c>
      <c r="D4269" s="2">
        <v>40452</v>
      </c>
      <c r="E4269" s="1" t="s">
        <v>8589</v>
      </c>
      <c r="F4269" s="1" t="s">
        <v>13</v>
      </c>
    </row>
    <row r="4270" spans="1:6" ht="30" customHeight="1" x14ac:dyDescent="0.25">
      <c r="A4270" s="1" t="s">
        <v>8590</v>
      </c>
      <c r="B4270" s="1" t="str">
        <f>"9781848000926"</f>
        <v>9781848000926</v>
      </c>
      <c r="C4270" s="1" t="s">
        <v>8591</v>
      </c>
      <c r="D4270" s="2">
        <v>39448</v>
      </c>
      <c r="E4270" s="1" t="s">
        <v>8592</v>
      </c>
      <c r="F4270" s="1" t="s">
        <v>13</v>
      </c>
    </row>
    <row r="4271" spans="1:6" ht="30" customHeight="1" x14ac:dyDescent="0.25">
      <c r="A4271" s="1" t="s">
        <v>8593</v>
      </c>
      <c r="B4271" s="1" t="str">
        <f>"9781400837328"</f>
        <v>9781400837328</v>
      </c>
      <c r="C4271" s="1" t="s">
        <v>6462</v>
      </c>
      <c r="D4271" s="2">
        <v>39664</v>
      </c>
      <c r="E4271" s="1" t="s">
        <v>8594</v>
      </c>
      <c r="F4271" s="1" t="s">
        <v>205</v>
      </c>
    </row>
    <row r="4272" spans="1:6" ht="30" customHeight="1" x14ac:dyDescent="0.25">
      <c r="A4272" s="1" t="s">
        <v>8595</v>
      </c>
      <c r="B4272" s="1" t="str">
        <f>"9781400828890"</f>
        <v>9781400828890</v>
      </c>
      <c r="C4272" s="1" t="s">
        <v>6462</v>
      </c>
      <c r="D4272" s="2">
        <v>39685</v>
      </c>
      <c r="E4272" s="1" t="s">
        <v>8596</v>
      </c>
      <c r="F4272" s="1" t="s">
        <v>21</v>
      </c>
    </row>
    <row r="4273" spans="1:6" ht="30" customHeight="1" x14ac:dyDescent="0.25">
      <c r="A4273" s="1" t="s">
        <v>8597</v>
      </c>
      <c r="B4273" s="1" t="str">
        <f>"9781935281832"</f>
        <v>9781935281832</v>
      </c>
      <c r="C4273" s="1" t="s">
        <v>2342</v>
      </c>
      <c r="D4273" s="2">
        <v>40438</v>
      </c>
      <c r="E4273" s="1" t="s">
        <v>8598</v>
      </c>
      <c r="F4273" s="1" t="s">
        <v>13</v>
      </c>
    </row>
    <row r="4274" spans="1:6" ht="30" customHeight="1" x14ac:dyDescent="0.25">
      <c r="A4274" s="1" t="s">
        <v>8599</v>
      </c>
      <c r="B4274" s="1" t="str">
        <f>"9781617050077"</f>
        <v>9781617050077</v>
      </c>
      <c r="C4274" s="1" t="s">
        <v>2342</v>
      </c>
      <c r="D4274" s="2">
        <v>40513</v>
      </c>
      <c r="E4274" s="1" t="s">
        <v>8600</v>
      </c>
      <c r="F4274" s="1" t="s">
        <v>13</v>
      </c>
    </row>
    <row r="4275" spans="1:6" ht="30" customHeight="1" x14ac:dyDescent="0.25">
      <c r="A4275" s="1" t="s">
        <v>8601</v>
      </c>
      <c r="B4275" s="1" t="str">
        <f>"9781935281580"</f>
        <v>9781935281580</v>
      </c>
      <c r="C4275" s="1" t="s">
        <v>2342</v>
      </c>
      <c r="D4275" s="2">
        <v>40421</v>
      </c>
      <c r="E4275" s="1" t="s">
        <v>8602</v>
      </c>
      <c r="F4275" s="1" t="s">
        <v>13</v>
      </c>
    </row>
    <row r="4276" spans="1:6" ht="30" customHeight="1" x14ac:dyDescent="0.25">
      <c r="A4276" s="1" t="s">
        <v>8603</v>
      </c>
      <c r="B4276" s="1" t="str">
        <f>"9781935281399"</f>
        <v>9781935281399</v>
      </c>
      <c r="C4276" s="1" t="s">
        <v>2342</v>
      </c>
      <c r="D4276" s="2">
        <v>40443</v>
      </c>
      <c r="E4276" s="1" t="s">
        <v>8604</v>
      </c>
      <c r="F4276" s="1" t="s">
        <v>13</v>
      </c>
    </row>
    <row r="4277" spans="1:6" ht="30" customHeight="1" x14ac:dyDescent="0.25">
      <c r="A4277" s="1" t="s">
        <v>8605</v>
      </c>
      <c r="B4277" s="1" t="str">
        <f>"9781617050114"</f>
        <v>9781617050114</v>
      </c>
      <c r="C4277" s="1" t="s">
        <v>2342</v>
      </c>
      <c r="D4277" s="2">
        <v>40466</v>
      </c>
      <c r="E4277" s="1" t="s">
        <v>8606</v>
      </c>
      <c r="F4277" s="1" t="s">
        <v>13</v>
      </c>
    </row>
    <row r="4278" spans="1:6" ht="30" customHeight="1" x14ac:dyDescent="0.25">
      <c r="A4278" s="1" t="s">
        <v>8607</v>
      </c>
      <c r="B4278" s="1" t="str">
        <f>"9781617050091"</f>
        <v>9781617050091</v>
      </c>
      <c r="C4278" s="1" t="s">
        <v>2342</v>
      </c>
      <c r="D4278" s="2">
        <v>40513</v>
      </c>
      <c r="E4278" s="1" t="s">
        <v>8608</v>
      </c>
      <c r="F4278" s="1" t="s">
        <v>13</v>
      </c>
    </row>
    <row r="4279" spans="1:6" ht="30" customHeight="1" x14ac:dyDescent="0.25">
      <c r="A4279" s="1" t="s">
        <v>8609</v>
      </c>
      <c r="B4279" s="1" t="str">
        <f>"9781609180522"</f>
        <v>9781609180522</v>
      </c>
      <c r="C4279" s="1" t="s">
        <v>3308</v>
      </c>
      <c r="D4279" s="2">
        <v>41773</v>
      </c>
      <c r="E4279" s="1" t="s">
        <v>8610</v>
      </c>
      <c r="F4279" s="1" t="s">
        <v>13</v>
      </c>
    </row>
    <row r="4280" spans="1:6" ht="30" customHeight="1" x14ac:dyDescent="0.25">
      <c r="A4280" s="1" t="s">
        <v>8611</v>
      </c>
      <c r="B4280" s="1" t="str">
        <f>"9781607506454"</f>
        <v>9781607506454</v>
      </c>
      <c r="C4280" s="1" t="s">
        <v>1390</v>
      </c>
      <c r="D4280" s="2">
        <v>40500</v>
      </c>
      <c r="E4280" s="1" t="s">
        <v>8612</v>
      </c>
      <c r="F4280" s="1" t="s">
        <v>4861</v>
      </c>
    </row>
    <row r="4281" spans="1:6" ht="30" customHeight="1" x14ac:dyDescent="0.25">
      <c r="A4281" s="1" t="s">
        <v>8613</v>
      </c>
      <c r="B4281" s="1" t="str">
        <f>"9781607506263"</f>
        <v>9781607506263</v>
      </c>
      <c r="C4281" s="1" t="s">
        <v>1390</v>
      </c>
      <c r="D4281" s="2">
        <v>40472</v>
      </c>
      <c r="E4281" s="1" t="s">
        <v>8614</v>
      </c>
      <c r="F4281" s="1" t="s">
        <v>304</v>
      </c>
    </row>
    <row r="4282" spans="1:6" ht="30" customHeight="1" x14ac:dyDescent="0.25">
      <c r="A4282" s="1" t="s">
        <v>8615</v>
      </c>
      <c r="B4282" s="1" t="str">
        <f>"9781607506591"</f>
        <v>9781607506591</v>
      </c>
      <c r="C4282" s="1" t="s">
        <v>1390</v>
      </c>
      <c r="D4282" s="2">
        <v>40476</v>
      </c>
      <c r="E4282" s="1" t="s">
        <v>8616</v>
      </c>
      <c r="F4282" s="1" t="s">
        <v>33</v>
      </c>
    </row>
    <row r="4283" spans="1:6" ht="30" customHeight="1" x14ac:dyDescent="0.25">
      <c r="A4283" s="1" t="s">
        <v>8617</v>
      </c>
      <c r="B4283" s="1" t="str">
        <f>"9780199771196"</f>
        <v>9780199771196</v>
      </c>
      <c r="C4283" s="1" t="s">
        <v>1120</v>
      </c>
      <c r="D4283" s="2">
        <v>38393</v>
      </c>
      <c r="E4283" s="1" t="s">
        <v>8618</v>
      </c>
      <c r="F4283" s="1" t="s">
        <v>13</v>
      </c>
    </row>
    <row r="4284" spans="1:6" ht="30" customHeight="1" x14ac:dyDescent="0.25">
      <c r="A4284" s="1" t="s">
        <v>8619</v>
      </c>
      <c r="B4284" s="1" t="str">
        <f>"9780226477541"</f>
        <v>9780226477541</v>
      </c>
      <c r="C4284" s="1" t="s">
        <v>5093</v>
      </c>
      <c r="D4284" s="2">
        <v>40527</v>
      </c>
      <c r="E4284" s="1" t="s">
        <v>8620</v>
      </c>
      <c r="F4284" s="1" t="s">
        <v>13</v>
      </c>
    </row>
    <row r="4285" spans="1:6" ht="30" customHeight="1" x14ac:dyDescent="0.25">
      <c r="A4285" s="1" t="s">
        <v>8621</v>
      </c>
      <c r="B4285" s="1" t="str">
        <f>"9780226811420"</f>
        <v>9780226811420</v>
      </c>
      <c r="C4285" s="1" t="s">
        <v>5093</v>
      </c>
      <c r="D4285" s="2">
        <v>40527</v>
      </c>
      <c r="E4285" s="1" t="s">
        <v>8622</v>
      </c>
      <c r="F4285" s="1" t="s">
        <v>13</v>
      </c>
    </row>
    <row r="4286" spans="1:6" ht="30" customHeight="1" x14ac:dyDescent="0.25">
      <c r="A4286" s="1" t="s">
        <v>8623</v>
      </c>
      <c r="B4286" s="1" t="str">
        <f>"9780123751553"</f>
        <v>9780123751553</v>
      </c>
      <c r="C4286" s="1" t="s">
        <v>900</v>
      </c>
      <c r="D4286" s="2">
        <v>38509</v>
      </c>
      <c r="E4286" s="1" t="s">
        <v>8624</v>
      </c>
      <c r="F4286" s="1" t="s">
        <v>13</v>
      </c>
    </row>
    <row r="4287" spans="1:6" ht="30" customHeight="1" x14ac:dyDescent="0.25">
      <c r="A4287" s="1" t="s">
        <v>8625</v>
      </c>
      <c r="B4287" s="1" t="str">
        <f>"9789048512270"</f>
        <v>9789048512270</v>
      </c>
      <c r="C4287" s="1" t="s">
        <v>5455</v>
      </c>
      <c r="D4287" s="2">
        <v>40179</v>
      </c>
      <c r="E4287" s="1" t="s">
        <v>8626</v>
      </c>
      <c r="F4287" s="1" t="s">
        <v>599</v>
      </c>
    </row>
    <row r="4288" spans="1:6" ht="30" customHeight="1" x14ac:dyDescent="0.25">
      <c r="A4288" s="1" t="s">
        <v>8627</v>
      </c>
      <c r="B4288" s="1" t="str">
        <f>"9780335239993"</f>
        <v>9780335239993</v>
      </c>
      <c r="C4288" s="1" t="s">
        <v>2247</v>
      </c>
      <c r="D4288" s="2">
        <v>40179</v>
      </c>
      <c r="E4288" s="1" t="s">
        <v>8628</v>
      </c>
      <c r="F4288" s="1" t="s">
        <v>126</v>
      </c>
    </row>
    <row r="4289" spans="1:6" ht="30" customHeight="1" x14ac:dyDescent="0.25">
      <c r="A4289" s="1" t="s">
        <v>8629</v>
      </c>
      <c r="B4289" s="1" t="str">
        <f>"9780335240210"</f>
        <v>9780335240210</v>
      </c>
      <c r="C4289" s="1" t="s">
        <v>2247</v>
      </c>
      <c r="D4289" s="2">
        <v>40179</v>
      </c>
      <c r="E4289" s="1" t="s">
        <v>8630</v>
      </c>
      <c r="F4289" s="1" t="s">
        <v>13</v>
      </c>
    </row>
    <row r="4290" spans="1:6" ht="30" customHeight="1" x14ac:dyDescent="0.25">
      <c r="A4290" s="1" t="s">
        <v>8631</v>
      </c>
      <c r="B4290" s="1" t="str">
        <f>"9780335240722"</f>
        <v>9780335240722</v>
      </c>
      <c r="C4290" s="1" t="s">
        <v>2247</v>
      </c>
      <c r="D4290" s="2">
        <v>40179</v>
      </c>
      <c r="E4290" s="1" t="s">
        <v>8632</v>
      </c>
      <c r="F4290" s="1" t="s">
        <v>126</v>
      </c>
    </row>
    <row r="4291" spans="1:6" ht="30" customHeight="1" x14ac:dyDescent="0.25">
      <c r="A4291" s="1" t="s">
        <v>8633</v>
      </c>
      <c r="B4291" s="1" t="str">
        <f>"9780335239290"</f>
        <v>9780335239290</v>
      </c>
      <c r="C4291" s="1" t="s">
        <v>2247</v>
      </c>
      <c r="D4291" s="2">
        <v>40179</v>
      </c>
      <c r="E4291" s="1" t="s">
        <v>8634</v>
      </c>
      <c r="F4291" s="1" t="s">
        <v>176</v>
      </c>
    </row>
    <row r="4292" spans="1:6" ht="30" customHeight="1" x14ac:dyDescent="0.25">
      <c r="A4292" s="1" t="s">
        <v>8635</v>
      </c>
      <c r="B4292" s="1" t="str">
        <f>"9780335239405"</f>
        <v>9780335239405</v>
      </c>
      <c r="C4292" s="1" t="s">
        <v>2247</v>
      </c>
      <c r="D4292" s="2">
        <v>40179</v>
      </c>
      <c r="E4292" s="1" t="s">
        <v>8636</v>
      </c>
      <c r="F4292" s="1" t="s">
        <v>13</v>
      </c>
    </row>
    <row r="4293" spans="1:6" ht="30" customHeight="1" x14ac:dyDescent="0.25">
      <c r="A4293" s="1" t="s">
        <v>8637</v>
      </c>
      <c r="B4293" s="1" t="str">
        <f>"9780335242535"</f>
        <v>9780335242535</v>
      </c>
      <c r="C4293" s="1" t="s">
        <v>2247</v>
      </c>
      <c r="D4293" s="2">
        <v>40179</v>
      </c>
      <c r="E4293" s="1" t="s">
        <v>8638</v>
      </c>
      <c r="F4293" s="1" t="s">
        <v>13</v>
      </c>
    </row>
    <row r="4294" spans="1:6" ht="30" customHeight="1" x14ac:dyDescent="0.25">
      <c r="A4294" s="1" t="s">
        <v>8639</v>
      </c>
      <c r="B4294" s="1" t="str">
        <f>"9780335240661"</f>
        <v>9780335240661</v>
      </c>
      <c r="C4294" s="1" t="s">
        <v>2247</v>
      </c>
      <c r="D4294" s="2">
        <v>40179</v>
      </c>
      <c r="E4294" s="1" t="s">
        <v>8640</v>
      </c>
      <c r="F4294" s="1" t="s">
        <v>13</v>
      </c>
    </row>
    <row r="4295" spans="1:6" ht="30" customHeight="1" x14ac:dyDescent="0.25">
      <c r="A4295" s="1" t="s">
        <v>8641</v>
      </c>
      <c r="B4295" s="1" t="str">
        <f>"9780826105028"</f>
        <v>9780826105028</v>
      </c>
      <c r="C4295" s="1" t="s">
        <v>2339</v>
      </c>
      <c r="D4295" s="2">
        <v>40527</v>
      </c>
      <c r="E4295" s="1" t="s">
        <v>8642</v>
      </c>
      <c r="F4295" s="1" t="s">
        <v>158</v>
      </c>
    </row>
    <row r="4296" spans="1:6" ht="30" customHeight="1" x14ac:dyDescent="0.25">
      <c r="A4296" s="1" t="s">
        <v>8643</v>
      </c>
      <c r="B4296" s="1" t="str">
        <f>"9780826105615"</f>
        <v>9780826105615</v>
      </c>
      <c r="C4296" s="1" t="s">
        <v>2339</v>
      </c>
      <c r="D4296" s="2">
        <v>40026</v>
      </c>
      <c r="E4296" s="1" t="s">
        <v>8644</v>
      </c>
      <c r="F4296" s="1" t="s">
        <v>158</v>
      </c>
    </row>
    <row r="4297" spans="1:6" ht="30" customHeight="1" x14ac:dyDescent="0.25">
      <c r="A4297" s="1" t="s">
        <v>8645</v>
      </c>
      <c r="B4297" s="1" t="str">
        <f>"9781605907246"</f>
        <v>9781605907246</v>
      </c>
      <c r="C4297" s="1" t="s">
        <v>8423</v>
      </c>
      <c r="D4297" s="2">
        <v>40559</v>
      </c>
      <c r="E4297" s="1" t="s">
        <v>8646</v>
      </c>
      <c r="F4297" s="1" t="s">
        <v>13</v>
      </c>
    </row>
    <row r="4298" spans="1:6" ht="30" customHeight="1" x14ac:dyDescent="0.25">
      <c r="A4298" s="1" t="s">
        <v>8647</v>
      </c>
      <c r="B4298" s="1" t="str">
        <f>"9781598884241"</f>
        <v>9781598884241</v>
      </c>
      <c r="C4298" s="1" t="s">
        <v>8648</v>
      </c>
      <c r="D4298" s="2">
        <v>41773</v>
      </c>
      <c r="E4298" s="1" t="s">
        <v>8648</v>
      </c>
      <c r="F4298" s="1" t="s">
        <v>8649</v>
      </c>
    </row>
    <row r="4299" spans="1:6" ht="30" customHeight="1" x14ac:dyDescent="0.25">
      <c r="A4299" s="1" t="s">
        <v>8650</v>
      </c>
      <c r="B4299" s="1" t="str">
        <f>"9780857241566"</f>
        <v>9780857241566</v>
      </c>
      <c r="C4299" s="1" t="s">
        <v>971</v>
      </c>
      <c r="D4299" s="2">
        <v>40527</v>
      </c>
      <c r="E4299" s="1" t="s">
        <v>8651</v>
      </c>
      <c r="F4299" s="1" t="s">
        <v>2256</v>
      </c>
    </row>
    <row r="4300" spans="1:6" ht="30" customHeight="1" x14ac:dyDescent="0.25">
      <c r="A4300" s="1" t="s">
        <v>8652</v>
      </c>
      <c r="B4300" s="1" t="str">
        <f>"9780826107237"</f>
        <v>9780826107237</v>
      </c>
      <c r="C4300" s="1" t="s">
        <v>2339</v>
      </c>
      <c r="D4300" s="2">
        <v>40501</v>
      </c>
      <c r="E4300" s="1" t="s">
        <v>8653</v>
      </c>
      <c r="F4300" s="1" t="s">
        <v>126</v>
      </c>
    </row>
    <row r="4301" spans="1:6" ht="30" customHeight="1" x14ac:dyDescent="0.25">
      <c r="A4301" s="1" t="s">
        <v>8654</v>
      </c>
      <c r="B4301" s="1" t="str">
        <f>"9780520949003"</f>
        <v>9780520949003</v>
      </c>
      <c r="C4301" s="1" t="s">
        <v>818</v>
      </c>
      <c r="D4301" s="2">
        <v>40620</v>
      </c>
      <c r="E4301" s="1" t="s">
        <v>8655</v>
      </c>
      <c r="F4301" s="1" t="s">
        <v>95</v>
      </c>
    </row>
    <row r="4302" spans="1:6" ht="30" customHeight="1" x14ac:dyDescent="0.25">
      <c r="A4302" s="1" t="s">
        <v>8656</v>
      </c>
      <c r="B4302" s="1" t="str">
        <f>"9780520934771"</f>
        <v>9780520934771</v>
      </c>
      <c r="C4302" s="1" t="s">
        <v>818</v>
      </c>
      <c r="D4302" s="2">
        <v>39632</v>
      </c>
      <c r="E4302" s="1" t="s">
        <v>8657</v>
      </c>
      <c r="F4302" s="1" t="s">
        <v>541</v>
      </c>
    </row>
    <row r="4303" spans="1:6" ht="30" customHeight="1" x14ac:dyDescent="0.25">
      <c r="A4303" s="1" t="s">
        <v>8658</v>
      </c>
      <c r="B4303" s="1" t="str">
        <f>"9780520949447"</f>
        <v>9780520949447</v>
      </c>
      <c r="C4303" s="1" t="s">
        <v>818</v>
      </c>
      <c r="D4303" s="2">
        <v>40620</v>
      </c>
      <c r="E4303" s="1" t="s">
        <v>8659</v>
      </c>
      <c r="F4303" s="1" t="s">
        <v>158</v>
      </c>
    </row>
    <row r="4304" spans="1:6" ht="30" customHeight="1" x14ac:dyDescent="0.25">
      <c r="A4304" s="1" t="s">
        <v>8660</v>
      </c>
      <c r="B4304" s="1" t="str">
        <f>"9780826118936"</f>
        <v>9780826118936</v>
      </c>
      <c r="C4304" s="1" t="s">
        <v>2339</v>
      </c>
      <c r="D4304" s="2">
        <v>40594</v>
      </c>
      <c r="E4304" s="1" t="s">
        <v>8661</v>
      </c>
      <c r="F4304" s="1" t="s">
        <v>126</v>
      </c>
    </row>
    <row r="4305" spans="1:6" ht="30" customHeight="1" x14ac:dyDescent="0.25">
      <c r="A4305" s="1" t="s">
        <v>8662</v>
      </c>
      <c r="B4305" s="1" t="str">
        <f>"9780826120182"</f>
        <v>9780826120182</v>
      </c>
      <c r="C4305" s="1" t="s">
        <v>2339</v>
      </c>
      <c r="D4305" s="2">
        <v>40527</v>
      </c>
      <c r="E4305" s="1" t="s">
        <v>8663</v>
      </c>
      <c r="F4305" s="1" t="s">
        <v>13</v>
      </c>
    </row>
    <row r="4306" spans="1:6" ht="30" customHeight="1" x14ac:dyDescent="0.25">
      <c r="A4306" s="1" t="s">
        <v>8664</v>
      </c>
      <c r="B4306" s="1" t="str">
        <f>"9780826107053"</f>
        <v>9780826107053</v>
      </c>
      <c r="C4306" s="1" t="s">
        <v>2339</v>
      </c>
      <c r="D4306" s="2">
        <v>40544</v>
      </c>
      <c r="E4306" s="1" t="s">
        <v>8665</v>
      </c>
      <c r="F4306" s="1" t="s">
        <v>30</v>
      </c>
    </row>
    <row r="4307" spans="1:6" ht="30" customHeight="1" x14ac:dyDescent="0.25">
      <c r="A4307" s="1" t="s">
        <v>8666</v>
      </c>
      <c r="B4307" s="1" t="str">
        <f>"9780895565037"</f>
        <v>9780895565037</v>
      </c>
      <c r="C4307" s="1" t="s">
        <v>8667</v>
      </c>
      <c r="D4307" s="2">
        <v>38865</v>
      </c>
      <c r="E4307" s="1" t="s">
        <v>8668</v>
      </c>
      <c r="F4307" s="1" t="s">
        <v>104</v>
      </c>
    </row>
    <row r="4308" spans="1:6" ht="30" customHeight="1" x14ac:dyDescent="0.25">
      <c r="A4308" s="1" t="s">
        <v>8669</v>
      </c>
      <c r="B4308" s="1" t="str">
        <f>"9781118015384"</f>
        <v>9781118015384</v>
      </c>
      <c r="C4308" s="1" t="s">
        <v>11</v>
      </c>
      <c r="D4308" s="2">
        <v>40599</v>
      </c>
      <c r="E4308" s="1" t="s">
        <v>8670</v>
      </c>
      <c r="F4308" s="1" t="s">
        <v>13</v>
      </c>
    </row>
    <row r="4309" spans="1:6" ht="30" customHeight="1" x14ac:dyDescent="0.25">
      <c r="A4309" s="1" t="s">
        <v>8671</v>
      </c>
      <c r="B4309" s="1" t="str">
        <f>"9780470901335"</f>
        <v>9780470901335</v>
      </c>
      <c r="C4309" s="1" t="s">
        <v>65</v>
      </c>
      <c r="D4309" s="2">
        <v>40597</v>
      </c>
      <c r="E4309" s="1" t="s">
        <v>8672</v>
      </c>
      <c r="F4309" s="1" t="s">
        <v>95</v>
      </c>
    </row>
    <row r="4310" spans="1:6" ht="30" customHeight="1" x14ac:dyDescent="0.25">
      <c r="A4310" s="1" t="s">
        <v>8673</v>
      </c>
      <c r="B4310" s="1" t="str">
        <f>"9781118001516"</f>
        <v>9781118001516</v>
      </c>
      <c r="C4310" s="1" t="s">
        <v>65</v>
      </c>
      <c r="D4310" s="2">
        <v>40599</v>
      </c>
      <c r="E4310" s="1" t="s">
        <v>8674</v>
      </c>
      <c r="F4310" s="1" t="s">
        <v>95</v>
      </c>
    </row>
    <row r="4311" spans="1:6" ht="30" customHeight="1" x14ac:dyDescent="0.25">
      <c r="A4311" s="1" t="s">
        <v>8675</v>
      </c>
      <c r="B4311" s="1" t="str">
        <f>"9780470933930"</f>
        <v>9780470933930</v>
      </c>
      <c r="C4311" s="1" t="s">
        <v>11</v>
      </c>
      <c r="D4311" s="2">
        <v>40562</v>
      </c>
      <c r="E4311" s="1" t="s">
        <v>8676</v>
      </c>
      <c r="F4311" s="1" t="s">
        <v>13</v>
      </c>
    </row>
    <row r="4312" spans="1:6" ht="30" customHeight="1" x14ac:dyDescent="0.25">
      <c r="A4312" s="1" t="s">
        <v>8677</v>
      </c>
      <c r="B4312" s="1" t="str">
        <f>"9781118003183"</f>
        <v>9781118003183</v>
      </c>
      <c r="C4312" s="1" t="s">
        <v>11</v>
      </c>
      <c r="D4312" s="2">
        <v>40576</v>
      </c>
      <c r="E4312" s="1" t="s">
        <v>8678</v>
      </c>
      <c r="F4312" s="1" t="s">
        <v>8679</v>
      </c>
    </row>
    <row r="4313" spans="1:6" ht="30" customHeight="1" x14ac:dyDescent="0.25">
      <c r="A4313" s="1" t="s">
        <v>8680</v>
      </c>
      <c r="B4313" s="1" t="str">
        <f>"9780470933442"</f>
        <v>9780470933442</v>
      </c>
      <c r="C4313" s="1" t="s">
        <v>65</v>
      </c>
      <c r="D4313" s="2">
        <v>40590</v>
      </c>
      <c r="E4313" s="1" t="s">
        <v>8681</v>
      </c>
      <c r="F4313" s="1" t="s">
        <v>30</v>
      </c>
    </row>
    <row r="4314" spans="1:6" ht="30" customHeight="1" x14ac:dyDescent="0.25">
      <c r="A4314" s="1" t="s">
        <v>8682</v>
      </c>
      <c r="B4314" s="1" t="str">
        <f>"9780470767054"</f>
        <v>9780470767054</v>
      </c>
      <c r="C4314" s="1" t="s">
        <v>11</v>
      </c>
      <c r="D4314" s="2">
        <v>40576</v>
      </c>
      <c r="E4314" s="1" t="s">
        <v>8683</v>
      </c>
      <c r="F4314" s="1" t="s">
        <v>13</v>
      </c>
    </row>
    <row r="4315" spans="1:6" ht="30" customHeight="1" x14ac:dyDescent="0.25">
      <c r="A4315" s="1" t="s">
        <v>8684</v>
      </c>
      <c r="B4315" s="1" t="str">
        <f>"9780470929360"</f>
        <v>9780470929360</v>
      </c>
      <c r="C4315" s="1" t="s">
        <v>65</v>
      </c>
      <c r="D4315" s="2">
        <v>40520</v>
      </c>
      <c r="E4315" s="1" t="s">
        <v>8685</v>
      </c>
      <c r="F4315" s="1" t="s">
        <v>214</v>
      </c>
    </row>
    <row r="4316" spans="1:6" ht="30" customHeight="1" x14ac:dyDescent="0.25">
      <c r="A4316" s="1" t="s">
        <v>8686</v>
      </c>
      <c r="B4316" s="1" t="str">
        <f>"9781118012208"</f>
        <v>9781118012208</v>
      </c>
      <c r="C4316" s="1" t="s">
        <v>65</v>
      </c>
      <c r="D4316" s="2">
        <v>40576</v>
      </c>
      <c r="E4316" s="1" t="s">
        <v>8687</v>
      </c>
      <c r="F4316" s="1" t="s">
        <v>158</v>
      </c>
    </row>
    <row r="4317" spans="1:6" ht="30" customHeight="1" x14ac:dyDescent="0.25">
      <c r="A4317" s="1" t="s">
        <v>8688</v>
      </c>
      <c r="B4317" s="1" t="str">
        <f>"9781118000809"</f>
        <v>9781118000809</v>
      </c>
      <c r="C4317" s="1" t="s">
        <v>11</v>
      </c>
      <c r="D4317" s="2">
        <v>40568</v>
      </c>
      <c r="E4317" s="1" t="s">
        <v>8689</v>
      </c>
      <c r="F4317" s="1" t="s">
        <v>8690</v>
      </c>
    </row>
    <row r="4318" spans="1:6" ht="30" customHeight="1" x14ac:dyDescent="0.25">
      <c r="A4318" s="1" t="s">
        <v>8691</v>
      </c>
      <c r="B4318" s="1" t="str">
        <f>"9780470926826"</f>
        <v>9780470926826</v>
      </c>
      <c r="C4318" s="1" t="s">
        <v>65</v>
      </c>
      <c r="D4318" s="2">
        <v>40597</v>
      </c>
      <c r="E4318" s="1" t="s">
        <v>8692</v>
      </c>
      <c r="F4318" s="1" t="s">
        <v>3843</v>
      </c>
    </row>
    <row r="4319" spans="1:6" ht="30" customHeight="1" x14ac:dyDescent="0.25">
      <c r="A4319" s="1" t="s">
        <v>8693</v>
      </c>
      <c r="B4319" s="1" t="str">
        <f>"9780470920534"</f>
        <v>9780470920534</v>
      </c>
      <c r="C4319" s="1" t="s">
        <v>11</v>
      </c>
      <c r="D4319" s="2">
        <v>40576</v>
      </c>
      <c r="E4319" s="1" t="s">
        <v>8694</v>
      </c>
      <c r="F4319" s="1" t="s">
        <v>8695</v>
      </c>
    </row>
    <row r="4320" spans="1:6" ht="30" customHeight="1" x14ac:dyDescent="0.25">
      <c r="A4320" s="1" t="s">
        <v>8696</v>
      </c>
      <c r="B4320" s="1" t="str">
        <f>"9780470872086"</f>
        <v>9780470872086</v>
      </c>
      <c r="C4320" s="1" t="s">
        <v>11</v>
      </c>
      <c r="D4320" s="2">
        <v>40808</v>
      </c>
      <c r="E4320" s="1" t="s">
        <v>8697</v>
      </c>
      <c r="F4320" s="1" t="s">
        <v>13</v>
      </c>
    </row>
    <row r="4321" spans="1:6" ht="30" customHeight="1" x14ac:dyDescent="0.25">
      <c r="A4321" s="1" t="s">
        <v>592</v>
      </c>
      <c r="B4321" s="1" t="str">
        <f>"9781444393934"</f>
        <v>9781444393934</v>
      </c>
      <c r="C4321" s="1" t="s">
        <v>11</v>
      </c>
      <c r="D4321" s="2">
        <v>40574</v>
      </c>
      <c r="E4321" s="1" t="s">
        <v>8698</v>
      </c>
      <c r="F4321" s="1" t="s">
        <v>13</v>
      </c>
    </row>
    <row r="4322" spans="1:6" ht="30" customHeight="1" x14ac:dyDescent="0.25">
      <c r="A4322" s="1" t="s">
        <v>8699</v>
      </c>
      <c r="B4322" s="1" t="str">
        <f>"9781444391725"</f>
        <v>9781444391725</v>
      </c>
      <c r="C4322" s="1" t="s">
        <v>11</v>
      </c>
      <c r="D4322" s="2">
        <v>40675</v>
      </c>
      <c r="E4322" s="1" t="s">
        <v>8700</v>
      </c>
      <c r="F4322" s="1" t="s">
        <v>13</v>
      </c>
    </row>
    <row r="4323" spans="1:6" ht="30" customHeight="1" x14ac:dyDescent="0.25">
      <c r="A4323" s="1" t="s">
        <v>8701</v>
      </c>
      <c r="B4323" s="1" t="str">
        <f>"9781444342628"</f>
        <v>9781444342628</v>
      </c>
      <c r="C4323" s="1" t="s">
        <v>11</v>
      </c>
      <c r="D4323" s="2">
        <v>40584</v>
      </c>
      <c r="E4323" s="1" t="s">
        <v>8702</v>
      </c>
      <c r="F4323" s="1" t="s">
        <v>114</v>
      </c>
    </row>
    <row r="4324" spans="1:6" ht="30" customHeight="1" x14ac:dyDescent="0.25">
      <c r="A4324" s="1" t="s">
        <v>8703</v>
      </c>
      <c r="B4324" s="1" t="str">
        <f>"9781444391169"</f>
        <v>9781444391169</v>
      </c>
      <c r="C4324" s="1" t="s">
        <v>11</v>
      </c>
      <c r="D4324" s="2">
        <v>40556</v>
      </c>
      <c r="E4324" s="1" t="s">
        <v>8704</v>
      </c>
      <c r="F4324" s="1" t="s">
        <v>13</v>
      </c>
    </row>
    <row r="4325" spans="1:6" ht="30" customHeight="1" x14ac:dyDescent="0.25">
      <c r="A4325" s="1" t="s">
        <v>8705</v>
      </c>
      <c r="B4325" s="1" t="str">
        <f>"9781119997504"</f>
        <v>9781119997504</v>
      </c>
      <c r="C4325" s="1" t="s">
        <v>65</v>
      </c>
      <c r="D4325" s="2">
        <v>40549</v>
      </c>
      <c r="E4325" s="1" t="s">
        <v>8706</v>
      </c>
      <c r="F4325" s="1" t="s">
        <v>13</v>
      </c>
    </row>
    <row r="4326" spans="1:6" ht="30" customHeight="1" x14ac:dyDescent="0.25">
      <c r="A4326" s="1" t="s">
        <v>8707</v>
      </c>
      <c r="B4326" s="1" t="str">
        <f>"9781444329933"</f>
        <v>9781444329933</v>
      </c>
      <c r="C4326" s="1" t="s">
        <v>65</v>
      </c>
      <c r="D4326" s="2">
        <v>40574</v>
      </c>
      <c r="E4326" s="1" t="s">
        <v>8708</v>
      </c>
      <c r="F4326" s="1" t="s">
        <v>13</v>
      </c>
    </row>
    <row r="4327" spans="1:6" ht="30" customHeight="1" x14ac:dyDescent="0.25">
      <c r="A4327" s="1" t="s">
        <v>8709</v>
      </c>
      <c r="B4327" s="1" t="str">
        <f>"9781444391831"</f>
        <v>9781444391831</v>
      </c>
      <c r="C4327" s="1" t="s">
        <v>11</v>
      </c>
      <c r="D4327" s="2">
        <v>40574</v>
      </c>
      <c r="E4327" s="1" t="s">
        <v>8710</v>
      </c>
      <c r="F4327" s="1" t="s">
        <v>13</v>
      </c>
    </row>
    <row r="4328" spans="1:6" ht="30" customHeight="1" x14ac:dyDescent="0.25">
      <c r="A4328" s="1" t="s">
        <v>8711</v>
      </c>
      <c r="B4328" s="1" t="str">
        <f>"9781444340037"</f>
        <v>9781444340037</v>
      </c>
      <c r="C4328" s="1" t="s">
        <v>65</v>
      </c>
      <c r="D4328" s="2">
        <v>40574</v>
      </c>
      <c r="E4328" s="1" t="s">
        <v>8712</v>
      </c>
      <c r="F4328" s="1" t="s">
        <v>13</v>
      </c>
    </row>
    <row r="4329" spans="1:6" ht="30" customHeight="1" x14ac:dyDescent="0.25">
      <c r="A4329" s="1" t="s">
        <v>8713</v>
      </c>
      <c r="B4329" s="1" t="str">
        <f>"9781444329902"</f>
        <v>9781444329902</v>
      </c>
      <c r="C4329" s="1" t="s">
        <v>65</v>
      </c>
      <c r="D4329" s="2">
        <v>40574</v>
      </c>
      <c r="E4329" s="1" t="s">
        <v>8714</v>
      </c>
      <c r="F4329" s="1" t="s">
        <v>13</v>
      </c>
    </row>
    <row r="4330" spans="1:6" ht="30" customHeight="1" x14ac:dyDescent="0.25">
      <c r="A4330" s="1" t="s">
        <v>8715</v>
      </c>
      <c r="B4330" s="1" t="str">
        <f>"9781566639149"</f>
        <v>9781566639149</v>
      </c>
      <c r="C4330" s="1" t="s">
        <v>8716</v>
      </c>
      <c r="D4330" s="2">
        <v>40253</v>
      </c>
      <c r="E4330" s="1" t="s">
        <v>8717</v>
      </c>
      <c r="F4330" s="1" t="s">
        <v>176</v>
      </c>
    </row>
    <row r="4331" spans="1:6" ht="30" customHeight="1" x14ac:dyDescent="0.25">
      <c r="A4331" s="1" t="s">
        <v>8718</v>
      </c>
      <c r="B4331" s="1" t="str">
        <f>"9780765707710"</f>
        <v>9780765707710</v>
      </c>
      <c r="C4331" s="1" t="s">
        <v>6903</v>
      </c>
      <c r="D4331" s="2">
        <v>40540</v>
      </c>
      <c r="E4331" s="1" t="s">
        <v>8719</v>
      </c>
      <c r="F4331" s="1" t="s">
        <v>13</v>
      </c>
    </row>
    <row r="4332" spans="1:6" ht="30" customHeight="1" x14ac:dyDescent="0.25">
      <c r="A4332" s="1" t="s">
        <v>8720</v>
      </c>
      <c r="B4332" s="1" t="str">
        <f>"9780761851745"</f>
        <v>9780761851745</v>
      </c>
      <c r="C4332" s="1" t="s">
        <v>7461</v>
      </c>
      <c r="D4332" s="2">
        <v>36526</v>
      </c>
      <c r="E4332" s="1" t="s">
        <v>8721</v>
      </c>
      <c r="F4332" s="1" t="s">
        <v>13</v>
      </c>
    </row>
    <row r="4333" spans="1:6" ht="30" customHeight="1" x14ac:dyDescent="0.25">
      <c r="A4333" s="1" t="s">
        <v>8722</v>
      </c>
      <c r="B4333" s="1" t="str">
        <f>"9781442207967"</f>
        <v>9781442207967</v>
      </c>
      <c r="C4333" s="1" t="s">
        <v>8723</v>
      </c>
      <c r="D4333" s="2">
        <v>40559</v>
      </c>
      <c r="E4333" s="1" t="s">
        <v>8724</v>
      </c>
      <c r="F4333" s="1" t="s">
        <v>214</v>
      </c>
    </row>
    <row r="4334" spans="1:6" ht="30" customHeight="1" x14ac:dyDescent="0.25">
      <c r="A4334" s="1" t="s">
        <v>8725</v>
      </c>
      <c r="B4334" s="1" t="str">
        <f>"9780765708076"</f>
        <v>9780765708076</v>
      </c>
      <c r="C4334" s="1" t="s">
        <v>6903</v>
      </c>
      <c r="D4334" s="2">
        <v>40375</v>
      </c>
      <c r="E4334" s="1" t="s">
        <v>8726</v>
      </c>
      <c r="F4334" s="1" t="s">
        <v>13</v>
      </c>
    </row>
    <row r="4335" spans="1:6" ht="30" customHeight="1" x14ac:dyDescent="0.25">
      <c r="A4335" s="1" t="s">
        <v>8727</v>
      </c>
      <c r="B4335" s="1" t="str">
        <f>"9780313064067"</f>
        <v>9780313064067</v>
      </c>
      <c r="C4335" s="1" t="s">
        <v>7550</v>
      </c>
      <c r="D4335" s="2">
        <v>40623</v>
      </c>
      <c r="E4335" s="1" t="s">
        <v>8728</v>
      </c>
      <c r="F4335" s="1" t="s">
        <v>304</v>
      </c>
    </row>
    <row r="4336" spans="1:6" ht="30" customHeight="1" x14ac:dyDescent="0.25">
      <c r="A4336" s="1" t="s">
        <v>8729</v>
      </c>
      <c r="B4336" s="1" t="str">
        <f>"9781847354464"</f>
        <v>9781847354464</v>
      </c>
      <c r="C4336" s="1" t="s">
        <v>7299</v>
      </c>
      <c r="D4336" s="2">
        <v>40479</v>
      </c>
      <c r="E4336" s="1" t="s">
        <v>8730</v>
      </c>
      <c r="F4336" s="1" t="s">
        <v>137</v>
      </c>
    </row>
    <row r="4337" spans="1:6" ht="30" customHeight="1" x14ac:dyDescent="0.25">
      <c r="A4337" s="1" t="s">
        <v>8731</v>
      </c>
      <c r="B4337" s="1" t="str">
        <f>"9780199721665"</f>
        <v>9780199721665</v>
      </c>
      <c r="C4337" s="1" t="s">
        <v>1123</v>
      </c>
      <c r="D4337" s="2">
        <v>39556</v>
      </c>
      <c r="E4337" s="1" t="s">
        <v>8732</v>
      </c>
      <c r="F4337" s="1" t="s">
        <v>21</v>
      </c>
    </row>
    <row r="4338" spans="1:6" ht="30" customHeight="1" x14ac:dyDescent="0.25">
      <c r="A4338" s="1" t="s">
        <v>8733</v>
      </c>
      <c r="B4338" s="1" t="str">
        <f>"9780199837908"</f>
        <v>9780199837908</v>
      </c>
      <c r="C4338" s="1" t="s">
        <v>1123</v>
      </c>
      <c r="D4338" s="2">
        <v>38736</v>
      </c>
      <c r="E4338" s="1" t="s">
        <v>8734</v>
      </c>
      <c r="F4338" s="1" t="s">
        <v>13</v>
      </c>
    </row>
    <row r="4339" spans="1:6" ht="30" customHeight="1" x14ac:dyDescent="0.25">
      <c r="A4339" s="1" t="s">
        <v>8735</v>
      </c>
      <c r="B4339" s="1" t="str">
        <f>"9780191552465"</f>
        <v>9780191552465</v>
      </c>
      <c r="C4339" s="1" t="s">
        <v>1120</v>
      </c>
      <c r="D4339" s="2">
        <v>39793</v>
      </c>
      <c r="E4339" s="1" t="s">
        <v>8736</v>
      </c>
      <c r="F4339" s="1" t="s">
        <v>13</v>
      </c>
    </row>
    <row r="4340" spans="1:6" ht="30" customHeight="1" x14ac:dyDescent="0.25">
      <c r="A4340" s="1" t="s">
        <v>8737</v>
      </c>
      <c r="B4340" s="1" t="str">
        <f>"9780191553363"</f>
        <v>9780191553363</v>
      </c>
      <c r="C4340" s="1" t="s">
        <v>1120</v>
      </c>
      <c r="D4340" s="2">
        <v>39492</v>
      </c>
      <c r="E4340" s="1" t="s">
        <v>8738</v>
      </c>
      <c r="F4340" s="1" t="s">
        <v>82</v>
      </c>
    </row>
    <row r="4341" spans="1:6" ht="30" customHeight="1" x14ac:dyDescent="0.25">
      <c r="A4341" s="1" t="s">
        <v>8739</v>
      </c>
      <c r="B4341" s="1" t="str">
        <f>"9781935251002"</f>
        <v>9781935251002</v>
      </c>
      <c r="C4341" s="1" t="s">
        <v>8740</v>
      </c>
      <c r="D4341" s="2">
        <v>41773</v>
      </c>
      <c r="E4341" s="1" t="s">
        <v>8741</v>
      </c>
      <c r="F4341" s="1" t="s">
        <v>95</v>
      </c>
    </row>
    <row r="4342" spans="1:6" ht="30" customHeight="1" x14ac:dyDescent="0.25">
      <c r="A4342" s="1" t="s">
        <v>8742</v>
      </c>
      <c r="B4342" s="1" t="str">
        <f>"9780844743431"</f>
        <v>9780844743431</v>
      </c>
      <c r="C4342" s="1" t="s">
        <v>8743</v>
      </c>
      <c r="D4342" s="2">
        <v>40308</v>
      </c>
      <c r="E4342" s="1" t="s">
        <v>8744</v>
      </c>
      <c r="F4342" s="1" t="s">
        <v>8745</v>
      </c>
    </row>
    <row r="4343" spans="1:6" ht="30" customHeight="1" x14ac:dyDescent="0.25">
      <c r="A4343" s="1" t="s">
        <v>8746</v>
      </c>
      <c r="B4343" s="1" t="str">
        <f>"9780844743905"</f>
        <v>9780844743905</v>
      </c>
      <c r="C4343" s="1" t="s">
        <v>8743</v>
      </c>
      <c r="D4343" s="2">
        <v>40467</v>
      </c>
      <c r="E4343" s="1" t="s">
        <v>8747</v>
      </c>
      <c r="F4343" s="1" t="s">
        <v>158</v>
      </c>
    </row>
    <row r="4344" spans="1:6" ht="30" customHeight="1" x14ac:dyDescent="0.25">
      <c r="A4344" s="1" t="s">
        <v>8748</v>
      </c>
      <c r="B4344" s="1" t="str">
        <f>"9780826106766"</f>
        <v>9780826106766</v>
      </c>
      <c r="C4344" s="1" t="s">
        <v>2339</v>
      </c>
      <c r="D4344" s="2">
        <v>40382</v>
      </c>
      <c r="E4344" s="1" t="s">
        <v>8749</v>
      </c>
      <c r="F4344" s="1" t="s">
        <v>13</v>
      </c>
    </row>
    <row r="4345" spans="1:6" ht="30" customHeight="1" x14ac:dyDescent="0.25">
      <c r="A4345" s="1" t="s">
        <v>8750</v>
      </c>
      <c r="B4345" s="1" t="str">
        <f>"9781139008266"</f>
        <v>9781139008266</v>
      </c>
      <c r="C4345" s="1" t="s">
        <v>25</v>
      </c>
      <c r="D4345" s="2">
        <v>40101</v>
      </c>
      <c r="E4345" s="1" t="s">
        <v>8751</v>
      </c>
      <c r="F4345" s="1" t="s">
        <v>13</v>
      </c>
    </row>
    <row r="4346" spans="1:6" ht="30" customHeight="1" x14ac:dyDescent="0.25">
      <c r="A4346" s="1" t="s">
        <v>8752</v>
      </c>
      <c r="B4346" s="1" t="str">
        <f>"9780123820334"</f>
        <v>9780123820334</v>
      </c>
      <c r="C4346" s="1" t="s">
        <v>900</v>
      </c>
      <c r="D4346" s="2">
        <v>40637</v>
      </c>
      <c r="E4346" s="1" t="s">
        <v>8753</v>
      </c>
      <c r="F4346" s="1" t="s">
        <v>70</v>
      </c>
    </row>
    <row r="4347" spans="1:6" ht="30" customHeight="1" x14ac:dyDescent="0.25">
      <c r="A4347" s="1" t="s">
        <v>8754</v>
      </c>
      <c r="B4347" s="1" t="str">
        <f>"9789042031579"</f>
        <v>9789042031579</v>
      </c>
      <c r="C4347" s="1" t="s">
        <v>906</v>
      </c>
      <c r="D4347" s="2">
        <v>40544</v>
      </c>
      <c r="E4347" s="1" t="s">
        <v>8755</v>
      </c>
      <c r="F4347" s="1" t="s">
        <v>33</v>
      </c>
    </row>
    <row r="4348" spans="1:6" ht="30" customHeight="1" x14ac:dyDescent="0.25">
      <c r="A4348" s="1" t="s">
        <v>8756</v>
      </c>
      <c r="B4348" s="1" t="str">
        <f>"9780833051189"</f>
        <v>9780833051189</v>
      </c>
      <c r="C4348" s="1" t="s">
        <v>516</v>
      </c>
      <c r="D4348" s="2">
        <v>40476</v>
      </c>
      <c r="E4348" s="1" t="s">
        <v>8757</v>
      </c>
      <c r="F4348" s="1" t="s">
        <v>13</v>
      </c>
    </row>
    <row r="4349" spans="1:6" ht="30" customHeight="1" x14ac:dyDescent="0.25">
      <c r="A4349" s="1" t="s">
        <v>8758</v>
      </c>
      <c r="B4349" s="1" t="str">
        <f>"9780765708175"</f>
        <v>9780765708175</v>
      </c>
      <c r="C4349" s="1" t="s">
        <v>6903</v>
      </c>
      <c r="D4349" s="2">
        <v>40617</v>
      </c>
      <c r="E4349" s="1" t="s">
        <v>8759</v>
      </c>
      <c r="F4349" s="1" t="s">
        <v>13</v>
      </c>
    </row>
    <row r="4350" spans="1:6" ht="30" customHeight="1" x14ac:dyDescent="0.25">
      <c r="A4350" s="1" t="s">
        <v>8760</v>
      </c>
      <c r="B4350" s="1" t="str">
        <f>"9780253005328"</f>
        <v>9780253005328</v>
      </c>
      <c r="C4350" s="1" t="s">
        <v>19</v>
      </c>
      <c r="D4350" s="2">
        <v>41190</v>
      </c>
      <c r="E4350" s="1" t="s">
        <v>8761</v>
      </c>
      <c r="F4350" s="1" t="s">
        <v>95</v>
      </c>
    </row>
    <row r="4351" spans="1:6" ht="30" customHeight="1" x14ac:dyDescent="0.25">
      <c r="A4351" s="1" t="s">
        <v>8762</v>
      </c>
      <c r="B4351" s="1" t="str">
        <f>"9780520948891"</f>
        <v>9780520948891</v>
      </c>
      <c r="C4351" s="1" t="s">
        <v>818</v>
      </c>
      <c r="D4351" s="2">
        <v>40700</v>
      </c>
      <c r="E4351" s="1" t="s">
        <v>8763</v>
      </c>
      <c r="F4351" s="1" t="s">
        <v>33</v>
      </c>
    </row>
    <row r="4352" spans="1:6" ht="30" customHeight="1" x14ac:dyDescent="0.25">
      <c r="A4352" s="1" t="s">
        <v>8764</v>
      </c>
      <c r="B4352" s="1" t="str">
        <f>"9780826141538"</f>
        <v>9780826141538</v>
      </c>
      <c r="C4352" s="1" t="s">
        <v>2339</v>
      </c>
      <c r="D4352" s="2">
        <v>40527</v>
      </c>
      <c r="E4352" s="1" t="s">
        <v>8765</v>
      </c>
      <c r="F4352" s="1" t="s">
        <v>30</v>
      </c>
    </row>
    <row r="4353" spans="1:6" ht="30" customHeight="1" x14ac:dyDescent="0.25">
      <c r="A4353" s="1" t="s">
        <v>8766</v>
      </c>
      <c r="B4353" s="1" t="str">
        <f>"9780826105554"</f>
        <v>9780826105554</v>
      </c>
      <c r="C4353" s="1" t="s">
        <v>2339</v>
      </c>
      <c r="D4353" s="2">
        <v>40477</v>
      </c>
      <c r="E4353" s="1" t="s">
        <v>8767</v>
      </c>
      <c r="F4353" s="1" t="s">
        <v>126</v>
      </c>
    </row>
    <row r="4354" spans="1:6" ht="30" customHeight="1" x14ac:dyDescent="0.25">
      <c r="A4354" s="1" t="s">
        <v>8768</v>
      </c>
      <c r="B4354" s="1" t="str">
        <f>"9780826105578"</f>
        <v>9780826105578</v>
      </c>
      <c r="C4354" s="1" t="s">
        <v>2339</v>
      </c>
      <c r="D4354" s="2">
        <v>40527</v>
      </c>
      <c r="E4354" s="1" t="s">
        <v>8769</v>
      </c>
      <c r="F4354" s="1" t="s">
        <v>126</v>
      </c>
    </row>
    <row r="4355" spans="1:6" ht="30" customHeight="1" x14ac:dyDescent="0.25">
      <c r="A4355" s="1" t="s">
        <v>8770</v>
      </c>
      <c r="B4355" s="1" t="str">
        <f>"9781139044608"</f>
        <v>9781139044608</v>
      </c>
      <c r="C4355" s="1" t="s">
        <v>25</v>
      </c>
      <c r="D4355" s="2">
        <v>40269</v>
      </c>
      <c r="E4355" s="1" t="s">
        <v>8771</v>
      </c>
      <c r="F4355" s="1" t="s">
        <v>13</v>
      </c>
    </row>
    <row r="4356" spans="1:6" ht="30" customHeight="1" x14ac:dyDescent="0.25">
      <c r="A4356" s="1" t="s">
        <v>8772</v>
      </c>
      <c r="B4356" s="1" t="str">
        <f>"9780470630709"</f>
        <v>9780470630709</v>
      </c>
      <c r="C4356" s="1" t="s">
        <v>11</v>
      </c>
      <c r="D4356" s="2">
        <v>40416</v>
      </c>
      <c r="E4356" s="1" t="s">
        <v>8773</v>
      </c>
      <c r="F4356" s="1" t="s">
        <v>268</v>
      </c>
    </row>
    <row r="4357" spans="1:6" ht="30" customHeight="1" x14ac:dyDescent="0.25">
      <c r="A4357" s="1" t="s">
        <v>8774</v>
      </c>
      <c r="B4357" s="1" t="str">
        <f>"9780470909904"</f>
        <v>9780470909904</v>
      </c>
      <c r="C4357" s="1" t="s">
        <v>11</v>
      </c>
      <c r="D4357" s="2">
        <v>40612</v>
      </c>
      <c r="E4357" s="1" t="s">
        <v>8775</v>
      </c>
      <c r="F4357" s="1" t="s">
        <v>2144</v>
      </c>
    </row>
    <row r="4358" spans="1:6" ht="30" customHeight="1" x14ac:dyDescent="0.25">
      <c r="A4358" s="1" t="s">
        <v>8776</v>
      </c>
      <c r="B4358" s="1" t="str">
        <f>"9781118001578"</f>
        <v>9781118001578</v>
      </c>
      <c r="C4358" s="1" t="s">
        <v>65</v>
      </c>
      <c r="D4358" s="2">
        <v>40610</v>
      </c>
      <c r="E4358" s="1" t="s">
        <v>8777</v>
      </c>
      <c r="F4358" s="1" t="s">
        <v>30</v>
      </c>
    </row>
    <row r="4359" spans="1:6" ht="30" customHeight="1" x14ac:dyDescent="0.25">
      <c r="A4359" s="1" t="s">
        <v>8778</v>
      </c>
      <c r="B4359" s="1" t="str">
        <f>"9780470926802"</f>
        <v>9780470926802</v>
      </c>
      <c r="C4359" s="1" t="s">
        <v>11</v>
      </c>
      <c r="D4359" s="2">
        <v>40612</v>
      </c>
      <c r="E4359" s="1" t="s">
        <v>8779</v>
      </c>
      <c r="F4359" s="1" t="s">
        <v>6118</v>
      </c>
    </row>
    <row r="4360" spans="1:6" ht="30" customHeight="1" x14ac:dyDescent="0.25">
      <c r="A4360" s="1" t="s">
        <v>8780</v>
      </c>
      <c r="B4360" s="1" t="str">
        <f>"9780470940648"</f>
        <v>9780470940648</v>
      </c>
      <c r="C4360" s="1" t="s">
        <v>65</v>
      </c>
      <c r="D4360" s="2">
        <v>40605</v>
      </c>
      <c r="E4360" s="1" t="s">
        <v>8781</v>
      </c>
      <c r="F4360" s="1" t="s">
        <v>21</v>
      </c>
    </row>
    <row r="4361" spans="1:6" ht="30" customHeight="1" x14ac:dyDescent="0.25">
      <c r="A4361" s="1" t="s">
        <v>8782</v>
      </c>
      <c r="B4361" s="1" t="str">
        <f>"9781118028063"</f>
        <v>9781118028063</v>
      </c>
      <c r="C4361" s="1" t="s">
        <v>11</v>
      </c>
      <c r="D4361" s="2">
        <v>40612</v>
      </c>
      <c r="E4361" s="1" t="s">
        <v>8783</v>
      </c>
      <c r="F4361" s="1" t="s">
        <v>13</v>
      </c>
    </row>
    <row r="4362" spans="1:6" ht="30" customHeight="1" x14ac:dyDescent="0.25">
      <c r="A4362" s="1" t="s">
        <v>8784</v>
      </c>
      <c r="B4362" s="1" t="str">
        <f>"9781444393217"</f>
        <v>9781444393217</v>
      </c>
      <c r="C4362" s="1" t="s">
        <v>11</v>
      </c>
      <c r="D4362" s="2">
        <v>40590</v>
      </c>
      <c r="E4362" s="1" t="s">
        <v>8785</v>
      </c>
      <c r="F4362" s="1" t="s">
        <v>268</v>
      </c>
    </row>
    <row r="4363" spans="1:6" ht="30" customHeight="1" x14ac:dyDescent="0.25">
      <c r="A4363" s="1" t="s">
        <v>8786</v>
      </c>
      <c r="B4363" s="1" t="str">
        <f>"9781444394023"</f>
        <v>9781444394023</v>
      </c>
      <c r="C4363" s="1" t="s">
        <v>11</v>
      </c>
      <c r="D4363" s="2">
        <v>40592</v>
      </c>
      <c r="E4363" s="1" t="s">
        <v>8787</v>
      </c>
      <c r="F4363" s="1" t="s">
        <v>13</v>
      </c>
    </row>
    <row r="4364" spans="1:6" ht="30" customHeight="1" x14ac:dyDescent="0.25">
      <c r="A4364" s="1" t="s">
        <v>8788</v>
      </c>
      <c r="B4364" s="1" t="str">
        <f>"9781444393996"</f>
        <v>9781444393996</v>
      </c>
      <c r="C4364" s="1" t="s">
        <v>11</v>
      </c>
      <c r="D4364" s="2">
        <v>40597</v>
      </c>
      <c r="E4364" s="1" t="s">
        <v>8789</v>
      </c>
      <c r="F4364" s="1" t="s">
        <v>13</v>
      </c>
    </row>
    <row r="4365" spans="1:6" ht="30" customHeight="1" x14ac:dyDescent="0.25">
      <c r="A4365" s="1" t="s">
        <v>8790</v>
      </c>
      <c r="B4365" s="1" t="str">
        <f>"9780470929261"</f>
        <v>9780470929261</v>
      </c>
      <c r="C4365" s="1" t="s">
        <v>11</v>
      </c>
      <c r="D4365" s="2">
        <v>40248</v>
      </c>
      <c r="E4365" s="1" t="s">
        <v>8791</v>
      </c>
      <c r="F4365" s="1" t="s">
        <v>137</v>
      </c>
    </row>
    <row r="4366" spans="1:6" ht="30" customHeight="1" x14ac:dyDescent="0.25">
      <c r="A4366" s="1" t="s">
        <v>8792</v>
      </c>
      <c r="B4366" s="1" t="str">
        <f>"9781444342659"</f>
        <v>9781444342659</v>
      </c>
      <c r="C4366" s="1" t="s">
        <v>11</v>
      </c>
      <c r="D4366" s="2">
        <v>40588</v>
      </c>
      <c r="E4366" s="1" t="s">
        <v>8793</v>
      </c>
      <c r="F4366" s="1" t="s">
        <v>13</v>
      </c>
    </row>
    <row r="4367" spans="1:6" ht="30" customHeight="1" x14ac:dyDescent="0.25">
      <c r="A4367" s="1" t="s">
        <v>8794</v>
      </c>
      <c r="B4367" s="1" t="str">
        <f>"9781444339987"</f>
        <v>9781444339987</v>
      </c>
      <c r="C4367" s="1" t="s">
        <v>65</v>
      </c>
      <c r="D4367" s="2">
        <v>40603</v>
      </c>
      <c r="E4367" s="1" t="s">
        <v>8795</v>
      </c>
      <c r="F4367" s="1" t="s">
        <v>13</v>
      </c>
    </row>
    <row r="4368" spans="1:6" ht="30" customHeight="1" x14ac:dyDescent="0.25">
      <c r="A4368" s="1" t="s">
        <v>8796</v>
      </c>
      <c r="B4368" s="1" t="str">
        <f>"9780759119703"</f>
        <v>9780759119703</v>
      </c>
      <c r="C4368" s="1" t="s">
        <v>8723</v>
      </c>
      <c r="D4368" s="2">
        <v>40679</v>
      </c>
      <c r="E4368" s="1" t="s">
        <v>8797</v>
      </c>
      <c r="F4368" s="1" t="s">
        <v>8798</v>
      </c>
    </row>
    <row r="4369" spans="1:6" ht="30" customHeight="1" x14ac:dyDescent="0.25">
      <c r="A4369" s="1" t="s">
        <v>8799</v>
      </c>
      <c r="B4369" s="1" t="str">
        <f>"9789048514700"</f>
        <v>9789048514700</v>
      </c>
      <c r="C4369" s="1" t="s">
        <v>5455</v>
      </c>
      <c r="D4369" s="2">
        <v>40179</v>
      </c>
      <c r="E4369" s="1" t="s">
        <v>8800</v>
      </c>
      <c r="F4369" s="1" t="s">
        <v>8801</v>
      </c>
    </row>
    <row r="4370" spans="1:6" ht="30" customHeight="1" x14ac:dyDescent="0.25">
      <c r="A4370" s="1" t="s">
        <v>8802</v>
      </c>
      <c r="B4370" s="1" t="str">
        <f>"9789048513543"</f>
        <v>9789048513543</v>
      </c>
      <c r="C4370" s="1" t="s">
        <v>5455</v>
      </c>
      <c r="D4370" s="2">
        <v>40179</v>
      </c>
      <c r="E4370" s="1" t="s">
        <v>8803</v>
      </c>
      <c r="F4370" s="1" t="s">
        <v>13</v>
      </c>
    </row>
    <row r="4371" spans="1:6" ht="30" customHeight="1" x14ac:dyDescent="0.25">
      <c r="A4371" s="1" t="s">
        <v>8804</v>
      </c>
      <c r="B4371" s="1" t="str">
        <f>"9789048513451"</f>
        <v>9789048513451</v>
      </c>
      <c r="C4371" s="1" t="s">
        <v>5455</v>
      </c>
      <c r="D4371" s="2">
        <v>40179</v>
      </c>
      <c r="E4371" s="1" t="s">
        <v>8805</v>
      </c>
      <c r="F4371" s="1" t="s">
        <v>21</v>
      </c>
    </row>
    <row r="4372" spans="1:6" ht="30" customHeight="1" x14ac:dyDescent="0.25">
      <c r="A4372" s="1" t="s">
        <v>8806</v>
      </c>
      <c r="B4372" s="1" t="str">
        <f>"9780826105486"</f>
        <v>9780826105486</v>
      </c>
      <c r="C4372" s="1" t="s">
        <v>2339</v>
      </c>
      <c r="D4372" s="2">
        <v>40571</v>
      </c>
      <c r="E4372" s="1" t="s">
        <v>8807</v>
      </c>
      <c r="F4372" s="1" t="s">
        <v>13</v>
      </c>
    </row>
    <row r="4373" spans="1:6" ht="30" customHeight="1" x14ac:dyDescent="0.25">
      <c r="A4373" s="1" t="s">
        <v>8808</v>
      </c>
      <c r="B4373" s="1" t="str">
        <f>"9780826105509"</f>
        <v>9780826105509</v>
      </c>
      <c r="C4373" s="1" t="s">
        <v>2339</v>
      </c>
      <c r="D4373" s="2">
        <v>40599</v>
      </c>
      <c r="E4373" s="1" t="s">
        <v>8807</v>
      </c>
      <c r="F4373" s="1" t="s">
        <v>13</v>
      </c>
    </row>
    <row r="4374" spans="1:6" ht="30" customHeight="1" x14ac:dyDescent="0.25">
      <c r="A4374" s="1" t="s">
        <v>8809</v>
      </c>
      <c r="B4374" s="1" t="str">
        <f>"9781555816803"</f>
        <v>9781555816803</v>
      </c>
      <c r="C4374" s="1" t="s">
        <v>7254</v>
      </c>
      <c r="D4374" s="2">
        <v>40179</v>
      </c>
      <c r="E4374" s="1" t="s">
        <v>8810</v>
      </c>
      <c r="F4374" s="1" t="s">
        <v>176</v>
      </c>
    </row>
    <row r="4375" spans="1:6" ht="30" customHeight="1" x14ac:dyDescent="0.25">
      <c r="A4375" s="1" t="s">
        <v>8811</v>
      </c>
      <c r="B4375" s="1" t="str">
        <f>"9781555816902"</f>
        <v>9781555816902</v>
      </c>
      <c r="C4375" s="1" t="s">
        <v>7254</v>
      </c>
      <c r="D4375" s="2">
        <v>40544</v>
      </c>
      <c r="E4375" s="1" t="s">
        <v>8812</v>
      </c>
      <c r="F4375" s="1" t="s">
        <v>8813</v>
      </c>
    </row>
    <row r="4376" spans="1:6" ht="30" customHeight="1" x14ac:dyDescent="0.25">
      <c r="A4376" s="1" t="s">
        <v>8814</v>
      </c>
      <c r="B4376" s="1" t="str">
        <f>"9781555816872"</f>
        <v>9781555816872</v>
      </c>
      <c r="C4376" s="1" t="s">
        <v>7254</v>
      </c>
      <c r="D4376" s="2">
        <v>40544</v>
      </c>
      <c r="E4376" s="1" t="s">
        <v>8815</v>
      </c>
      <c r="F4376" s="1" t="s">
        <v>359</v>
      </c>
    </row>
    <row r="4377" spans="1:6" ht="30" customHeight="1" x14ac:dyDescent="0.25">
      <c r="A4377" s="1" t="s">
        <v>8816</v>
      </c>
      <c r="B4377" s="1" t="str">
        <f>"9781555816865"</f>
        <v>9781555816865</v>
      </c>
      <c r="C4377" s="1" t="s">
        <v>7254</v>
      </c>
      <c r="D4377" s="2">
        <v>40544</v>
      </c>
      <c r="E4377" s="1" t="s">
        <v>8817</v>
      </c>
      <c r="F4377" s="1" t="s">
        <v>63</v>
      </c>
    </row>
    <row r="4378" spans="1:6" ht="30" customHeight="1" x14ac:dyDescent="0.25">
      <c r="A4378" s="1" t="s">
        <v>8818</v>
      </c>
      <c r="B4378" s="1" t="str">
        <f>"9781555816889"</f>
        <v>9781555816889</v>
      </c>
      <c r="C4378" s="1" t="s">
        <v>7254</v>
      </c>
      <c r="D4378" s="2">
        <v>40544</v>
      </c>
      <c r="E4378" s="1" t="s">
        <v>8819</v>
      </c>
      <c r="F4378" s="1" t="s">
        <v>33</v>
      </c>
    </row>
    <row r="4379" spans="1:6" ht="30" customHeight="1" x14ac:dyDescent="0.25">
      <c r="A4379" s="1" t="s">
        <v>8820</v>
      </c>
      <c r="B4379" s="1" t="str">
        <f>"9780857010285"</f>
        <v>9780857010285</v>
      </c>
      <c r="C4379" s="1" t="s">
        <v>2387</v>
      </c>
      <c r="D4379" s="2">
        <v>40466</v>
      </c>
      <c r="E4379" s="1" t="s">
        <v>8821</v>
      </c>
      <c r="F4379" s="1" t="s">
        <v>137</v>
      </c>
    </row>
    <row r="4380" spans="1:6" ht="30" customHeight="1" x14ac:dyDescent="0.25">
      <c r="A4380" s="1" t="s">
        <v>8822</v>
      </c>
      <c r="B4380" s="1" t="str">
        <f>"9780857002259"</f>
        <v>9780857002259</v>
      </c>
      <c r="C4380" s="1" t="s">
        <v>2387</v>
      </c>
      <c r="D4380" s="2">
        <v>40466</v>
      </c>
      <c r="E4380" s="1" t="s">
        <v>8823</v>
      </c>
      <c r="F4380" s="1" t="s">
        <v>33</v>
      </c>
    </row>
    <row r="4381" spans="1:6" ht="30" customHeight="1" x14ac:dyDescent="0.25">
      <c r="A4381" s="1" t="s">
        <v>8824</v>
      </c>
      <c r="B4381" s="1" t="str">
        <f>"9780857002358"</f>
        <v>9780857002358</v>
      </c>
      <c r="C4381" s="1" t="s">
        <v>2387</v>
      </c>
      <c r="D4381" s="2">
        <v>40558</v>
      </c>
      <c r="E4381" s="1" t="s">
        <v>8825</v>
      </c>
      <c r="F4381" s="1" t="s">
        <v>13</v>
      </c>
    </row>
    <row r="4382" spans="1:6" ht="30" customHeight="1" x14ac:dyDescent="0.25">
      <c r="A4382" s="1" t="s">
        <v>8826</v>
      </c>
      <c r="B4382" s="1" t="str">
        <f>"9780857003904"</f>
        <v>9780857003904</v>
      </c>
      <c r="C4382" s="1" t="s">
        <v>2387</v>
      </c>
      <c r="D4382" s="2">
        <v>40558</v>
      </c>
      <c r="E4382" s="1" t="s">
        <v>8827</v>
      </c>
      <c r="F4382" s="1" t="s">
        <v>87</v>
      </c>
    </row>
    <row r="4383" spans="1:6" ht="30" customHeight="1" x14ac:dyDescent="0.25">
      <c r="A4383" s="1" t="s">
        <v>8828</v>
      </c>
      <c r="B4383" s="1" t="str">
        <f>"9780857010179"</f>
        <v>9780857010179</v>
      </c>
      <c r="C4383" s="1" t="s">
        <v>2387</v>
      </c>
      <c r="D4383" s="2">
        <v>41422</v>
      </c>
      <c r="E4383" s="1" t="s">
        <v>8829</v>
      </c>
      <c r="F4383" s="1" t="s">
        <v>30</v>
      </c>
    </row>
    <row r="4384" spans="1:6" ht="30" customHeight="1" x14ac:dyDescent="0.25">
      <c r="A4384" s="1" t="s">
        <v>8830</v>
      </c>
      <c r="B4384" s="1" t="str">
        <f>"9780857002952"</f>
        <v>9780857002952</v>
      </c>
      <c r="C4384" s="1" t="s">
        <v>2387</v>
      </c>
      <c r="D4384" s="2">
        <v>40344</v>
      </c>
      <c r="E4384" s="1" t="s">
        <v>8831</v>
      </c>
      <c r="F4384" s="1" t="s">
        <v>13</v>
      </c>
    </row>
    <row r="4385" spans="1:6" ht="30" customHeight="1" x14ac:dyDescent="0.25">
      <c r="A4385" s="1" t="s">
        <v>8832</v>
      </c>
      <c r="B4385" s="1" t="str">
        <f>"9780857002631"</f>
        <v>9780857002631</v>
      </c>
      <c r="C4385" s="1" t="s">
        <v>2387</v>
      </c>
      <c r="D4385" s="2">
        <v>40313</v>
      </c>
      <c r="E4385" s="1" t="s">
        <v>8833</v>
      </c>
      <c r="F4385" s="1" t="s">
        <v>13</v>
      </c>
    </row>
    <row r="4386" spans="1:6" ht="30" customHeight="1" x14ac:dyDescent="0.25">
      <c r="A4386" s="1" t="s">
        <v>8834</v>
      </c>
      <c r="B4386" s="1" t="str">
        <f>"9780857003959"</f>
        <v>9780857003959</v>
      </c>
      <c r="C4386" s="1" t="s">
        <v>2387</v>
      </c>
      <c r="D4386" s="2">
        <v>40589</v>
      </c>
      <c r="E4386" s="1" t="s">
        <v>8835</v>
      </c>
      <c r="F4386" s="1" t="s">
        <v>13</v>
      </c>
    </row>
    <row r="4387" spans="1:6" ht="30" customHeight="1" x14ac:dyDescent="0.25">
      <c r="A4387" s="1" t="s">
        <v>8836</v>
      </c>
      <c r="B4387" s="1" t="str">
        <f>"9780857002815"</f>
        <v>9780857002815</v>
      </c>
      <c r="C4387" s="1" t="s">
        <v>2387</v>
      </c>
      <c r="D4387" s="2">
        <v>40313</v>
      </c>
      <c r="E4387" s="1" t="s">
        <v>8837</v>
      </c>
      <c r="F4387" s="1" t="s">
        <v>13</v>
      </c>
    </row>
    <row r="4388" spans="1:6" ht="30" customHeight="1" x14ac:dyDescent="0.25">
      <c r="A4388" s="1" t="s">
        <v>8838</v>
      </c>
      <c r="B4388" s="1" t="str">
        <f>"9780857010209"</f>
        <v>9780857010209</v>
      </c>
      <c r="C4388" s="1" t="s">
        <v>2387</v>
      </c>
      <c r="D4388" s="2">
        <v>40558</v>
      </c>
      <c r="E4388" s="1" t="s">
        <v>8839</v>
      </c>
      <c r="F4388" s="1" t="s">
        <v>13</v>
      </c>
    </row>
    <row r="4389" spans="1:6" ht="30" customHeight="1" x14ac:dyDescent="0.25">
      <c r="A4389" s="1" t="s">
        <v>8840</v>
      </c>
      <c r="B4389" s="1" t="str">
        <f>"9780857010193"</f>
        <v>9780857010193</v>
      </c>
      <c r="C4389" s="1" t="s">
        <v>2387</v>
      </c>
      <c r="D4389" s="2">
        <v>40558</v>
      </c>
      <c r="E4389" s="1" t="s">
        <v>8839</v>
      </c>
      <c r="F4389" s="1" t="s">
        <v>13</v>
      </c>
    </row>
    <row r="4390" spans="1:6" ht="30" customHeight="1" x14ac:dyDescent="0.25">
      <c r="A4390" s="1" t="s">
        <v>8841</v>
      </c>
      <c r="B4390" s="1" t="str">
        <f>"9780857003874"</f>
        <v>9780857003874</v>
      </c>
      <c r="C4390" s="1" t="s">
        <v>2387</v>
      </c>
      <c r="D4390" s="2">
        <v>40344</v>
      </c>
      <c r="E4390" s="1" t="s">
        <v>8842</v>
      </c>
      <c r="F4390" s="1" t="s">
        <v>148</v>
      </c>
    </row>
    <row r="4391" spans="1:6" ht="30" customHeight="1" x14ac:dyDescent="0.25">
      <c r="A4391" s="1" t="s">
        <v>8843</v>
      </c>
      <c r="B4391" s="1" t="str">
        <f>"9780857003881"</f>
        <v>9780857003881</v>
      </c>
      <c r="C4391" s="1" t="s">
        <v>2387</v>
      </c>
      <c r="D4391" s="2">
        <v>40558</v>
      </c>
      <c r="E4391" s="1" t="s">
        <v>5183</v>
      </c>
      <c r="F4391" s="1" t="s">
        <v>13</v>
      </c>
    </row>
    <row r="4392" spans="1:6" ht="30" customHeight="1" x14ac:dyDescent="0.25">
      <c r="A4392" s="1" t="s">
        <v>8844</v>
      </c>
      <c r="B4392" s="1" t="str">
        <f>"9780857002396"</f>
        <v>9780857002396</v>
      </c>
      <c r="C4392" s="1" t="s">
        <v>2387</v>
      </c>
      <c r="D4392" s="2">
        <v>40558</v>
      </c>
      <c r="E4392" s="1" t="s">
        <v>8845</v>
      </c>
      <c r="F4392" s="1" t="s">
        <v>13</v>
      </c>
    </row>
    <row r="4393" spans="1:6" ht="30" customHeight="1" x14ac:dyDescent="0.25">
      <c r="A4393" s="1" t="s">
        <v>8846</v>
      </c>
      <c r="B4393" s="1" t="str">
        <f>"9780857002594"</f>
        <v>9780857002594</v>
      </c>
      <c r="C4393" s="1" t="s">
        <v>2387</v>
      </c>
      <c r="D4393" s="2">
        <v>40374</v>
      </c>
      <c r="E4393" s="1" t="s">
        <v>8847</v>
      </c>
      <c r="F4393" s="1" t="s">
        <v>13</v>
      </c>
    </row>
    <row r="4394" spans="1:6" ht="30" customHeight="1" x14ac:dyDescent="0.25">
      <c r="A4394" s="1" t="s">
        <v>8848</v>
      </c>
      <c r="B4394" s="1" t="str">
        <f>"9780857003430"</f>
        <v>9780857003430</v>
      </c>
      <c r="C4394" s="1" t="s">
        <v>2387</v>
      </c>
      <c r="D4394" s="2">
        <v>40466</v>
      </c>
      <c r="E4394" s="1" t="s">
        <v>8849</v>
      </c>
      <c r="F4394" s="1" t="s">
        <v>13</v>
      </c>
    </row>
    <row r="4395" spans="1:6" ht="30" customHeight="1" x14ac:dyDescent="0.25">
      <c r="A4395" s="1" t="s">
        <v>8850</v>
      </c>
      <c r="B4395" s="1" t="str">
        <f>"9780857002990"</f>
        <v>9780857002990</v>
      </c>
      <c r="C4395" s="1" t="s">
        <v>2387</v>
      </c>
      <c r="D4395" s="2">
        <v>40558</v>
      </c>
      <c r="E4395" s="1" t="s">
        <v>8851</v>
      </c>
      <c r="F4395" s="1" t="s">
        <v>13</v>
      </c>
    </row>
    <row r="4396" spans="1:6" ht="30" customHeight="1" x14ac:dyDescent="0.25">
      <c r="A4396" s="1" t="s">
        <v>8852</v>
      </c>
      <c r="B4396" s="1" t="str">
        <f>"9780857002839"</f>
        <v>9780857002839</v>
      </c>
      <c r="C4396" s="1" t="s">
        <v>2387</v>
      </c>
      <c r="D4396" s="2">
        <v>40313</v>
      </c>
      <c r="E4396" s="1" t="s">
        <v>8853</v>
      </c>
      <c r="F4396" s="1" t="s">
        <v>13</v>
      </c>
    </row>
    <row r="4397" spans="1:6" ht="30" customHeight="1" x14ac:dyDescent="0.25">
      <c r="A4397" s="1" t="s">
        <v>8854</v>
      </c>
      <c r="B4397" s="1" t="str">
        <f>"9780857002303"</f>
        <v>9780857002303</v>
      </c>
      <c r="C4397" s="1" t="s">
        <v>2387</v>
      </c>
      <c r="D4397" s="2">
        <v>40466</v>
      </c>
      <c r="E4397" s="1" t="s">
        <v>8855</v>
      </c>
      <c r="F4397" s="1" t="s">
        <v>176</v>
      </c>
    </row>
    <row r="4398" spans="1:6" ht="30" customHeight="1" x14ac:dyDescent="0.25">
      <c r="A4398" s="1" t="s">
        <v>8856</v>
      </c>
      <c r="B4398" s="1" t="str">
        <f>"9780857010261"</f>
        <v>9780857010261</v>
      </c>
      <c r="C4398" s="1" t="s">
        <v>2387</v>
      </c>
      <c r="D4398" s="2">
        <v>40374</v>
      </c>
      <c r="E4398" s="1" t="s">
        <v>8857</v>
      </c>
      <c r="F4398" s="1" t="s">
        <v>13</v>
      </c>
    </row>
    <row r="4399" spans="1:6" ht="30" customHeight="1" x14ac:dyDescent="0.25">
      <c r="A4399" s="1" t="s">
        <v>8858</v>
      </c>
      <c r="B4399" s="1" t="str">
        <f>"9780857003782"</f>
        <v>9780857003782</v>
      </c>
      <c r="C4399" s="1" t="s">
        <v>2387</v>
      </c>
      <c r="D4399" s="2">
        <v>40269</v>
      </c>
      <c r="E4399" s="1" t="s">
        <v>8859</v>
      </c>
      <c r="F4399" s="1" t="s">
        <v>13</v>
      </c>
    </row>
    <row r="4400" spans="1:6" ht="30" customHeight="1" x14ac:dyDescent="0.25">
      <c r="A4400" s="1" t="s">
        <v>8860</v>
      </c>
      <c r="B4400" s="1" t="str">
        <f>"9780857003850"</f>
        <v>9780857003850</v>
      </c>
      <c r="C4400" s="1" t="s">
        <v>2387</v>
      </c>
      <c r="D4400" s="2">
        <v>40344</v>
      </c>
      <c r="E4400" s="1" t="s">
        <v>8861</v>
      </c>
      <c r="F4400" s="1" t="s">
        <v>904</v>
      </c>
    </row>
    <row r="4401" spans="1:6" ht="30" customHeight="1" x14ac:dyDescent="0.25">
      <c r="A4401" s="1" t="s">
        <v>8862</v>
      </c>
      <c r="B4401" s="1" t="str">
        <f>"9781598747089"</f>
        <v>9781598747089</v>
      </c>
      <c r="C4401" s="1" t="s">
        <v>68</v>
      </c>
      <c r="D4401" s="2">
        <v>39691</v>
      </c>
      <c r="E4401" s="1" t="s">
        <v>8863</v>
      </c>
      <c r="F4401" s="1" t="s">
        <v>4434</v>
      </c>
    </row>
    <row r="4402" spans="1:6" ht="30" customHeight="1" x14ac:dyDescent="0.25">
      <c r="A4402" s="1" t="s">
        <v>8864</v>
      </c>
      <c r="B4402" s="1" t="str">
        <f>"9781598747034"</f>
        <v>9781598747034</v>
      </c>
      <c r="C4402" s="1" t="s">
        <v>68</v>
      </c>
      <c r="D4402" s="2">
        <v>40282</v>
      </c>
      <c r="E4402" s="1" t="s">
        <v>8865</v>
      </c>
      <c r="F4402" s="1" t="s">
        <v>13</v>
      </c>
    </row>
    <row r="4403" spans="1:6" ht="30" customHeight="1" x14ac:dyDescent="0.25">
      <c r="A4403" s="1" t="s">
        <v>8866</v>
      </c>
      <c r="B4403" s="1" t="str">
        <f>"9781598747409"</f>
        <v>9781598747409</v>
      </c>
      <c r="C4403" s="1" t="s">
        <v>68</v>
      </c>
      <c r="D4403" s="2">
        <v>39736</v>
      </c>
      <c r="E4403" s="1" t="s">
        <v>8867</v>
      </c>
      <c r="F4403" s="1" t="s">
        <v>87</v>
      </c>
    </row>
    <row r="4404" spans="1:6" ht="30" customHeight="1" x14ac:dyDescent="0.25">
      <c r="A4404" s="1" t="s">
        <v>8868</v>
      </c>
      <c r="B4404" s="1" t="str">
        <f>"9781598747294"</f>
        <v>9781598747294</v>
      </c>
      <c r="C4404" s="1" t="s">
        <v>68</v>
      </c>
      <c r="D4404" s="2">
        <v>40056</v>
      </c>
      <c r="E4404" s="1" t="s">
        <v>8869</v>
      </c>
      <c r="F4404" s="1" t="s">
        <v>8870</v>
      </c>
    </row>
    <row r="4405" spans="1:6" ht="30" customHeight="1" x14ac:dyDescent="0.25">
      <c r="A4405" s="1" t="s">
        <v>8871</v>
      </c>
      <c r="B4405" s="1" t="str">
        <f>"9781598747782"</f>
        <v>9781598747782</v>
      </c>
      <c r="C4405" s="1" t="s">
        <v>68</v>
      </c>
      <c r="D4405" s="2">
        <v>39128</v>
      </c>
      <c r="E4405" s="1" t="s">
        <v>8872</v>
      </c>
      <c r="F4405" s="1" t="s">
        <v>87</v>
      </c>
    </row>
    <row r="4406" spans="1:6" ht="30" customHeight="1" x14ac:dyDescent="0.25">
      <c r="A4406" s="1" t="s">
        <v>8873</v>
      </c>
      <c r="B4406" s="1" t="str">
        <f>"9781598747423"</f>
        <v>9781598747423</v>
      </c>
      <c r="C4406" s="1" t="s">
        <v>8874</v>
      </c>
      <c r="D4406" s="2">
        <v>40087</v>
      </c>
      <c r="E4406" s="1" t="s">
        <v>8875</v>
      </c>
      <c r="F4406" s="1" t="s">
        <v>87</v>
      </c>
    </row>
    <row r="4407" spans="1:6" ht="30" customHeight="1" x14ac:dyDescent="0.25">
      <c r="A4407" s="1" t="s">
        <v>8876</v>
      </c>
      <c r="B4407" s="1" t="str">
        <f>"9781598747492"</f>
        <v>9781598747492</v>
      </c>
      <c r="C4407" s="1" t="s">
        <v>68</v>
      </c>
      <c r="D4407" s="2">
        <v>39005</v>
      </c>
      <c r="E4407" s="1" t="s">
        <v>8877</v>
      </c>
      <c r="F4407" s="1" t="s">
        <v>87</v>
      </c>
    </row>
    <row r="4408" spans="1:6" ht="30" customHeight="1" x14ac:dyDescent="0.25">
      <c r="A4408" s="1" t="s">
        <v>8878</v>
      </c>
      <c r="B4408" s="1" t="str">
        <f>"9781598747584"</f>
        <v>9781598747584</v>
      </c>
      <c r="C4408" s="1" t="s">
        <v>68</v>
      </c>
      <c r="D4408" s="2">
        <v>39309</v>
      </c>
      <c r="E4408" s="1" t="s">
        <v>4961</v>
      </c>
      <c r="F4408" s="1" t="s">
        <v>13</v>
      </c>
    </row>
    <row r="4409" spans="1:6" ht="30" customHeight="1" x14ac:dyDescent="0.25">
      <c r="A4409" s="1" t="s">
        <v>8879</v>
      </c>
      <c r="B4409" s="1" t="str">
        <f>"9780765708489"</f>
        <v>9780765708489</v>
      </c>
      <c r="C4409" s="1" t="s">
        <v>6903</v>
      </c>
      <c r="D4409" s="2">
        <v>40668</v>
      </c>
      <c r="E4409" s="1" t="s">
        <v>8880</v>
      </c>
      <c r="F4409" s="1" t="s">
        <v>13</v>
      </c>
    </row>
    <row r="4410" spans="1:6" ht="30" customHeight="1" x14ac:dyDescent="0.25">
      <c r="A4410" s="1" t="s">
        <v>8881</v>
      </c>
      <c r="B4410" s="1" t="str">
        <f>"9780313358692"</f>
        <v>9780313358692</v>
      </c>
      <c r="C4410" s="1" t="s">
        <v>7550</v>
      </c>
      <c r="D4410" s="2">
        <v>40605</v>
      </c>
      <c r="E4410" s="1" t="s">
        <v>8882</v>
      </c>
      <c r="F4410" s="1" t="s">
        <v>13</v>
      </c>
    </row>
    <row r="4411" spans="1:6" ht="30" customHeight="1" x14ac:dyDescent="0.25">
      <c r="A4411" s="1" t="s">
        <v>8883</v>
      </c>
      <c r="B4411" s="1" t="str">
        <f>"9780313383908"</f>
        <v>9780313383908</v>
      </c>
      <c r="C4411" s="1" t="s">
        <v>7550</v>
      </c>
      <c r="D4411" s="2">
        <v>40374</v>
      </c>
      <c r="E4411" s="1" t="s">
        <v>8884</v>
      </c>
      <c r="F4411" s="1" t="s">
        <v>13</v>
      </c>
    </row>
    <row r="4412" spans="1:6" ht="30" customHeight="1" x14ac:dyDescent="0.25">
      <c r="A4412" s="1" t="s">
        <v>8885</v>
      </c>
      <c r="B4412" s="1" t="str">
        <f>"9780313386152"</f>
        <v>9780313386152</v>
      </c>
      <c r="C4412" s="1" t="s">
        <v>7550</v>
      </c>
      <c r="D4412" s="2">
        <v>40289</v>
      </c>
      <c r="E4412" s="1" t="s">
        <v>8886</v>
      </c>
      <c r="F4412" s="1" t="s">
        <v>13</v>
      </c>
    </row>
    <row r="4413" spans="1:6" ht="30" customHeight="1" x14ac:dyDescent="0.25">
      <c r="A4413" s="1" t="s">
        <v>8887</v>
      </c>
      <c r="B4413" s="1" t="str">
        <f>"9780826106209"</f>
        <v>9780826106209</v>
      </c>
      <c r="C4413" s="1" t="s">
        <v>2339</v>
      </c>
      <c r="D4413" s="2">
        <v>40623</v>
      </c>
      <c r="E4413" s="1" t="s">
        <v>8888</v>
      </c>
      <c r="F4413" s="1" t="s">
        <v>13</v>
      </c>
    </row>
    <row r="4414" spans="1:6" ht="30" customHeight="1" x14ac:dyDescent="0.25">
      <c r="A4414" s="1" t="s">
        <v>8889</v>
      </c>
      <c r="B4414" s="1" t="str">
        <f>"9780826106605"</f>
        <v>9780826106605</v>
      </c>
      <c r="C4414" s="1" t="s">
        <v>2339</v>
      </c>
      <c r="D4414" s="2">
        <v>40563</v>
      </c>
      <c r="E4414" s="1" t="s">
        <v>8890</v>
      </c>
      <c r="F4414" s="1" t="s">
        <v>13</v>
      </c>
    </row>
    <row r="4415" spans="1:6" ht="30" customHeight="1" x14ac:dyDescent="0.25">
      <c r="A4415" s="1" t="s">
        <v>8891</v>
      </c>
      <c r="B4415" s="1" t="str">
        <f>"9780826125699"</f>
        <v>9780826125699</v>
      </c>
      <c r="C4415" s="1" t="s">
        <v>2339</v>
      </c>
      <c r="D4415" s="2">
        <v>40228</v>
      </c>
      <c r="E4415" s="1" t="s">
        <v>8892</v>
      </c>
      <c r="F4415" s="1" t="s">
        <v>283</v>
      </c>
    </row>
    <row r="4416" spans="1:6" ht="30" customHeight="1" x14ac:dyDescent="0.25">
      <c r="A4416" s="1" t="s">
        <v>8893</v>
      </c>
      <c r="B4416" s="1" t="str">
        <f>"9781409432074"</f>
        <v>9781409432074</v>
      </c>
      <c r="C4416" s="1" t="s">
        <v>93</v>
      </c>
      <c r="D4416" s="2">
        <v>40695</v>
      </c>
      <c r="E4416" s="1" t="s">
        <v>8894</v>
      </c>
      <c r="F4416" s="1" t="s">
        <v>13</v>
      </c>
    </row>
    <row r="4417" spans="1:6" ht="30" customHeight="1" x14ac:dyDescent="0.25">
      <c r="A4417" s="1" t="s">
        <v>8895</v>
      </c>
      <c r="B4417" s="1" t="str">
        <f>"9780199838271"</f>
        <v>9780199838271</v>
      </c>
      <c r="C4417" s="1" t="s">
        <v>1120</v>
      </c>
      <c r="D4417" s="2">
        <v>40625</v>
      </c>
      <c r="E4417" s="1" t="s">
        <v>8896</v>
      </c>
      <c r="F4417" s="1" t="s">
        <v>148</v>
      </c>
    </row>
    <row r="4418" spans="1:6" ht="30" customHeight="1" x14ac:dyDescent="0.25">
      <c r="A4418" s="1" t="s">
        <v>8897</v>
      </c>
      <c r="B4418" s="1" t="str">
        <f>"9780199838349"</f>
        <v>9780199838349</v>
      </c>
      <c r="C4418" s="1" t="s">
        <v>1123</v>
      </c>
      <c r="D4418" s="2">
        <v>40624</v>
      </c>
      <c r="E4418" s="1" t="s">
        <v>8898</v>
      </c>
      <c r="F4418" s="1" t="s">
        <v>13</v>
      </c>
    </row>
    <row r="4419" spans="1:6" ht="30" customHeight="1" x14ac:dyDescent="0.25">
      <c r="A4419" s="1" t="s">
        <v>8899</v>
      </c>
      <c r="B4419" s="1" t="str">
        <f>"9780123756893"</f>
        <v>9780123756893</v>
      </c>
      <c r="C4419" s="1" t="s">
        <v>900</v>
      </c>
      <c r="D4419" s="2">
        <v>40633</v>
      </c>
      <c r="E4419" s="1" t="s">
        <v>8900</v>
      </c>
      <c r="F4419" s="1" t="s">
        <v>8901</v>
      </c>
    </row>
    <row r="4420" spans="1:6" ht="30" customHeight="1" x14ac:dyDescent="0.25">
      <c r="A4420" s="1" t="s">
        <v>8902</v>
      </c>
      <c r="B4420" s="1" t="str">
        <f>"9780816675333"</f>
        <v>9780816675333</v>
      </c>
      <c r="C4420" s="1" t="s">
        <v>3458</v>
      </c>
      <c r="D4420" s="2">
        <v>40518</v>
      </c>
      <c r="E4420" s="1" t="s">
        <v>8903</v>
      </c>
      <c r="F4420" s="1" t="s">
        <v>95</v>
      </c>
    </row>
    <row r="4421" spans="1:6" ht="30" customHeight="1" x14ac:dyDescent="0.25">
      <c r="A4421" s="1" t="s">
        <v>8904</v>
      </c>
      <c r="B4421" s="1" t="str">
        <f>"9780335239870"</f>
        <v>9780335239870</v>
      </c>
      <c r="C4421" s="1" t="s">
        <v>2247</v>
      </c>
      <c r="D4421" s="2">
        <v>40544</v>
      </c>
      <c r="E4421" s="1" t="s">
        <v>8905</v>
      </c>
      <c r="F4421" s="1" t="s">
        <v>30</v>
      </c>
    </row>
    <row r="4422" spans="1:6" ht="30" customHeight="1" x14ac:dyDescent="0.25">
      <c r="A4422" s="1" t="s">
        <v>8906</v>
      </c>
      <c r="B4422" s="1" t="str">
        <f>"9780335242856"</f>
        <v>9780335242856</v>
      </c>
      <c r="C4422" s="1" t="s">
        <v>2247</v>
      </c>
      <c r="D4422" s="2">
        <v>40603</v>
      </c>
      <c r="E4422" s="1" t="s">
        <v>8907</v>
      </c>
      <c r="F4422" s="1" t="s">
        <v>126</v>
      </c>
    </row>
    <row r="4423" spans="1:6" ht="30" customHeight="1" x14ac:dyDescent="0.25">
      <c r="A4423" s="1" t="s">
        <v>8908</v>
      </c>
      <c r="B4423" s="1" t="str">
        <f>"9780826106384"</f>
        <v>9780826106384</v>
      </c>
      <c r="C4423" s="1" t="s">
        <v>2339</v>
      </c>
      <c r="D4423" s="2">
        <v>40648</v>
      </c>
      <c r="E4423" s="1" t="s">
        <v>8909</v>
      </c>
      <c r="F4423" s="1" t="s">
        <v>13</v>
      </c>
    </row>
    <row r="4424" spans="1:6" ht="30" customHeight="1" x14ac:dyDescent="0.25">
      <c r="A4424" s="1" t="s">
        <v>8910</v>
      </c>
      <c r="B4424" s="1" t="str">
        <f>"9780826107534"</f>
        <v>9780826107534</v>
      </c>
      <c r="C4424" s="1" t="s">
        <v>2339</v>
      </c>
      <c r="D4424" s="2">
        <v>40575</v>
      </c>
      <c r="E4424" s="1" t="s">
        <v>8911</v>
      </c>
      <c r="F4424" s="1" t="s">
        <v>126</v>
      </c>
    </row>
    <row r="4425" spans="1:6" ht="30" customHeight="1" x14ac:dyDescent="0.25">
      <c r="A4425" s="1" t="s">
        <v>8912</v>
      </c>
      <c r="B4425" s="1" t="str">
        <f>"9780826118820"</f>
        <v>9780826118820</v>
      </c>
      <c r="C4425" s="1" t="s">
        <v>2339</v>
      </c>
      <c r="D4425" s="2">
        <v>40655</v>
      </c>
      <c r="E4425" s="1" t="s">
        <v>8913</v>
      </c>
      <c r="F4425" s="1" t="s">
        <v>13</v>
      </c>
    </row>
    <row r="4426" spans="1:6" ht="30" customHeight="1" x14ac:dyDescent="0.25">
      <c r="A4426" s="1" t="s">
        <v>8914</v>
      </c>
      <c r="B4426" s="1" t="str">
        <f>"9789047443506"</f>
        <v>9789047443506</v>
      </c>
      <c r="C4426" s="1" t="s">
        <v>906</v>
      </c>
      <c r="D4426" s="2">
        <v>39630</v>
      </c>
      <c r="E4426" s="1" t="s">
        <v>8915</v>
      </c>
      <c r="F4426" s="1" t="s">
        <v>4434</v>
      </c>
    </row>
    <row r="4427" spans="1:6" ht="30" customHeight="1" x14ac:dyDescent="0.25">
      <c r="A4427" s="1" t="s">
        <v>8916</v>
      </c>
      <c r="B4427" s="1" t="str">
        <f>"9781935281993"</f>
        <v>9781935281993</v>
      </c>
      <c r="C4427" s="1" t="s">
        <v>2342</v>
      </c>
      <c r="D4427" s="2">
        <v>40626</v>
      </c>
      <c r="E4427" s="1" t="s">
        <v>8917</v>
      </c>
      <c r="F4427" s="1" t="s">
        <v>13</v>
      </c>
    </row>
    <row r="4428" spans="1:6" ht="30" customHeight="1" x14ac:dyDescent="0.25">
      <c r="A4428" s="1" t="s">
        <v>8918</v>
      </c>
      <c r="B4428" s="1" t="str">
        <f>"9781607507093"</f>
        <v>9781607507093</v>
      </c>
      <c r="C4428" s="1" t="s">
        <v>1390</v>
      </c>
      <c r="D4428" s="2">
        <v>40583</v>
      </c>
      <c r="E4428" s="1" t="s">
        <v>8919</v>
      </c>
      <c r="F4428" s="1" t="s">
        <v>13</v>
      </c>
    </row>
    <row r="4429" spans="1:6" ht="30" customHeight="1" x14ac:dyDescent="0.25">
      <c r="A4429" s="1" t="s">
        <v>8920</v>
      </c>
      <c r="B4429" s="1" t="str">
        <f>"9780833052094"</f>
        <v>9780833052094</v>
      </c>
      <c r="C4429" s="1" t="s">
        <v>516</v>
      </c>
      <c r="D4429" s="2">
        <v>40597</v>
      </c>
      <c r="E4429" s="1" t="s">
        <v>8921</v>
      </c>
      <c r="F4429" s="1" t="s">
        <v>95</v>
      </c>
    </row>
    <row r="4430" spans="1:6" ht="30" customHeight="1" x14ac:dyDescent="0.25">
      <c r="A4430" s="1" t="s">
        <v>8922</v>
      </c>
      <c r="B4430" s="1" t="str">
        <f>"9789062998555"</f>
        <v>9789062998555</v>
      </c>
      <c r="C4430" s="1" t="s">
        <v>3412</v>
      </c>
      <c r="D4430" s="2">
        <v>40592</v>
      </c>
      <c r="E4430" s="1" t="s">
        <v>8923</v>
      </c>
      <c r="F4430" s="1" t="s">
        <v>13</v>
      </c>
    </row>
    <row r="4431" spans="1:6" ht="30" customHeight="1" x14ac:dyDescent="0.25">
      <c r="A4431" s="1" t="s">
        <v>8924</v>
      </c>
      <c r="B4431" s="1" t="str">
        <f>"9780804775793"</f>
        <v>9780804775793</v>
      </c>
      <c r="C4431" s="1" t="s">
        <v>7827</v>
      </c>
      <c r="D4431" s="2">
        <v>40441</v>
      </c>
      <c r="E4431" s="1" t="s">
        <v>8925</v>
      </c>
      <c r="F4431" s="1" t="s">
        <v>30</v>
      </c>
    </row>
    <row r="4432" spans="1:6" ht="30" customHeight="1" x14ac:dyDescent="0.25">
      <c r="A4432" s="1" t="s">
        <v>8926</v>
      </c>
      <c r="B4432" s="1" t="str">
        <f>"9781845937096"</f>
        <v>9781845937096</v>
      </c>
      <c r="C4432" s="1" t="s">
        <v>2321</v>
      </c>
      <c r="D4432" s="2">
        <v>40544</v>
      </c>
      <c r="E4432" s="1" t="s">
        <v>8927</v>
      </c>
      <c r="F4432" s="1" t="s">
        <v>95</v>
      </c>
    </row>
    <row r="4433" spans="1:6" ht="30" customHeight="1" x14ac:dyDescent="0.25">
      <c r="A4433" s="1" t="s">
        <v>8928</v>
      </c>
      <c r="B4433" s="1" t="str">
        <f>"9780875868547"</f>
        <v>9780875868547</v>
      </c>
      <c r="C4433" s="1" t="s">
        <v>3733</v>
      </c>
      <c r="D4433" s="2">
        <v>40544</v>
      </c>
      <c r="E4433" s="1" t="s">
        <v>8929</v>
      </c>
      <c r="F4433" s="1" t="s">
        <v>30</v>
      </c>
    </row>
    <row r="4434" spans="1:6" ht="30" customHeight="1" x14ac:dyDescent="0.25">
      <c r="A4434" s="1" t="s">
        <v>8930</v>
      </c>
      <c r="B4434" s="1" t="str">
        <f>"9781921513381"</f>
        <v>9781921513381</v>
      </c>
      <c r="C4434" s="1" t="s">
        <v>3199</v>
      </c>
      <c r="D4434" s="2">
        <v>40210</v>
      </c>
      <c r="E4434" s="1" t="s">
        <v>8931</v>
      </c>
      <c r="F4434" s="1" t="s">
        <v>13</v>
      </c>
    </row>
    <row r="4435" spans="1:6" ht="30" customHeight="1" x14ac:dyDescent="0.25">
      <c r="A4435" s="1" t="s">
        <v>8932</v>
      </c>
      <c r="B4435" s="1" t="str">
        <f>"9780191572784"</f>
        <v>9780191572784</v>
      </c>
      <c r="C4435" s="1" t="s">
        <v>1120</v>
      </c>
      <c r="D4435" s="2">
        <v>40192</v>
      </c>
      <c r="E4435" s="1" t="s">
        <v>8933</v>
      </c>
      <c r="F4435" s="1" t="s">
        <v>13</v>
      </c>
    </row>
    <row r="4436" spans="1:6" ht="30" customHeight="1" x14ac:dyDescent="0.25">
      <c r="A4436" s="1" t="s">
        <v>8934</v>
      </c>
      <c r="B4436" s="1" t="str">
        <f>"9780191550614"</f>
        <v>9780191550614</v>
      </c>
      <c r="C4436" s="1" t="s">
        <v>1117</v>
      </c>
      <c r="D4436" s="2">
        <v>39660</v>
      </c>
      <c r="E4436" s="1" t="s">
        <v>8935</v>
      </c>
      <c r="F4436" s="1" t="s">
        <v>13</v>
      </c>
    </row>
    <row r="4437" spans="1:6" ht="30" customHeight="1" x14ac:dyDescent="0.25">
      <c r="A4437" s="1" t="s">
        <v>8936</v>
      </c>
      <c r="B4437" s="1" t="str">
        <f>"9780191572821"</f>
        <v>9780191572821</v>
      </c>
      <c r="C4437" s="1" t="s">
        <v>1117</v>
      </c>
      <c r="D4437" s="2">
        <v>40234</v>
      </c>
      <c r="E4437" s="1" t="s">
        <v>8937</v>
      </c>
      <c r="F4437" s="1" t="s">
        <v>70</v>
      </c>
    </row>
    <row r="4438" spans="1:6" ht="30" customHeight="1" x14ac:dyDescent="0.25">
      <c r="A4438" s="1" t="s">
        <v>8938</v>
      </c>
      <c r="B4438" s="1" t="str">
        <f>"9789240686274"</f>
        <v>9789240686274</v>
      </c>
      <c r="C4438" s="1" t="s">
        <v>1981</v>
      </c>
      <c r="D4438" s="2">
        <v>39385</v>
      </c>
      <c r="E4438" s="1" t="s">
        <v>1981</v>
      </c>
      <c r="F4438" s="1" t="s">
        <v>87</v>
      </c>
    </row>
    <row r="4439" spans="1:6" ht="30" customHeight="1" x14ac:dyDescent="0.25">
      <c r="A4439" s="1" t="s">
        <v>8939</v>
      </c>
      <c r="B4439" s="1" t="str">
        <f>"9789240686403"</f>
        <v>9789240686403</v>
      </c>
      <c r="C4439" s="1" t="s">
        <v>1981</v>
      </c>
      <c r="D4439" s="2">
        <v>36161</v>
      </c>
      <c r="E4439" s="1" t="s">
        <v>1981</v>
      </c>
      <c r="F4439" s="1" t="s">
        <v>8940</v>
      </c>
    </row>
    <row r="4440" spans="1:6" ht="30" customHeight="1" x14ac:dyDescent="0.25">
      <c r="A4440" s="1" t="s">
        <v>8941</v>
      </c>
      <c r="B4440" s="1" t="str">
        <f>"9789240686380"</f>
        <v>9789240686380</v>
      </c>
      <c r="C4440" s="1" t="s">
        <v>1981</v>
      </c>
      <c r="D4440" s="2">
        <v>37530</v>
      </c>
      <c r="E4440" s="1" t="s">
        <v>8942</v>
      </c>
      <c r="F4440" s="1" t="s">
        <v>70</v>
      </c>
    </row>
    <row r="4441" spans="1:6" ht="30" customHeight="1" x14ac:dyDescent="0.25">
      <c r="A4441" s="1" t="s">
        <v>8943</v>
      </c>
      <c r="B4441" s="1" t="str">
        <f>"9789240686076"</f>
        <v>9789240686076</v>
      </c>
      <c r="C4441" s="1" t="s">
        <v>1981</v>
      </c>
      <c r="D4441" s="2">
        <v>39451</v>
      </c>
      <c r="E4441" s="1" t="s">
        <v>8944</v>
      </c>
      <c r="F4441" s="1" t="s">
        <v>356</v>
      </c>
    </row>
    <row r="4442" spans="1:6" ht="30" customHeight="1" x14ac:dyDescent="0.25">
      <c r="A4442" s="1" t="s">
        <v>8945</v>
      </c>
      <c r="B4442" s="1" t="str">
        <f>"9789240686199"</f>
        <v>9789240686199</v>
      </c>
      <c r="C4442" s="1" t="s">
        <v>1981</v>
      </c>
      <c r="D4442" s="2">
        <v>39431</v>
      </c>
      <c r="E4442" s="1" t="s">
        <v>1981</v>
      </c>
      <c r="F4442" s="1" t="s">
        <v>137</v>
      </c>
    </row>
    <row r="4443" spans="1:6" ht="30" customHeight="1" x14ac:dyDescent="0.25">
      <c r="A4443" s="1" t="s">
        <v>8946</v>
      </c>
      <c r="B4443" s="1" t="str">
        <f>"9780826118561"</f>
        <v>9780826118561</v>
      </c>
      <c r="C4443" s="1" t="s">
        <v>2339</v>
      </c>
      <c r="D4443" s="2">
        <v>40527</v>
      </c>
      <c r="E4443" s="1" t="s">
        <v>8947</v>
      </c>
      <c r="F4443" s="1" t="s">
        <v>30</v>
      </c>
    </row>
    <row r="4444" spans="1:6" ht="30" customHeight="1" x14ac:dyDescent="0.25">
      <c r="A4444" s="1" t="s">
        <v>8948</v>
      </c>
      <c r="B4444" s="1" t="str">
        <f>"9781554580774"</f>
        <v>9781554580774</v>
      </c>
      <c r="C4444" s="1" t="s">
        <v>8949</v>
      </c>
      <c r="D4444" s="2">
        <v>39588</v>
      </c>
      <c r="E4444" s="1" t="s">
        <v>8950</v>
      </c>
      <c r="F4444" s="1" t="s">
        <v>3075</v>
      </c>
    </row>
    <row r="4445" spans="1:6" ht="30" customHeight="1" x14ac:dyDescent="0.25">
      <c r="A4445" s="1" t="s">
        <v>8951</v>
      </c>
      <c r="B4445" s="1" t="str">
        <f>"9780889207042"</f>
        <v>9780889207042</v>
      </c>
      <c r="C4445" s="1" t="s">
        <v>8949</v>
      </c>
      <c r="D4445" s="2">
        <v>37039</v>
      </c>
      <c r="E4445" s="1" t="s">
        <v>8952</v>
      </c>
      <c r="F4445" s="1" t="s">
        <v>126</v>
      </c>
    </row>
    <row r="4446" spans="1:6" ht="30" customHeight="1" x14ac:dyDescent="0.25">
      <c r="A4446" s="1" t="s">
        <v>8953</v>
      </c>
      <c r="B4446" s="1" t="str">
        <f>"9781554582525"</f>
        <v>9781554582525</v>
      </c>
      <c r="C4446" s="1" t="s">
        <v>8949</v>
      </c>
      <c r="D4446" s="2">
        <v>39793</v>
      </c>
      <c r="E4446" s="1" t="s">
        <v>8954</v>
      </c>
      <c r="F4446" s="1" t="s">
        <v>126</v>
      </c>
    </row>
    <row r="4447" spans="1:6" ht="30" customHeight="1" x14ac:dyDescent="0.25">
      <c r="A4447" s="1" t="s">
        <v>8955</v>
      </c>
      <c r="B4447" s="1" t="str">
        <f>"9780889207066"</f>
        <v>9780889207066</v>
      </c>
      <c r="C4447" s="1" t="s">
        <v>8949</v>
      </c>
      <c r="D4447" s="2">
        <v>38718</v>
      </c>
      <c r="E4447" s="1" t="s">
        <v>8954</v>
      </c>
      <c r="F4447" s="1" t="s">
        <v>8956</v>
      </c>
    </row>
    <row r="4448" spans="1:6" ht="30" customHeight="1" x14ac:dyDescent="0.25">
      <c r="A4448" s="1" t="s">
        <v>8957</v>
      </c>
      <c r="B4448" s="1" t="str">
        <f>"9780889207059"</f>
        <v>9780889207059</v>
      </c>
      <c r="C4448" s="1" t="s">
        <v>8949</v>
      </c>
      <c r="D4448" s="2">
        <v>32652</v>
      </c>
      <c r="E4448" s="1" t="s">
        <v>8952</v>
      </c>
      <c r="F4448" s="1" t="s">
        <v>8958</v>
      </c>
    </row>
    <row r="4449" spans="1:6" ht="30" customHeight="1" x14ac:dyDescent="0.25">
      <c r="A4449" s="1" t="s">
        <v>8959</v>
      </c>
      <c r="B4449" s="1" t="str">
        <f>"9780889205734"</f>
        <v>9780889205734</v>
      </c>
      <c r="C4449" s="1" t="s">
        <v>8949</v>
      </c>
      <c r="D4449" s="2">
        <v>37568</v>
      </c>
      <c r="E4449" s="1" t="s">
        <v>8960</v>
      </c>
      <c r="F4449" s="1" t="s">
        <v>8961</v>
      </c>
    </row>
    <row r="4450" spans="1:6" ht="30" customHeight="1" x14ac:dyDescent="0.25">
      <c r="A4450" s="1" t="s">
        <v>8962</v>
      </c>
      <c r="B4450" s="1" t="str">
        <f>"9780889207073"</f>
        <v>9780889207073</v>
      </c>
      <c r="C4450" s="1" t="s">
        <v>8949</v>
      </c>
      <c r="D4450" s="2">
        <v>37742</v>
      </c>
      <c r="E4450" s="1" t="s">
        <v>8954</v>
      </c>
      <c r="F4450" s="1" t="s">
        <v>8963</v>
      </c>
    </row>
    <row r="4451" spans="1:6" ht="30" customHeight="1" x14ac:dyDescent="0.25">
      <c r="A4451" s="1" t="s">
        <v>8964</v>
      </c>
      <c r="B4451" s="1" t="str">
        <f>"9780889205420"</f>
        <v>9780889205420</v>
      </c>
      <c r="C4451" s="1" t="s">
        <v>8949</v>
      </c>
      <c r="D4451" s="2">
        <v>37397</v>
      </c>
      <c r="E4451" s="1" t="s">
        <v>8954</v>
      </c>
      <c r="F4451" s="1" t="s">
        <v>973</v>
      </c>
    </row>
    <row r="4452" spans="1:6" ht="30" customHeight="1" x14ac:dyDescent="0.25">
      <c r="A4452" s="1" t="s">
        <v>8965</v>
      </c>
      <c r="B4452" s="1" t="str">
        <f>"9780889209336"</f>
        <v>9780889209336</v>
      </c>
      <c r="C4452" s="1" t="s">
        <v>8949</v>
      </c>
      <c r="D4452" s="2">
        <v>30957</v>
      </c>
      <c r="E4452" s="1" t="s">
        <v>8954</v>
      </c>
      <c r="F4452" s="1" t="s">
        <v>8966</v>
      </c>
    </row>
    <row r="4453" spans="1:6" ht="30" customHeight="1" x14ac:dyDescent="0.25">
      <c r="A4453" s="1" t="s">
        <v>8967</v>
      </c>
      <c r="B4453" s="1" t="str">
        <f>"9781554581122"</f>
        <v>9781554581122</v>
      </c>
      <c r="C4453" s="1" t="s">
        <v>8949</v>
      </c>
      <c r="D4453" s="2">
        <v>39048</v>
      </c>
      <c r="E4453" s="1" t="s">
        <v>8968</v>
      </c>
      <c r="F4453" s="1" t="s">
        <v>95</v>
      </c>
    </row>
    <row r="4454" spans="1:6" ht="30" customHeight="1" x14ac:dyDescent="0.25">
      <c r="A4454" s="1" t="s">
        <v>8969</v>
      </c>
      <c r="B4454" s="1" t="str">
        <f>"9780889205383"</f>
        <v>9780889205383</v>
      </c>
      <c r="C4454" s="1" t="s">
        <v>8949</v>
      </c>
      <c r="D4454" s="2">
        <v>30929</v>
      </c>
      <c r="E4454" s="1" t="s">
        <v>8970</v>
      </c>
      <c r="F4454" s="1" t="s">
        <v>8971</v>
      </c>
    </row>
    <row r="4455" spans="1:6" ht="30" customHeight="1" x14ac:dyDescent="0.25">
      <c r="A4455" s="1" t="s">
        <v>8972</v>
      </c>
      <c r="B4455" s="1" t="str">
        <f>"9780889205321"</f>
        <v>9780889205321</v>
      </c>
      <c r="C4455" s="1" t="s">
        <v>8949</v>
      </c>
      <c r="D4455" s="2">
        <v>38783</v>
      </c>
      <c r="E4455" s="1" t="s">
        <v>8973</v>
      </c>
      <c r="F4455" s="1" t="s">
        <v>541</v>
      </c>
    </row>
    <row r="4456" spans="1:6" ht="30" customHeight="1" x14ac:dyDescent="0.25">
      <c r="A4456" s="1" t="s">
        <v>8974</v>
      </c>
      <c r="B4456" s="1" t="str">
        <f>"9780889205727"</f>
        <v>9780889205727</v>
      </c>
      <c r="C4456" s="1" t="s">
        <v>8949</v>
      </c>
      <c r="D4456" s="2">
        <v>32995</v>
      </c>
      <c r="E4456" s="1" t="s">
        <v>8975</v>
      </c>
      <c r="F4456" s="1" t="s">
        <v>7940</v>
      </c>
    </row>
    <row r="4457" spans="1:6" ht="30" customHeight="1" x14ac:dyDescent="0.25">
      <c r="A4457" s="1" t="s">
        <v>8976</v>
      </c>
      <c r="B4457" s="1" t="str">
        <f>"9780889209121"</f>
        <v>9780889209121</v>
      </c>
      <c r="C4457" s="1" t="s">
        <v>8949</v>
      </c>
      <c r="D4457" s="2">
        <v>38718</v>
      </c>
      <c r="E4457" s="1" t="s">
        <v>8977</v>
      </c>
      <c r="F4457" s="1" t="s">
        <v>158</v>
      </c>
    </row>
    <row r="4458" spans="1:6" ht="30" customHeight="1" x14ac:dyDescent="0.25">
      <c r="A4458" s="1" t="s">
        <v>8978</v>
      </c>
      <c r="B4458" s="1" t="str">
        <f>"9780826103840"</f>
        <v>9780826103840</v>
      </c>
      <c r="C4458" s="1" t="s">
        <v>2339</v>
      </c>
      <c r="D4458" s="2">
        <v>40164</v>
      </c>
      <c r="E4458" s="1" t="s">
        <v>8979</v>
      </c>
      <c r="F4458" s="1" t="s">
        <v>13</v>
      </c>
    </row>
    <row r="4459" spans="1:6" ht="30" customHeight="1" x14ac:dyDescent="0.25">
      <c r="A4459" s="1" t="s">
        <v>8980</v>
      </c>
      <c r="B4459" s="1" t="str">
        <f>"9780826107107"</f>
        <v>9780826107107</v>
      </c>
      <c r="C4459" s="1" t="s">
        <v>2339</v>
      </c>
      <c r="D4459" s="2">
        <v>40655</v>
      </c>
      <c r="E4459" s="1" t="s">
        <v>8981</v>
      </c>
      <c r="F4459" s="1" t="s">
        <v>13</v>
      </c>
    </row>
    <row r="4460" spans="1:6" ht="30" customHeight="1" x14ac:dyDescent="0.25">
      <c r="A4460" s="1" t="s">
        <v>8982</v>
      </c>
      <c r="B4460" s="1" t="str">
        <f>"9780874627695"</f>
        <v>9780874627695</v>
      </c>
      <c r="C4460" s="1" t="s">
        <v>7312</v>
      </c>
      <c r="D4460" s="2">
        <v>40326</v>
      </c>
      <c r="E4460" s="1" t="s">
        <v>8983</v>
      </c>
      <c r="F4460" s="1" t="s">
        <v>13</v>
      </c>
    </row>
    <row r="4461" spans="1:6" ht="30" customHeight="1" x14ac:dyDescent="0.25">
      <c r="A4461" s="1" t="s">
        <v>8984</v>
      </c>
      <c r="B4461" s="1" t="str">
        <f>"9780199875863"</f>
        <v>9780199875863</v>
      </c>
      <c r="C4461" s="1" t="s">
        <v>1123</v>
      </c>
      <c r="D4461" s="2">
        <v>40646</v>
      </c>
      <c r="E4461" s="1" t="s">
        <v>8985</v>
      </c>
      <c r="F4461" s="1" t="s">
        <v>13</v>
      </c>
    </row>
    <row r="4462" spans="1:6" ht="30" customHeight="1" x14ac:dyDescent="0.25">
      <c r="A4462" s="1" t="s">
        <v>8986</v>
      </c>
      <c r="B4462" s="1" t="str">
        <f>"9780199843787"</f>
        <v>9780199843787</v>
      </c>
      <c r="C4462" s="1" t="s">
        <v>1123</v>
      </c>
      <c r="D4462" s="2">
        <v>40604</v>
      </c>
      <c r="E4462" s="1" t="s">
        <v>8987</v>
      </c>
      <c r="F4462" s="1" t="s">
        <v>13</v>
      </c>
    </row>
    <row r="4463" spans="1:6" ht="30" customHeight="1" x14ac:dyDescent="0.25">
      <c r="A4463" s="1" t="s">
        <v>8988</v>
      </c>
      <c r="B4463" s="1" t="str">
        <f>"9780199877638"</f>
        <v>9780199877638</v>
      </c>
      <c r="C4463" s="1" t="s">
        <v>1123</v>
      </c>
      <c r="D4463" s="2">
        <v>40638</v>
      </c>
      <c r="E4463" s="1" t="s">
        <v>8989</v>
      </c>
      <c r="F4463" s="1" t="s">
        <v>13</v>
      </c>
    </row>
    <row r="4464" spans="1:6" ht="30" customHeight="1" x14ac:dyDescent="0.25">
      <c r="A4464" s="1" t="s">
        <v>8990</v>
      </c>
      <c r="B4464" s="1" t="str">
        <f>"9780199877645"</f>
        <v>9780199877645</v>
      </c>
      <c r="C4464" s="1" t="s">
        <v>1123</v>
      </c>
      <c r="D4464" s="2">
        <v>40638</v>
      </c>
      <c r="E4464" s="1" t="s">
        <v>8989</v>
      </c>
      <c r="F4464" s="1" t="s">
        <v>13</v>
      </c>
    </row>
    <row r="4465" spans="1:6" ht="30" customHeight="1" x14ac:dyDescent="0.25">
      <c r="A4465" s="1" t="s">
        <v>8991</v>
      </c>
      <c r="B4465" s="1" t="str">
        <f>"9780199753154"</f>
        <v>9780199753154</v>
      </c>
      <c r="C4465" s="1" t="s">
        <v>1123</v>
      </c>
      <c r="D4465" s="2">
        <v>40665</v>
      </c>
      <c r="E4465" s="1" t="s">
        <v>8992</v>
      </c>
      <c r="F4465" s="1" t="s">
        <v>13</v>
      </c>
    </row>
    <row r="4466" spans="1:6" ht="30" customHeight="1" x14ac:dyDescent="0.25">
      <c r="A4466" s="1" t="s">
        <v>8993</v>
      </c>
      <c r="B4466" s="1" t="str">
        <f>"9781849405492"</f>
        <v>9781849405492</v>
      </c>
      <c r="C4466" s="1" t="s">
        <v>8994</v>
      </c>
      <c r="D4466" s="2">
        <v>39447</v>
      </c>
      <c r="E4466" s="1" t="s">
        <v>8995</v>
      </c>
      <c r="F4466" s="1" t="s">
        <v>304</v>
      </c>
    </row>
    <row r="4467" spans="1:6" ht="30" customHeight="1" x14ac:dyDescent="0.25">
      <c r="A4467" s="1" t="s">
        <v>8996</v>
      </c>
      <c r="B4467" s="1" t="str">
        <f>"9781849406239"</f>
        <v>9781849406239</v>
      </c>
      <c r="C4467" s="1" t="s">
        <v>68</v>
      </c>
      <c r="D4467" s="2">
        <v>39813</v>
      </c>
      <c r="E4467" s="1" t="s">
        <v>8997</v>
      </c>
      <c r="F4467" s="1" t="s">
        <v>599</v>
      </c>
    </row>
    <row r="4468" spans="1:6" ht="30" customHeight="1" x14ac:dyDescent="0.25">
      <c r="A4468" s="1" t="s">
        <v>8998</v>
      </c>
      <c r="B4468" s="1" t="str">
        <f>"9781849408134"</f>
        <v>9781849408134</v>
      </c>
      <c r="C4468" s="1" t="s">
        <v>8994</v>
      </c>
      <c r="D4468" s="2">
        <v>40178</v>
      </c>
      <c r="E4468" s="1" t="s">
        <v>8999</v>
      </c>
      <c r="F4468" s="1" t="s">
        <v>13</v>
      </c>
    </row>
    <row r="4469" spans="1:6" ht="30" customHeight="1" x14ac:dyDescent="0.25">
      <c r="A4469" s="1" t="s">
        <v>9000</v>
      </c>
      <c r="B4469" s="1" t="str">
        <f>"9781849408691"</f>
        <v>9781849408691</v>
      </c>
      <c r="C4469" s="1" t="s">
        <v>8994</v>
      </c>
      <c r="D4469" s="2">
        <v>40894</v>
      </c>
      <c r="E4469" s="1" t="s">
        <v>9001</v>
      </c>
      <c r="F4469" s="1" t="s">
        <v>13</v>
      </c>
    </row>
    <row r="4470" spans="1:6" ht="30" customHeight="1" x14ac:dyDescent="0.25">
      <c r="A4470" s="1" t="s">
        <v>9002</v>
      </c>
      <c r="B4470" s="1" t="str">
        <f>"9781849407120"</f>
        <v>9781849407120</v>
      </c>
      <c r="C4470" s="1" t="s">
        <v>8994</v>
      </c>
      <c r="D4470" s="2">
        <v>40512</v>
      </c>
      <c r="E4470" s="1" t="s">
        <v>9003</v>
      </c>
      <c r="F4470" s="1" t="s">
        <v>13</v>
      </c>
    </row>
    <row r="4471" spans="1:6" ht="30" customHeight="1" x14ac:dyDescent="0.25">
      <c r="A4471" s="1" t="s">
        <v>9004</v>
      </c>
      <c r="B4471" s="1" t="str">
        <f>"9781849407137"</f>
        <v>9781849407137</v>
      </c>
      <c r="C4471" s="1" t="s">
        <v>8994</v>
      </c>
      <c r="D4471" s="2">
        <v>40908</v>
      </c>
      <c r="E4471" s="1" t="s">
        <v>9005</v>
      </c>
      <c r="F4471" s="1" t="s">
        <v>104</v>
      </c>
    </row>
    <row r="4472" spans="1:6" ht="30" customHeight="1" x14ac:dyDescent="0.25">
      <c r="A4472" s="1" t="s">
        <v>9006</v>
      </c>
      <c r="B4472" s="1" t="str">
        <f>"9781849407151"</f>
        <v>9781849407151</v>
      </c>
      <c r="C4472" s="1" t="s">
        <v>8994</v>
      </c>
      <c r="D4472" s="2">
        <v>40450</v>
      </c>
      <c r="E4472" s="1" t="s">
        <v>9007</v>
      </c>
      <c r="F4472" s="1" t="s">
        <v>13</v>
      </c>
    </row>
    <row r="4473" spans="1:6" ht="30" customHeight="1" x14ac:dyDescent="0.25">
      <c r="A4473" s="1" t="s">
        <v>9008</v>
      </c>
      <c r="B4473" s="1" t="str">
        <f>"9781849407168"</f>
        <v>9781849407168</v>
      </c>
      <c r="C4473" s="1" t="s">
        <v>68</v>
      </c>
      <c r="D4473" s="2">
        <v>40544</v>
      </c>
      <c r="E4473" s="1" t="s">
        <v>9009</v>
      </c>
      <c r="F4473" s="1" t="s">
        <v>13</v>
      </c>
    </row>
    <row r="4474" spans="1:6" ht="30" customHeight="1" x14ac:dyDescent="0.25">
      <c r="A4474" s="1" t="s">
        <v>9010</v>
      </c>
      <c r="B4474" s="1" t="str">
        <f>"9781849407175"</f>
        <v>9781849407175</v>
      </c>
      <c r="C4474" s="1" t="s">
        <v>68</v>
      </c>
      <c r="D4474" s="2">
        <v>40543</v>
      </c>
      <c r="E4474" s="1" t="s">
        <v>9011</v>
      </c>
      <c r="F4474" s="1" t="s">
        <v>104</v>
      </c>
    </row>
    <row r="4475" spans="1:6" ht="30" customHeight="1" x14ac:dyDescent="0.25">
      <c r="A4475" s="1" t="s">
        <v>9012</v>
      </c>
      <c r="B4475" s="1" t="str">
        <f>"9781849407205"</f>
        <v>9781849407205</v>
      </c>
      <c r="C4475" s="1" t="s">
        <v>8994</v>
      </c>
      <c r="D4475" s="2">
        <v>40450</v>
      </c>
      <c r="E4475" s="1" t="s">
        <v>9013</v>
      </c>
      <c r="F4475" s="1" t="s">
        <v>13</v>
      </c>
    </row>
    <row r="4476" spans="1:6" ht="30" customHeight="1" x14ac:dyDescent="0.25">
      <c r="A4476" s="1" t="s">
        <v>9014</v>
      </c>
      <c r="B4476" s="1" t="str">
        <f>"9781849407229"</f>
        <v>9781849407229</v>
      </c>
      <c r="C4476" s="1" t="s">
        <v>8994</v>
      </c>
      <c r="D4476" s="2">
        <v>40450</v>
      </c>
      <c r="E4476" s="1" t="s">
        <v>9015</v>
      </c>
      <c r="F4476" s="1" t="s">
        <v>104</v>
      </c>
    </row>
    <row r="4477" spans="1:6" ht="30" customHeight="1" x14ac:dyDescent="0.25">
      <c r="A4477" s="1" t="s">
        <v>9016</v>
      </c>
      <c r="B4477" s="1" t="str">
        <f>"9781849407397"</f>
        <v>9781849407397</v>
      </c>
      <c r="C4477" s="1" t="s">
        <v>68</v>
      </c>
      <c r="D4477" s="2">
        <v>40451</v>
      </c>
      <c r="E4477" s="1" t="s">
        <v>9017</v>
      </c>
      <c r="F4477" s="1" t="s">
        <v>291</v>
      </c>
    </row>
    <row r="4478" spans="1:6" ht="30" customHeight="1" x14ac:dyDescent="0.25">
      <c r="A4478" s="1" t="s">
        <v>9018</v>
      </c>
      <c r="B4478" s="1" t="str">
        <f>"9781849407410"</f>
        <v>9781849407410</v>
      </c>
      <c r="C4478" s="1" t="s">
        <v>68</v>
      </c>
      <c r="D4478" s="2">
        <v>40372</v>
      </c>
      <c r="E4478" s="1" t="s">
        <v>9019</v>
      </c>
      <c r="F4478" s="1" t="s">
        <v>291</v>
      </c>
    </row>
    <row r="4479" spans="1:6" ht="30" customHeight="1" x14ac:dyDescent="0.25">
      <c r="A4479" s="1" t="s">
        <v>9020</v>
      </c>
      <c r="B4479" s="1" t="str">
        <f>"9781849407526"</f>
        <v>9781849407526</v>
      </c>
      <c r="C4479" s="1" t="s">
        <v>8994</v>
      </c>
      <c r="D4479" s="2">
        <v>40520</v>
      </c>
      <c r="E4479" s="1" t="s">
        <v>9021</v>
      </c>
      <c r="F4479" s="1" t="s">
        <v>13</v>
      </c>
    </row>
    <row r="4480" spans="1:6" ht="30" customHeight="1" x14ac:dyDescent="0.25">
      <c r="A4480" s="1" t="s">
        <v>9022</v>
      </c>
      <c r="B4480" s="1" t="str">
        <f>"9781849407700"</f>
        <v>9781849407700</v>
      </c>
      <c r="C4480" s="1" t="s">
        <v>8994</v>
      </c>
      <c r="D4480" s="2">
        <v>40389</v>
      </c>
      <c r="E4480" s="1" t="s">
        <v>9023</v>
      </c>
      <c r="F4480" s="1" t="s">
        <v>104</v>
      </c>
    </row>
    <row r="4481" spans="1:6" ht="30" customHeight="1" x14ac:dyDescent="0.25">
      <c r="A4481" s="1" t="s">
        <v>9024</v>
      </c>
      <c r="B4481" s="1" t="str">
        <f>"9781849408363"</f>
        <v>9781849408363</v>
      </c>
      <c r="C4481" s="1" t="s">
        <v>68</v>
      </c>
      <c r="D4481" s="2">
        <v>40002</v>
      </c>
      <c r="E4481" s="1" t="s">
        <v>9025</v>
      </c>
      <c r="F4481" s="1" t="s">
        <v>13</v>
      </c>
    </row>
    <row r="4482" spans="1:6" ht="30" customHeight="1" x14ac:dyDescent="0.25">
      <c r="A4482" s="1" t="s">
        <v>9026</v>
      </c>
      <c r="B4482" s="1" t="str">
        <f>"9781849408370"</f>
        <v>9781849408370</v>
      </c>
      <c r="C4482" s="1" t="s">
        <v>68</v>
      </c>
      <c r="D4482" s="2">
        <v>40002</v>
      </c>
      <c r="E4482" s="1" t="s">
        <v>9025</v>
      </c>
      <c r="F4482" s="1" t="s">
        <v>13</v>
      </c>
    </row>
    <row r="4483" spans="1:6" ht="30" customHeight="1" x14ac:dyDescent="0.25">
      <c r="A4483" s="1" t="s">
        <v>9027</v>
      </c>
      <c r="B4483" s="1" t="str">
        <f>"9781849406413"</f>
        <v>9781849406413</v>
      </c>
      <c r="C4483" s="1" t="s">
        <v>8994</v>
      </c>
      <c r="D4483" s="2">
        <v>39478</v>
      </c>
      <c r="E4483" s="1" t="s">
        <v>9028</v>
      </c>
      <c r="F4483" s="1" t="s">
        <v>13</v>
      </c>
    </row>
    <row r="4484" spans="1:6" ht="30" customHeight="1" x14ac:dyDescent="0.25">
      <c r="A4484" s="1" t="s">
        <v>9029</v>
      </c>
      <c r="B4484" s="1" t="str">
        <f>"9781849406437"</f>
        <v>9781849406437</v>
      </c>
      <c r="C4484" s="1" t="s">
        <v>68</v>
      </c>
      <c r="D4484" s="2">
        <v>39797</v>
      </c>
      <c r="E4484" s="1" t="s">
        <v>9030</v>
      </c>
      <c r="F4484" s="1" t="s">
        <v>148</v>
      </c>
    </row>
    <row r="4485" spans="1:6" ht="30" customHeight="1" x14ac:dyDescent="0.25">
      <c r="A4485" s="1" t="s">
        <v>9031</v>
      </c>
      <c r="B4485" s="1" t="str">
        <f>"9781849405737"</f>
        <v>9781849405737</v>
      </c>
      <c r="C4485" s="1" t="s">
        <v>8994</v>
      </c>
      <c r="D4485" s="2">
        <v>39276</v>
      </c>
      <c r="E4485" s="1" t="s">
        <v>9032</v>
      </c>
      <c r="F4485" s="1" t="s">
        <v>104</v>
      </c>
    </row>
    <row r="4486" spans="1:6" ht="30" customHeight="1" x14ac:dyDescent="0.25">
      <c r="A4486" s="1" t="s">
        <v>9033</v>
      </c>
      <c r="B4486" s="1" t="str">
        <f>"9781849404228"</f>
        <v>9781849404228</v>
      </c>
      <c r="C4486" s="1" t="s">
        <v>8994</v>
      </c>
      <c r="D4486" s="2">
        <v>38352</v>
      </c>
      <c r="E4486" s="1" t="s">
        <v>9034</v>
      </c>
      <c r="F4486" s="1" t="s">
        <v>104</v>
      </c>
    </row>
    <row r="4487" spans="1:6" ht="30" customHeight="1" x14ac:dyDescent="0.25">
      <c r="A4487" s="1" t="s">
        <v>9035</v>
      </c>
      <c r="B4487" s="1" t="str">
        <f>"9781849404273"</f>
        <v>9781849404273</v>
      </c>
      <c r="C4487" s="1" t="s">
        <v>8994</v>
      </c>
      <c r="D4487" s="2">
        <v>38100</v>
      </c>
      <c r="E4487" s="1" t="s">
        <v>9036</v>
      </c>
      <c r="F4487" s="1" t="s">
        <v>13</v>
      </c>
    </row>
    <row r="4488" spans="1:6" ht="30" customHeight="1" x14ac:dyDescent="0.25">
      <c r="A4488" s="1" t="s">
        <v>9037</v>
      </c>
      <c r="B4488" s="1" t="str">
        <f>"9781849403870"</f>
        <v>9781849403870</v>
      </c>
      <c r="C4488" s="1" t="s">
        <v>8994</v>
      </c>
      <c r="D4488" s="2">
        <v>37630</v>
      </c>
      <c r="E4488" s="1" t="s">
        <v>9038</v>
      </c>
      <c r="F4488" s="1" t="s">
        <v>13</v>
      </c>
    </row>
    <row r="4489" spans="1:6" ht="30" customHeight="1" x14ac:dyDescent="0.25">
      <c r="A4489" s="1" t="s">
        <v>9039</v>
      </c>
      <c r="B4489" s="1" t="str">
        <f>"9781849403467"</f>
        <v>9781849403467</v>
      </c>
      <c r="C4489" s="1" t="s">
        <v>68</v>
      </c>
      <c r="D4489" s="2">
        <v>37621</v>
      </c>
      <c r="E4489" s="1" t="s">
        <v>9040</v>
      </c>
      <c r="F4489" s="1" t="s">
        <v>13</v>
      </c>
    </row>
    <row r="4490" spans="1:6" ht="30" customHeight="1" x14ac:dyDescent="0.25">
      <c r="A4490" s="1" t="s">
        <v>9041</v>
      </c>
      <c r="B4490" s="1" t="str">
        <f>"9781849408615"</f>
        <v>9781849408615</v>
      </c>
      <c r="C4490" s="1" t="s">
        <v>68</v>
      </c>
      <c r="D4490" s="2">
        <v>40451</v>
      </c>
      <c r="E4490" s="1" t="s">
        <v>9042</v>
      </c>
      <c r="F4490" s="1" t="s">
        <v>13</v>
      </c>
    </row>
    <row r="4491" spans="1:6" ht="30" customHeight="1" x14ac:dyDescent="0.25">
      <c r="A4491" s="1" t="s">
        <v>9043</v>
      </c>
      <c r="B4491" s="1" t="str">
        <f>"9781849408622"</f>
        <v>9781849408622</v>
      </c>
      <c r="C4491" s="1" t="s">
        <v>8994</v>
      </c>
      <c r="D4491" s="2">
        <v>40434</v>
      </c>
      <c r="E4491" s="1" t="s">
        <v>9044</v>
      </c>
      <c r="F4491" s="1" t="s">
        <v>13</v>
      </c>
    </row>
    <row r="4492" spans="1:6" ht="30" customHeight="1" x14ac:dyDescent="0.25">
      <c r="A4492" s="1" t="s">
        <v>9045</v>
      </c>
      <c r="B4492" s="1" t="str">
        <f>"9781849408653"</f>
        <v>9781849408653</v>
      </c>
      <c r="C4492" s="1" t="s">
        <v>68</v>
      </c>
      <c r="D4492" s="2">
        <v>40512</v>
      </c>
      <c r="E4492" s="1" t="s">
        <v>9046</v>
      </c>
      <c r="F4492" s="1" t="s">
        <v>13</v>
      </c>
    </row>
    <row r="4493" spans="1:6" ht="30" customHeight="1" x14ac:dyDescent="0.25">
      <c r="A4493" s="1" t="s">
        <v>9047</v>
      </c>
      <c r="B4493" s="1" t="str">
        <f>"9781849407250"</f>
        <v>9781849407250</v>
      </c>
      <c r="C4493" s="1" t="s">
        <v>68</v>
      </c>
      <c r="D4493" s="2">
        <v>40450</v>
      </c>
      <c r="E4493" s="1" t="s">
        <v>9048</v>
      </c>
      <c r="F4493" s="1" t="s">
        <v>13</v>
      </c>
    </row>
    <row r="4494" spans="1:6" ht="30" customHeight="1" x14ac:dyDescent="0.25">
      <c r="A4494" s="1" t="s">
        <v>9049</v>
      </c>
      <c r="B4494" s="1" t="str">
        <f>"9781849407281"</f>
        <v>9781849407281</v>
      </c>
      <c r="C4494" s="1" t="s">
        <v>68</v>
      </c>
      <c r="D4494" s="2">
        <v>40450</v>
      </c>
      <c r="E4494" s="1" t="s">
        <v>9050</v>
      </c>
      <c r="F4494" s="1" t="s">
        <v>13</v>
      </c>
    </row>
    <row r="4495" spans="1:6" ht="30" customHeight="1" x14ac:dyDescent="0.25">
      <c r="A4495" s="1" t="s">
        <v>9051</v>
      </c>
      <c r="B4495" s="1" t="str">
        <f>"9781849407328"</f>
        <v>9781849407328</v>
      </c>
      <c r="C4495" s="1" t="s">
        <v>8994</v>
      </c>
      <c r="D4495" s="2">
        <v>40226</v>
      </c>
      <c r="E4495" s="1" t="s">
        <v>8999</v>
      </c>
      <c r="F4495" s="1" t="s">
        <v>13</v>
      </c>
    </row>
    <row r="4496" spans="1:6" ht="30" customHeight="1" x14ac:dyDescent="0.25">
      <c r="A4496" s="1" t="s">
        <v>9052</v>
      </c>
      <c r="B4496" s="1" t="str">
        <f>"9781849407380"</f>
        <v>9781849407380</v>
      </c>
      <c r="C4496" s="1" t="s">
        <v>8994</v>
      </c>
      <c r="D4496" s="2">
        <v>40543</v>
      </c>
      <c r="E4496" s="1" t="s">
        <v>9053</v>
      </c>
      <c r="F4496" s="1" t="s">
        <v>13</v>
      </c>
    </row>
    <row r="4497" spans="1:6" ht="30" customHeight="1" x14ac:dyDescent="0.25">
      <c r="A4497" s="1" t="s">
        <v>9054</v>
      </c>
      <c r="B4497" s="1" t="str">
        <f>"9781849407403"</f>
        <v>9781849407403</v>
      </c>
      <c r="C4497" s="1" t="s">
        <v>8994</v>
      </c>
      <c r="D4497" s="2">
        <v>40394</v>
      </c>
      <c r="E4497" s="1" t="s">
        <v>9055</v>
      </c>
      <c r="F4497" s="1" t="s">
        <v>13</v>
      </c>
    </row>
    <row r="4498" spans="1:6" ht="30" customHeight="1" x14ac:dyDescent="0.25">
      <c r="A4498" s="1" t="s">
        <v>9056</v>
      </c>
      <c r="B4498" s="1" t="str">
        <f>"9781849407434"</f>
        <v>9781849407434</v>
      </c>
      <c r="C4498" s="1" t="s">
        <v>8994</v>
      </c>
      <c r="D4498" s="2">
        <v>40332</v>
      </c>
      <c r="E4498" s="1" t="s">
        <v>9057</v>
      </c>
      <c r="F4498" s="1" t="s">
        <v>13</v>
      </c>
    </row>
    <row r="4499" spans="1:6" ht="30" customHeight="1" x14ac:dyDescent="0.25">
      <c r="A4499" s="1" t="s">
        <v>9058</v>
      </c>
      <c r="B4499" s="1" t="str">
        <f>"9781849408578"</f>
        <v>9781849408578</v>
      </c>
      <c r="C4499" s="1" t="s">
        <v>8994</v>
      </c>
      <c r="D4499" s="2">
        <v>40373</v>
      </c>
      <c r="E4499" s="1" t="s">
        <v>7970</v>
      </c>
      <c r="F4499" s="1" t="s">
        <v>104</v>
      </c>
    </row>
    <row r="4500" spans="1:6" ht="30" customHeight="1" x14ac:dyDescent="0.25">
      <c r="A4500" s="1" t="s">
        <v>9059</v>
      </c>
      <c r="B4500" s="1" t="str">
        <f>"9781849407472"</f>
        <v>9781849407472</v>
      </c>
      <c r="C4500" s="1" t="s">
        <v>8994</v>
      </c>
      <c r="D4500" s="2">
        <v>40179</v>
      </c>
      <c r="E4500" s="1" t="s">
        <v>9060</v>
      </c>
      <c r="F4500" s="1" t="s">
        <v>127</v>
      </c>
    </row>
    <row r="4501" spans="1:6" ht="30" customHeight="1" x14ac:dyDescent="0.25">
      <c r="A4501" s="1" t="s">
        <v>9061</v>
      </c>
      <c r="B4501" s="1" t="str">
        <f>"9781849407502"</f>
        <v>9781849407502</v>
      </c>
      <c r="C4501" s="1" t="s">
        <v>8994</v>
      </c>
      <c r="D4501" s="2">
        <v>40450</v>
      </c>
      <c r="E4501" s="1" t="s">
        <v>9062</v>
      </c>
      <c r="F4501" s="1" t="s">
        <v>13</v>
      </c>
    </row>
    <row r="4502" spans="1:6" ht="30" customHeight="1" x14ac:dyDescent="0.25">
      <c r="A4502" s="1" t="s">
        <v>9063</v>
      </c>
      <c r="B4502" s="1" t="str">
        <f>"9781849407519"</f>
        <v>9781849407519</v>
      </c>
      <c r="C4502" s="1" t="s">
        <v>8994</v>
      </c>
      <c r="D4502" s="2">
        <v>40450</v>
      </c>
      <c r="E4502" s="1" t="s">
        <v>9040</v>
      </c>
      <c r="F4502" s="1" t="s">
        <v>13</v>
      </c>
    </row>
    <row r="4503" spans="1:6" ht="30" customHeight="1" x14ac:dyDescent="0.25">
      <c r="A4503" s="1" t="s">
        <v>9064</v>
      </c>
      <c r="B4503" s="1" t="str">
        <f>"9781849408646"</f>
        <v>9781849408646</v>
      </c>
      <c r="C4503" s="1" t="s">
        <v>68</v>
      </c>
      <c r="D4503" s="2">
        <v>40476</v>
      </c>
      <c r="E4503" s="1" t="s">
        <v>9065</v>
      </c>
      <c r="F4503" s="1" t="s">
        <v>13</v>
      </c>
    </row>
    <row r="4504" spans="1:6" ht="30" customHeight="1" x14ac:dyDescent="0.25">
      <c r="A4504" s="1" t="s">
        <v>9066</v>
      </c>
      <c r="B4504" s="1" t="str">
        <f>"9781849407649"</f>
        <v>9781849407649</v>
      </c>
      <c r="C4504" s="1" t="s">
        <v>68</v>
      </c>
      <c r="D4504" s="2">
        <v>40284</v>
      </c>
      <c r="E4504" s="1" t="s">
        <v>9067</v>
      </c>
      <c r="F4504" s="1" t="s">
        <v>104</v>
      </c>
    </row>
    <row r="4505" spans="1:6" ht="30" customHeight="1" x14ac:dyDescent="0.25">
      <c r="A4505" s="1" t="s">
        <v>9068</v>
      </c>
      <c r="B4505" s="1" t="str">
        <f>"9781849408561"</f>
        <v>9781849408561</v>
      </c>
      <c r="C4505" s="1" t="s">
        <v>8994</v>
      </c>
      <c r="D4505" s="2">
        <v>40450</v>
      </c>
      <c r="E4505" s="1" t="s">
        <v>9069</v>
      </c>
      <c r="F4505" s="1" t="s">
        <v>13</v>
      </c>
    </row>
    <row r="4506" spans="1:6" ht="30" customHeight="1" x14ac:dyDescent="0.25">
      <c r="A4506" s="1" t="s">
        <v>9070</v>
      </c>
      <c r="B4506" s="1" t="str">
        <f>"9781849407755"</f>
        <v>9781849407755</v>
      </c>
      <c r="C4506" s="1" t="s">
        <v>68</v>
      </c>
      <c r="D4506" s="2">
        <v>40236</v>
      </c>
      <c r="E4506" s="1" t="s">
        <v>9071</v>
      </c>
      <c r="F4506" s="1" t="s">
        <v>291</v>
      </c>
    </row>
    <row r="4507" spans="1:6" ht="30" customHeight="1" x14ac:dyDescent="0.25">
      <c r="A4507" s="1" t="s">
        <v>9072</v>
      </c>
      <c r="B4507" s="1" t="str">
        <f>"9781849407762"</f>
        <v>9781849407762</v>
      </c>
      <c r="C4507" s="1" t="s">
        <v>8994</v>
      </c>
      <c r="D4507" s="2">
        <v>40417</v>
      </c>
      <c r="E4507" s="1" t="s">
        <v>9073</v>
      </c>
      <c r="F4507" s="1" t="s">
        <v>13</v>
      </c>
    </row>
    <row r="4508" spans="1:6" ht="30" customHeight="1" x14ac:dyDescent="0.25">
      <c r="A4508" s="1" t="s">
        <v>9074</v>
      </c>
      <c r="B4508" s="1" t="str">
        <f>"9781849407786"</f>
        <v>9781849407786</v>
      </c>
      <c r="C4508" s="1" t="s">
        <v>8994</v>
      </c>
      <c r="D4508" s="2">
        <v>40289</v>
      </c>
      <c r="E4508" s="1" t="s">
        <v>9075</v>
      </c>
      <c r="F4508" s="1" t="s">
        <v>104</v>
      </c>
    </row>
    <row r="4509" spans="1:6" ht="30" customHeight="1" x14ac:dyDescent="0.25">
      <c r="A4509" s="1" t="s">
        <v>9076</v>
      </c>
      <c r="B4509" s="1" t="str">
        <f>"9781849407793"</f>
        <v>9781849407793</v>
      </c>
      <c r="C4509" s="1" t="s">
        <v>8994</v>
      </c>
      <c r="D4509" s="2">
        <v>40451</v>
      </c>
      <c r="E4509" s="1" t="s">
        <v>9077</v>
      </c>
      <c r="F4509" s="1" t="s">
        <v>13</v>
      </c>
    </row>
    <row r="4510" spans="1:6" ht="30" customHeight="1" x14ac:dyDescent="0.25">
      <c r="A4510" s="1" t="s">
        <v>9078</v>
      </c>
      <c r="B4510" s="1" t="str">
        <f>"9781849407816"</f>
        <v>9781849407816</v>
      </c>
      <c r="C4510" s="1" t="s">
        <v>8994</v>
      </c>
      <c r="D4510" s="2">
        <v>40450</v>
      </c>
      <c r="E4510" s="1" t="s">
        <v>9079</v>
      </c>
      <c r="F4510" s="1" t="s">
        <v>13</v>
      </c>
    </row>
    <row r="4511" spans="1:6" ht="30" customHeight="1" x14ac:dyDescent="0.25">
      <c r="A4511" s="1" t="s">
        <v>9080</v>
      </c>
      <c r="B4511" s="1" t="str">
        <f>"9781849407878"</f>
        <v>9781849407878</v>
      </c>
      <c r="C4511" s="1" t="s">
        <v>8994</v>
      </c>
      <c r="D4511" s="2">
        <v>40476</v>
      </c>
      <c r="E4511" s="1" t="s">
        <v>9081</v>
      </c>
      <c r="F4511" s="1" t="s">
        <v>13</v>
      </c>
    </row>
    <row r="4512" spans="1:6" ht="30" customHeight="1" x14ac:dyDescent="0.25">
      <c r="A4512" s="1" t="s">
        <v>9082</v>
      </c>
      <c r="B4512" s="1" t="str">
        <f>"9781849407915"</f>
        <v>9781849407915</v>
      </c>
      <c r="C4512" s="1" t="s">
        <v>68</v>
      </c>
      <c r="D4512" s="2">
        <v>40179</v>
      </c>
      <c r="E4512" s="1" t="s">
        <v>9083</v>
      </c>
      <c r="F4512" s="1" t="s">
        <v>13</v>
      </c>
    </row>
    <row r="4513" spans="1:6" ht="30" customHeight="1" x14ac:dyDescent="0.25">
      <c r="A4513" s="1" t="s">
        <v>9084</v>
      </c>
      <c r="B4513" s="1" t="str">
        <f>"9781849407939"</f>
        <v>9781849407939</v>
      </c>
      <c r="C4513" s="1" t="s">
        <v>8994</v>
      </c>
      <c r="D4513" s="2">
        <v>40450</v>
      </c>
      <c r="E4513" s="1" t="s">
        <v>9085</v>
      </c>
      <c r="F4513" s="1" t="s">
        <v>291</v>
      </c>
    </row>
    <row r="4514" spans="1:6" ht="30" customHeight="1" x14ac:dyDescent="0.25">
      <c r="A4514" s="1" t="s">
        <v>9086</v>
      </c>
      <c r="B4514" s="1" t="str">
        <f>"9781849407946"</f>
        <v>9781849407946</v>
      </c>
      <c r="C4514" s="1" t="s">
        <v>68</v>
      </c>
      <c r="D4514" s="2">
        <v>40450</v>
      </c>
      <c r="E4514" s="1" t="s">
        <v>9087</v>
      </c>
      <c r="F4514" s="1" t="s">
        <v>291</v>
      </c>
    </row>
    <row r="4515" spans="1:6" ht="30" customHeight="1" x14ac:dyDescent="0.25">
      <c r="A4515" s="1" t="s">
        <v>9088</v>
      </c>
      <c r="B4515" s="1" t="str">
        <f>"9781849407960"</f>
        <v>9781849407960</v>
      </c>
      <c r="C4515" s="1" t="s">
        <v>8994</v>
      </c>
      <c r="D4515" s="2">
        <v>40295</v>
      </c>
      <c r="E4515" s="1" t="s">
        <v>9089</v>
      </c>
      <c r="F4515" s="1" t="s">
        <v>742</v>
      </c>
    </row>
    <row r="4516" spans="1:6" ht="30" customHeight="1" x14ac:dyDescent="0.25">
      <c r="A4516" s="1" t="s">
        <v>9090</v>
      </c>
      <c r="B4516" s="1" t="str">
        <f>"9781849408004"</f>
        <v>9781849408004</v>
      </c>
      <c r="C4516" s="1" t="s">
        <v>8994</v>
      </c>
      <c r="D4516" s="2">
        <v>39897</v>
      </c>
      <c r="E4516" s="1" t="s">
        <v>9091</v>
      </c>
      <c r="F4516" s="1" t="s">
        <v>13</v>
      </c>
    </row>
    <row r="4517" spans="1:6" ht="30" customHeight="1" x14ac:dyDescent="0.25">
      <c r="A4517" s="1" t="s">
        <v>9092</v>
      </c>
      <c r="B4517" s="1" t="str">
        <f>"9781849408042"</f>
        <v>9781849408042</v>
      </c>
      <c r="C4517" s="1" t="s">
        <v>68</v>
      </c>
      <c r="D4517" s="2">
        <v>40178</v>
      </c>
      <c r="E4517" s="1" t="s">
        <v>9093</v>
      </c>
      <c r="F4517" s="1" t="s">
        <v>291</v>
      </c>
    </row>
    <row r="4518" spans="1:6" ht="30" customHeight="1" x14ac:dyDescent="0.25">
      <c r="A4518" s="1" t="s">
        <v>9094</v>
      </c>
      <c r="B4518" s="1" t="str">
        <f>"9781849408141"</f>
        <v>9781849408141</v>
      </c>
      <c r="C4518" s="1" t="s">
        <v>68</v>
      </c>
      <c r="D4518" s="2">
        <v>39861</v>
      </c>
      <c r="E4518" s="1" t="s">
        <v>9095</v>
      </c>
      <c r="F4518" s="1" t="s">
        <v>13</v>
      </c>
    </row>
    <row r="4519" spans="1:6" ht="30" customHeight="1" x14ac:dyDescent="0.25">
      <c r="A4519" s="1" t="s">
        <v>9096</v>
      </c>
      <c r="B4519" s="1" t="str">
        <f>"9781849408165"</f>
        <v>9781849408165</v>
      </c>
      <c r="C4519" s="1" t="s">
        <v>68</v>
      </c>
      <c r="D4519" s="2">
        <v>39962</v>
      </c>
      <c r="E4519" s="1" t="s">
        <v>9097</v>
      </c>
      <c r="F4519" s="1" t="s">
        <v>13</v>
      </c>
    </row>
    <row r="4520" spans="1:6" ht="30" customHeight="1" x14ac:dyDescent="0.25">
      <c r="A4520" s="1" t="s">
        <v>9098</v>
      </c>
      <c r="B4520" s="1" t="str">
        <f>"9781849408196"</f>
        <v>9781849408196</v>
      </c>
      <c r="C4520" s="1" t="s">
        <v>68</v>
      </c>
      <c r="D4520" s="2">
        <v>40178</v>
      </c>
      <c r="E4520" s="1" t="s">
        <v>9099</v>
      </c>
      <c r="F4520" s="1" t="s">
        <v>104</v>
      </c>
    </row>
    <row r="4521" spans="1:6" ht="30" customHeight="1" x14ac:dyDescent="0.25">
      <c r="A4521" s="1" t="s">
        <v>9100</v>
      </c>
      <c r="B4521" s="1" t="str">
        <f>"9781849408257"</f>
        <v>9781849408257</v>
      </c>
      <c r="C4521" s="1" t="s">
        <v>8994</v>
      </c>
      <c r="D4521" s="2">
        <v>40178</v>
      </c>
      <c r="E4521" s="1" t="s">
        <v>9101</v>
      </c>
      <c r="F4521" s="1" t="s">
        <v>13</v>
      </c>
    </row>
    <row r="4522" spans="1:6" ht="30" customHeight="1" x14ac:dyDescent="0.25">
      <c r="A4522" s="1" t="s">
        <v>9102</v>
      </c>
      <c r="B4522" s="1" t="str">
        <f>"9781849408271"</f>
        <v>9781849408271</v>
      </c>
      <c r="C4522" s="1" t="s">
        <v>8994</v>
      </c>
      <c r="D4522" s="2">
        <v>40178</v>
      </c>
      <c r="E4522" s="1" t="s">
        <v>9103</v>
      </c>
      <c r="F4522" s="1" t="s">
        <v>291</v>
      </c>
    </row>
    <row r="4523" spans="1:6" ht="30" customHeight="1" x14ac:dyDescent="0.25">
      <c r="A4523" s="1" t="s">
        <v>9104</v>
      </c>
      <c r="B4523" s="1" t="str">
        <f>"9781849408295"</f>
        <v>9781849408295</v>
      </c>
      <c r="C4523" s="1" t="s">
        <v>68</v>
      </c>
      <c r="D4523" s="2">
        <v>39981</v>
      </c>
      <c r="E4523" s="1" t="s">
        <v>9105</v>
      </c>
      <c r="F4523" s="1" t="s">
        <v>13</v>
      </c>
    </row>
    <row r="4524" spans="1:6" ht="30" customHeight="1" x14ac:dyDescent="0.25">
      <c r="A4524" s="1" t="s">
        <v>9106</v>
      </c>
      <c r="B4524" s="1" t="str">
        <f>"9781849408332"</f>
        <v>9781849408332</v>
      </c>
      <c r="C4524" s="1" t="s">
        <v>68</v>
      </c>
      <c r="D4524" s="2">
        <v>39814</v>
      </c>
      <c r="E4524" s="1" t="s">
        <v>9107</v>
      </c>
      <c r="F4524" s="1" t="s">
        <v>2537</v>
      </c>
    </row>
    <row r="4525" spans="1:6" ht="30" customHeight="1" x14ac:dyDescent="0.25">
      <c r="A4525" s="1" t="s">
        <v>9108</v>
      </c>
      <c r="B4525" s="1" t="str">
        <f>"9781849408349"</f>
        <v>9781849408349</v>
      </c>
      <c r="C4525" s="1" t="s">
        <v>8994</v>
      </c>
      <c r="D4525" s="2">
        <v>40178</v>
      </c>
      <c r="E4525" s="1" t="s">
        <v>9109</v>
      </c>
      <c r="F4525" s="1" t="s">
        <v>291</v>
      </c>
    </row>
    <row r="4526" spans="1:6" ht="30" customHeight="1" x14ac:dyDescent="0.25">
      <c r="A4526" s="1" t="s">
        <v>9110</v>
      </c>
      <c r="B4526" s="1" t="str">
        <f>"9781849408394"</f>
        <v>9781849408394</v>
      </c>
      <c r="C4526" s="1" t="s">
        <v>8994</v>
      </c>
      <c r="D4526" s="2">
        <v>40121</v>
      </c>
      <c r="E4526" s="1" t="s">
        <v>9111</v>
      </c>
      <c r="F4526" s="1" t="s">
        <v>104</v>
      </c>
    </row>
    <row r="4527" spans="1:6" ht="30" customHeight="1" x14ac:dyDescent="0.25">
      <c r="A4527" s="1" t="s">
        <v>9112</v>
      </c>
      <c r="B4527" s="1" t="str">
        <f>"9781849408462"</f>
        <v>9781849408462</v>
      </c>
      <c r="C4527" s="1" t="s">
        <v>68</v>
      </c>
      <c r="D4527" s="2">
        <v>39814</v>
      </c>
      <c r="E4527" s="1" t="s">
        <v>9113</v>
      </c>
      <c r="F4527" s="1" t="s">
        <v>13</v>
      </c>
    </row>
    <row r="4528" spans="1:6" ht="30" customHeight="1" x14ac:dyDescent="0.25">
      <c r="A4528" s="1" t="s">
        <v>9114</v>
      </c>
      <c r="B4528" s="1" t="str">
        <f>"9781849408554"</f>
        <v>9781849408554</v>
      </c>
      <c r="C4528" s="1" t="s">
        <v>68</v>
      </c>
      <c r="D4528" s="2">
        <v>40178</v>
      </c>
      <c r="E4528" s="1" t="s">
        <v>9115</v>
      </c>
      <c r="F4528" s="1" t="s">
        <v>33</v>
      </c>
    </row>
    <row r="4529" spans="1:6" ht="30" customHeight="1" x14ac:dyDescent="0.25">
      <c r="A4529" s="1" t="s">
        <v>9116</v>
      </c>
      <c r="B4529" s="1" t="str">
        <f>"9781849406888"</f>
        <v>9781849406888</v>
      </c>
      <c r="C4529" s="1" t="s">
        <v>8994</v>
      </c>
      <c r="D4529" s="2">
        <v>40178</v>
      </c>
      <c r="E4529" s="1" t="s">
        <v>9117</v>
      </c>
      <c r="F4529" s="1" t="s">
        <v>13</v>
      </c>
    </row>
    <row r="4530" spans="1:6" ht="30" customHeight="1" x14ac:dyDescent="0.25">
      <c r="A4530" s="1" t="s">
        <v>9118</v>
      </c>
      <c r="B4530" s="1" t="str">
        <f>"9781849406901"</f>
        <v>9781849406901</v>
      </c>
      <c r="C4530" s="1" t="s">
        <v>68</v>
      </c>
      <c r="D4530" s="2">
        <v>40009</v>
      </c>
      <c r="E4530" s="1" t="s">
        <v>9119</v>
      </c>
      <c r="F4530" s="1" t="s">
        <v>104</v>
      </c>
    </row>
    <row r="4531" spans="1:6" ht="30" customHeight="1" x14ac:dyDescent="0.25">
      <c r="A4531" s="1" t="s">
        <v>9120</v>
      </c>
      <c r="B4531" s="1" t="str">
        <f>"9781849406918"</f>
        <v>9781849406918</v>
      </c>
      <c r="C4531" s="1" t="s">
        <v>8994</v>
      </c>
      <c r="D4531" s="2">
        <v>40178</v>
      </c>
      <c r="E4531" s="1" t="s">
        <v>9121</v>
      </c>
      <c r="F4531" s="1" t="s">
        <v>13</v>
      </c>
    </row>
    <row r="4532" spans="1:6" ht="30" customHeight="1" x14ac:dyDescent="0.25">
      <c r="A4532" s="1" t="s">
        <v>9122</v>
      </c>
      <c r="B4532" s="1" t="str">
        <f>"9781849406963"</f>
        <v>9781849406963</v>
      </c>
      <c r="C4532" s="1" t="s">
        <v>8994</v>
      </c>
      <c r="D4532" s="2">
        <v>40025</v>
      </c>
      <c r="E4532" s="1" t="s">
        <v>9123</v>
      </c>
      <c r="F4532" s="1" t="s">
        <v>13</v>
      </c>
    </row>
    <row r="4533" spans="1:6" ht="30" customHeight="1" x14ac:dyDescent="0.25">
      <c r="A4533" s="1" t="s">
        <v>9124</v>
      </c>
      <c r="B4533" s="1" t="str">
        <f>"9781849406994"</f>
        <v>9781849406994</v>
      </c>
      <c r="C4533" s="1" t="s">
        <v>68</v>
      </c>
      <c r="D4533" s="2">
        <v>39869</v>
      </c>
      <c r="E4533" s="1" t="s">
        <v>9125</v>
      </c>
      <c r="F4533" s="1" t="s">
        <v>13</v>
      </c>
    </row>
    <row r="4534" spans="1:6" ht="30" customHeight="1" x14ac:dyDescent="0.25">
      <c r="A4534" s="1" t="s">
        <v>9126</v>
      </c>
      <c r="B4534" s="1" t="str">
        <f>"9781849407014"</f>
        <v>9781849407014</v>
      </c>
      <c r="C4534" s="1" t="s">
        <v>8994</v>
      </c>
      <c r="D4534" s="2">
        <v>40178</v>
      </c>
      <c r="E4534" s="1" t="s">
        <v>9127</v>
      </c>
      <c r="F4534" s="1" t="s">
        <v>13</v>
      </c>
    </row>
    <row r="4535" spans="1:6" ht="30" customHeight="1" x14ac:dyDescent="0.25">
      <c r="A4535" s="1" t="s">
        <v>9128</v>
      </c>
      <c r="B4535" s="1" t="str">
        <f>"9781849407052"</f>
        <v>9781849407052</v>
      </c>
      <c r="C4535" s="1" t="s">
        <v>8994</v>
      </c>
      <c r="D4535" s="2">
        <v>39863</v>
      </c>
      <c r="E4535" s="1" t="s">
        <v>9129</v>
      </c>
      <c r="F4535" s="1" t="s">
        <v>13</v>
      </c>
    </row>
    <row r="4536" spans="1:6" ht="30" customHeight="1" x14ac:dyDescent="0.25">
      <c r="A4536" s="1" t="s">
        <v>9130</v>
      </c>
      <c r="B4536" s="1" t="str">
        <f>"9781849407069"</f>
        <v>9781849407069</v>
      </c>
      <c r="C4536" s="1" t="s">
        <v>68</v>
      </c>
      <c r="D4536" s="2">
        <v>40178</v>
      </c>
      <c r="E4536" s="1" t="s">
        <v>9131</v>
      </c>
      <c r="F4536" s="1" t="s">
        <v>13</v>
      </c>
    </row>
    <row r="4537" spans="1:6" ht="30" customHeight="1" x14ac:dyDescent="0.25">
      <c r="A4537" s="1" t="s">
        <v>9132</v>
      </c>
      <c r="B4537" s="1" t="str">
        <f>"9781849406086"</f>
        <v>9781849406086</v>
      </c>
      <c r="C4537" s="1" t="s">
        <v>8994</v>
      </c>
      <c r="D4537" s="2">
        <v>39813</v>
      </c>
      <c r="E4537" s="1" t="s">
        <v>9133</v>
      </c>
      <c r="F4537" s="1" t="s">
        <v>13</v>
      </c>
    </row>
    <row r="4538" spans="1:6" ht="30" customHeight="1" x14ac:dyDescent="0.25">
      <c r="A4538" s="1" t="s">
        <v>9134</v>
      </c>
      <c r="B4538" s="1" t="str">
        <f>"9781849406093"</f>
        <v>9781849406093</v>
      </c>
      <c r="C4538" s="1" t="s">
        <v>68</v>
      </c>
      <c r="D4538" s="2">
        <v>39549</v>
      </c>
      <c r="E4538" s="1" t="s">
        <v>9135</v>
      </c>
      <c r="F4538" s="1" t="s">
        <v>13</v>
      </c>
    </row>
    <row r="4539" spans="1:6" ht="30" customHeight="1" x14ac:dyDescent="0.25">
      <c r="A4539" s="1" t="s">
        <v>9136</v>
      </c>
      <c r="B4539" s="1" t="str">
        <f>"9781849406130"</f>
        <v>9781849406130</v>
      </c>
      <c r="C4539" s="1" t="s">
        <v>8994</v>
      </c>
      <c r="D4539" s="2">
        <v>39813</v>
      </c>
      <c r="E4539" s="1" t="s">
        <v>9137</v>
      </c>
      <c r="F4539" s="1" t="s">
        <v>13</v>
      </c>
    </row>
    <row r="4540" spans="1:6" ht="30" customHeight="1" x14ac:dyDescent="0.25">
      <c r="A4540" s="1" t="s">
        <v>9138</v>
      </c>
      <c r="B4540" s="1" t="str">
        <f>"9781849406192"</f>
        <v>9781849406192</v>
      </c>
      <c r="C4540" s="1" t="s">
        <v>68</v>
      </c>
      <c r="D4540" s="2">
        <v>39603</v>
      </c>
      <c r="E4540" s="1" t="s">
        <v>9139</v>
      </c>
      <c r="F4540" s="1" t="s">
        <v>599</v>
      </c>
    </row>
    <row r="4541" spans="1:6" ht="30" customHeight="1" x14ac:dyDescent="0.25">
      <c r="A4541" s="1" t="s">
        <v>9140</v>
      </c>
      <c r="B4541" s="1" t="str">
        <f>"9781849406215"</f>
        <v>9781849406215</v>
      </c>
      <c r="C4541" s="1" t="s">
        <v>8994</v>
      </c>
      <c r="D4541" s="2">
        <v>39813</v>
      </c>
      <c r="E4541" s="1" t="s">
        <v>9141</v>
      </c>
      <c r="F4541" s="1" t="s">
        <v>13</v>
      </c>
    </row>
    <row r="4542" spans="1:6" ht="30" customHeight="1" x14ac:dyDescent="0.25">
      <c r="A4542" s="1" t="s">
        <v>9142</v>
      </c>
      <c r="B4542" s="1" t="str">
        <f>"9781849406284"</f>
        <v>9781849406284</v>
      </c>
      <c r="C4542" s="1" t="s">
        <v>8994</v>
      </c>
      <c r="D4542" s="2">
        <v>39813</v>
      </c>
      <c r="E4542" s="1" t="s">
        <v>9143</v>
      </c>
      <c r="F4542" s="1" t="s">
        <v>176</v>
      </c>
    </row>
    <row r="4543" spans="1:6" ht="30" customHeight="1" x14ac:dyDescent="0.25">
      <c r="A4543" s="1" t="s">
        <v>9144</v>
      </c>
      <c r="B4543" s="1" t="str">
        <f>"9781849406345"</f>
        <v>9781849406345</v>
      </c>
      <c r="C4543" s="1" t="s">
        <v>8994</v>
      </c>
      <c r="D4543" s="2">
        <v>39813</v>
      </c>
      <c r="E4543" s="1" t="s">
        <v>9145</v>
      </c>
      <c r="F4543" s="1" t="s">
        <v>13</v>
      </c>
    </row>
    <row r="4544" spans="1:6" ht="30" customHeight="1" x14ac:dyDescent="0.25">
      <c r="A4544" s="1" t="s">
        <v>9146</v>
      </c>
      <c r="B4544" s="1" t="str">
        <f>"9781849406772"</f>
        <v>9781849406772</v>
      </c>
      <c r="C4544" s="1" t="s">
        <v>68</v>
      </c>
      <c r="D4544" s="2">
        <v>39751</v>
      </c>
      <c r="E4544" s="1" t="s">
        <v>9147</v>
      </c>
      <c r="F4544" s="1" t="s">
        <v>13</v>
      </c>
    </row>
    <row r="4545" spans="1:6" ht="30" customHeight="1" x14ac:dyDescent="0.25">
      <c r="A4545" s="1" t="s">
        <v>9148</v>
      </c>
      <c r="B4545" s="1" t="str">
        <f>"9781849406499"</f>
        <v>9781849406499</v>
      </c>
      <c r="C4545" s="1" t="s">
        <v>8994</v>
      </c>
      <c r="D4545" s="2">
        <v>39636</v>
      </c>
      <c r="E4545" s="1" t="s">
        <v>9149</v>
      </c>
      <c r="F4545" s="1" t="s">
        <v>104</v>
      </c>
    </row>
    <row r="4546" spans="1:6" ht="30" customHeight="1" x14ac:dyDescent="0.25">
      <c r="A4546" s="1" t="s">
        <v>9150</v>
      </c>
      <c r="B4546" s="1" t="str">
        <f>"9781849406529"</f>
        <v>9781849406529</v>
      </c>
      <c r="C4546" s="1" t="s">
        <v>68</v>
      </c>
      <c r="D4546" s="2">
        <v>39513</v>
      </c>
      <c r="E4546" s="1" t="s">
        <v>9151</v>
      </c>
      <c r="F4546" s="1" t="s">
        <v>13</v>
      </c>
    </row>
    <row r="4547" spans="1:6" ht="30" customHeight="1" x14ac:dyDescent="0.25">
      <c r="A4547" s="1" t="s">
        <v>9152</v>
      </c>
      <c r="B4547" s="1" t="str">
        <f>"9781849406543"</f>
        <v>9781849406543</v>
      </c>
      <c r="C4547" s="1" t="s">
        <v>8994</v>
      </c>
      <c r="D4547" s="2">
        <v>39665</v>
      </c>
      <c r="E4547" s="1" t="s">
        <v>9153</v>
      </c>
      <c r="F4547" s="1" t="s">
        <v>104</v>
      </c>
    </row>
    <row r="4548" spans="1:6" ht="30" customHeight="1" x14ac:dyDescent="0.25">
      <c r="A4548" s="1" t="s">
        <v>9154</v>
      </c>
      <c r="B4548" s="1" t="str">
        <f>"9781849406574"</f>
        <v>9781849406574</v>
      </c>
      <c r="C4548" s="1" t="s">
        <v>8994</v>
      </c>
      <c r="D4548" s="2">
        <v>39797</v>
      </c>
      <c r="E4548" s="1" t="s">
        <v>9155</v>
      </c>
      <c r="F4548" s="1" t="s">
        <v>291</v>
      </c>
    </row>
    <row r="4549" spans="1:6" ht="30" customHeight="1" x14ac:dyDescent="0.25">
      <c r="A4549" s="1" t="s">
        <v>9156</v>
      </c>
      <c r="B4549" s="1" t="str">
        <f>"9781849406765"</f>
        <v>9781849406765</v>
      </c>
      <c r="C4549" s="1" t="s">
        <v>8994</v>
      </c>
      <c r="D4549" s="2">
        <v>39750</v>
      </c>
      <c r="E4549" s="1" t="s">
        <v>9157</v>
      </c>
      <c r="F4549" s="1" t="s">
        <v>13</v>
      </c>
    </row>
    <row r="4550" spans="1:6" ht="30" customHeight="1" x14ac:dyDescent="0.25">
      <c r="A4550" s="1" t="s">
        <v>9158</v>
      </c>
      <c r="B4550" s="1" t="str">
        <f>"9781849406611"</f>
        <v>9781849406611</v>
      </c>
      <c r="C4550" s="1" t="s">
        <v>68</v>
      </c>
      <c r="D4550" s="2">
        <v>39813</v>
      </c>
      <c r="E4550" s="1" t="s">
        <v>9159</v>
      </c>
      <c r="F4550" s="1" t="s">
        <v>158</v>
      </c>
    </row>
    <row r="4551" spans="1:6" ht="30" customHeight="1" x14ac:dyDescent="0.25">
      <c r="A4551" s="1" t="s">
        <v>9160</v>
      </c>
      <c r="B4551" s="1" t="str">
        <f>"9781849406628"</f>
        <v>9781849406628</v>
      </c>
      <c r="C4551" s="1" t="s">
        <v>8994</v>
      </c>
      <c r="D4551" s="2">
        <v>39505</v>
      </c>
      <c r="E4551" s="1" t="s">
        <v>9161</v>
      </c>
      <c r="F4551" s="1" t="s">
        <v>13</v>
      </c>
    </row>
    <row r="4552" spans="1:6" ht="30" customHeight="1" x14ac:dyDescent="0.25">
      <c r="A4552" s="1" t="s">
        <v>9162</v>
      </c>
      <c r="B4552" s="1" t="str">
        <f>"9781849406673"</f>
        <v>9781849406673</v>
      </c>
      <c r="C4552" s="1" t="s">
        <v>8994</v>
      </c>
      <c r="D4552" s="2">
        <v>39813</v>
      </c>
      <c r="E4552" s="1" t="s">
        <v>9163</v>
      </c>
      <c r="F4552" s="1" t="s">
        <v>13</v>
      </c>
    </row>
    <row r="4553" spans="1:6" ht="30" customHeight="1" x14ac:dyDescent="0.25">
      <c r="A4553" s="1" t="s">
        <v>9164</v>
      </c>
      <c r="B4553" s="1" t="str">
        <f>"9781849402958"</f>
        <v>9781849402958</v>
      </c>
      <c r="C4553" s="1" t="s">
        <v>68</v>
      </c>
      <c r="D4553" s="2">
        <v>36891</v>
      </c>
      <c r="E4553" s="1" t="s">
        <v>9165</v>
      </c>
      <c r="F4553" s="1" t="s">
        <v>599</v>
      </c>
    </row>
    <row r="4554" spans="1:6" ht="30" customHeight="1" x14ac:dyDescent="0.25">
      <c r="A4554" s="1" t="s">
        <v>9166</v>
      </c>
      <c r="B4554" s="1" t="str">
        <f>"9781849408745"</f>
        <v>9781849408745</v>
      </c>
      <c r="C4554" s="1" t="s">
        <v>68</v>
      </c>
      <c r="D4554" s="2">
        <v>40588</v>
      </c>
      <c r="E4554" s="1" t="s">
        <v>9167</v>
      </c>
      <c r="F4554" s="1" t="s">
        <v>13</v>
      </c>
    </row>
    <row r="4555" spans="1:6" ht="30" customHeight="1" x14ac:dyDescent="0.25">
      <c r="A4555" s="1" t="s">
        <v>9168</v>
      </c>
      <c r="B4555" s="1" t="str">
        <f>"9781849408707"</f>
        <v>9781849408707</v>
      </c>
      <c r="C4555" s="1" t="s">
        <v>68</v>
      </c>
      <c r="D4555" s="2">
        <v>40634</v>
      </c>
      <c r="E4555" s="1" t="s">
        <v>9169</v>
      </c>
      <c r="F4555" s="1" t="s">
        <v>104</v>
      </c>
    </row>
    <row r="4556" spans="1:6" ht="30" customHeight="1" x14ac:dyDescent="0.25">
      <c r="A4556" s="1" t="s">
        <v>9170</v>
      </c>
      <c r="B4556" s="1" t="str">
        <f>"9781849408783"</f>
        <v>9781849408783</v>
      </c>
      <c r="C4556" s="1" t="s">
        <v>68</v>
      </c>
      <c r="D4556" s="2">
        <v>40617</v>
      </c>
      <c r="E4556" s="1" t="s">
        <v>9171</v>
      </c>
      <c r="F4556" s="1" t="s">
        <v>13</v>
      </c>
    </row>
    <row r="4557" spans="1:6" ht="30" customHeight="1" x14ac:dyDescent="0.25">
      <c r="A4557" s="1" t="s">
        <v>9172</v>
      </c>
      <c r="B4557" s="1" t="str">
        <f>"9781849408820"</f>
        <v>9781849408820</v>
      </c>
      <c r="C4557" s="1" t="s">
        <v>8994</v>
      </c>
      <c r="D4557" s="2">
        <v>40634</v>
      </c>
      <c r="E4557" s="1" t="s">
        <v>9173</v>
      </c>
      <c r="F4557" s="1" t="s">
        <v>13</v>
      </c>
    </row>
    <row r="4558" spans="1:6" ht="30" customHeight="1" x14ac:dyDescent="0.25">
      <c r="A4558" s="1" t="s">
        <v>9174</v>
      </c>
      <c r="B4558" s="1" t="str">
        <f>"9781849408806"</f>
        <v>9781849408806</v>
      </c>
      <c r="C4558" s="1" t="s">
        <v>8994</v>
      </c>
      <c r="D4558" s="2">
        <v>40634</v>
      </c>
      <c r="E4558" s="1" t="s">
        <v>9175</v>
      </c>
      <c r="F4558" s="1" t="s">
        <v>13</v>
      </c>
    </row>
    <row r="4559" spans="1:6" ht="30" customHeight="1" x14ac:dyDescent="0.25">
      <c r="A4559" s="1" t="s">
        <v>9176</v>
      </c>
      <c r="B4559" s="1" t="str">
        <f>"9781849408837"</f>
        <v>9781849408837</v>
      </c>
      <c r="C4559" s="1" t="s">
        <v>68</v>
      </c>
      <c r="D4559" s="2">
        <v>40632</v>
      </c>
      <c r="E4559" s="1" t="s">
        <v>9177</v>
      </c>
      <c r="F4559" s="1" t="s">
        <v>13</v>
      </c>
    </row>
    <row r="4560" spans="1:6" ht="30" customHeight="1" x14ac:dyDescent="0.25">
      <c r="A4560" s="1" t="s">
        <v>9178</v>
      </c>
      <c r="B4560" s="1" t="str">
        <f>"9781849400831"</f>
        <v>9781849400831</v>
      </c>
      <c r="C4560" s="1" t="s">
        <v>68</v>
      </c>
      <c r="D4560" s="2">
        <v>32873</v>
      </c>
      <c r="E4560" s="1" t="s">
        <v>9179</v>
      </c>
      <c r="F4560" s="1" t="s">
        <v>104</v>
      </c>
    </row>
    <row r="4561" spans="1:6" ht="30" customHeight="1" x14ac:dyDescent="0.25">
      <c r="A4561" s="1" t="s">
        <v>9180</v>
      </c>
      <c r="B4561" s="1" t="str">
        <f>"9781849401036"</f>
        <v>9781849401036</v>
      </c>
      <c r="C4561" s="1" t="s">
        <v>68</v>
      </c>
      <c r="D4561" s="2">
        <v>33603</v>
      </c>
      <c r="E4561" s="1" t="s">
        <v>9181</v>
      </c>
      <c r="F4561" s="1" t="s">
        <v>104</v>
      </c>
    </row>
    <row r="4562" spans="1:6" ht="30" customHeight="1" x14ac:dyDescent="0.25">
      <c r="A4562" s="1" t="s">
        <v>9182</v>
      </c>
      <c r="B4562" s="1" t="str">
        <f>"9781849401135"</f>
        <v>9781849401135</v>
      </c>
      <c r="C4562" s="1" t="s">
        <v>8994</v>
      </c>
      <c r="D4562" s="2">
        <v>33603</v>
      </c>
      <c r="E4562" s="1" t="s">
        <v>9183</v>
      </c>
      <c r="F4562" s="1" t="s">
        <v>13</v>
      </c>
    </row>
    <row r="4563" spans="1:6" ht="30" customHeight="1" x14ac:dyDescent="0.25">
      <c r="A4563" s="1" t="s">
        <v>9184</v>
      </c>
      <c r="B4563" s="1" t="str">
        <f>"9781849401159"</f>
        <v>9781849401159</v>
      </c>
      <c r="C4563" s="1" t="s">
        <v>68</v>
      </c>
      <c r="D4563" s="2">
        <v>33603</v>
      </c>
      <c r="E4563" s="1" t="s">
        <v>9185</v>
      </c>
      <c r="F4563" s="1" t="s">
        <v>13</v>
      </c>
    </row>
    <row r="4564" spans="1:6" ht="30" customHeight="1" x14ac:dyDescent="0.25">
      <c r="A4564" s="1" t="s">
        <v>9186</v>
      </c>
      <c r="B4564" s="1" t="str">
        <f>"9781849401395"</f>
        <v>9781849401395</v>
      </c>
      <c r="C4564" s="1" t="s">
        <v>68</v>
      </c>
      <c r="D4564" s="2">
        <v>33969</v>
      </c>
      <c r="E4564" s="1" t="s">
        <v>9187</v>
      </c>
      <c r="F4564" s="1" t="s">
        <v>291</v>
      </c>
    </row>
    <row r="4565" spans="1:6" ht="30" customHeight="1" x14ac:dyDescent="0.25">
      <c r="A4565" s="1" t="s">
        <v>9188</v>
      </c>
      <c r="B4565" s="1" t="str">
        <f>"9781849401609"</f>
        <v>9781849401609</v>
      </c>
      <c r="C4565" s="1" t="s">
        <v>8994</v>
      </c>
      <c r="D4565" s="2">
        <v>34699</v>
      </c>
      <c r="E4565" s="1" t="s">
        <v>9189</v>
      </c>
      <c r="F4565" s="1" t="s">
        <v>13</v>
      </c>
    </row>
    <row r="4566" spans="1:6" ht="30" customHeight="1" x14ac:dyDescent="0.25">
      <c r="A4566" s="1" t="s">
        <v>9190</v>
      </c>
      <c r="B4566" s="1" t="str">
        <f>"9781849401630"</f>
        <v>9781849401630</v>
      </c>
      <c r="C4566" s="1" t="s">
        <v>8994</v>
      </c>
      <c r="D4566" s="2">
        <v>34699</v>
      </c>
      <c r="E4566" s="1" t="s">
        <v>9191</v>
      </c>
      <c r="F4566" s="1" t="s">
        <v>13</v>
      </c>
    </row>
    <row r="4567" spans="1:6" ht="30" customHeight="1" x14ac:dyDescent="0.25">
      <c r="A4567" s="1" t="s">
        <v>9192</v>
      </c>
      <c r="B4567" s="1" t="str">
        <f>"9781849401845"</f>
        <v>9781849401845</v>
      </c>
      <c r="C4567" s="1" t="s">
        <v>68</v>
      </c>
      <c r="D4567" s="2">
        <v>35064</v>
      </c>
      <c r="E4567" s="1" t="s">
        <v>9193</v>
      </c>
      <c r="F4567" s="1" t="s">
        <v>13</v>
      </c>
    </row>
    <row r="4568" spans="1:6" ht="30" customHeight="1" x14ac:dyDescent="0.25">
      <c r="A4568" s="1" t="s">
        <v>9194</v>
      </c>
      <c r="B4568" s="1" t="str">
        <f>"9781849401982"</f>
        <v>9781849401982</v>
      </c>
      <c r="C4568" s="1" t="s">
        <v>68</v>
      </c>
      <c r="D4568" s="2">
        <v>35064</v>
      </c>
      <c r="E4568" s="1" t="s">
        <v>9195</v>
      </c>
      <c r="F4568" s="1" t="s">
        <v>13</v>
      </c>
    </row>
    <row r="4569" spans="1:6" ht="30" customHeight="1" x14ac:dyDescent="0.25">
      <c r="A4569" s="1" t="s">
        <v>9196</v>
      </c>
      <c r="B4569" s="1" t="str">
        <f>"9781849402033"</f>
        <v>9781849402033</v>
      </c>
      <c r="C4569" s="1" t="s">
        <v>68</v>
      </c>
      <c r="D4569" s="2">
        <v>35430</v>
      </c>
      <c r="E4569" s="1" t="s">
        <v>9197</v>
      </c>
      <c r="F4569" s="1" t="s">
        <v>13</v>
      </c>
    </row>
    <row r="4570" spans="1:6" ht="30" customHeight="1" x14ac:dyDescent="0.25">
      <c r="A4570" s="1" t="s">
        <v>9198</v>
      </c>
      <c r="B4570" s="1" t="str">
        <f>"9781849402040"</f>
        <v>9781849402040</v>
      </c>
      <c r="C4570" s="1" t="s">
        <v>68</v>
      </c>
      <c r="D4570" s="2">
        <v>35430</v>
      </c>
      <c r="E4570" s="1" t="s">
        <v>9109</v>
      </c>
      <c r="F4570" s="1" t="s">
        <v>127</v>
      </c>
    </row>
    <row r="4571" spans="1:6" ht="30" customHeight="1" x14ac:dyDescent="0.25">
      <c r="A4571" s="1" t="s">
        <v>9199</v>
      </c>
      <c r="B4571" s="1" t="str">
        <f>"9781849402187"</f>
        <v>9781849402187</v>
      </c>
      <c r="C4571" s="1" t="s">
        <v>68</v>
      </c>
      <c r="D4571" s="2">
        <v>35795</v>
      </c>
      <c r="E4571" s="1" t="s">
        <v>9200</v>
      </c>
      <c r="F4571" s="1" t="s">
        <v>291</v>
      </c>
    </row>
    <row r="4572" spans="1:6" ht="30" customHeight="1" x14ac:dyDescent="0.25">
      <c r="A4572" s="1" t="s">
        <v>9201</v>
      </c>
      <c r="B4572" s="1" t="str">
        <f>"9781849402224"</f>
        <v>9781849402224</v>
      </c>
      <c r="C4572" s="1" t="s">
        <v>8994</v>
      </c>
      <c r="D4572" s="2">
        <v>35795</v>
      </c>
      <c r="E4572" s="1" t="s">
        <v>2276</v>
      </c>
      <c r="F4572" s="1" t="s">
        <v>13</v>
      </c>
    </row>
    <row r="4573" spans="1:6" ht="30" customHeight="1" x14ac:dyDescent="0.25">
      <c r="A4573" s="1" t="s">
        <v>9202</v>
      </c>
      <c r="B4573" s="1" t="str">
        <f>"9781849402590"</f>
        <v>9781849402590</v>
      </c>
      <c r="C4573" s="1" t="s">
        <v>68</v>
      </c>
      <c r="D4573" s="2">
        <v>36160</v>
      </c>
      <c r="E4573" s="1" t="s">
        <v>9203</v>
      </c>
      <c r="F4573" s="1" t="s">
        <v>13</v>
      </c>
    </row>
    <row r="4574" spans="1:6" ht="30" customHeight="1" x14ac:dyDescent="0.25">
      <c r="A4574" s="1" t="s">
        <v>9204</v>
      </c>
      <c r="B4574" s="1" t="str">
        <f>"9781849400206"</f>
        <v>9781849400206</v>
      </c>
      <c r="C4574" s="1" t="s">
        <v>8994</v>
      </c>
      <c r="D4574" s="2">
        <v>30681</v>
      </c>
      <c r="E4574" s="1" t="s">
        <v>9205</v>
      </c>
      <c r="F4574" s="1" t="s">
        <v>13</v>
      </c>
    </row>
    <row r="4575" spans="1:6" ht="30" customHeight="1" x14ac:dyDescent="0.25">
      <c r="A4575" s="1" t="s">
        <v>9206</v>
      </c>
      <c r="B4575" s="1" t="str">
        <f>"9781849400220"</f>
        <v>9781849400220</v>
      </c>
      <c r="C4575" s="1" t="s">
        <v>68</v>
      </c>
      <c r="D4575" s="2">
        <v>31047</v>
      </c>
      <c r="E4575" s="1" t="s">
        <v>9181</v>
      </c>
      <c r="F4575" s="1" t="s">
        <v>104</v>
      </c>
    </row>
    <row r="4576" spans="1:6" ht="30" customHeight="1" x14ac:dyDescent="0.25">
      <c r="A4576" s="1" t="s">
        <v>9207</v>
      </c>
      <c r="B4576" s="1" t="str">
        <f>"9781849400237"</f>
        <v>9781849400237</v>
      </c>
      <c r="C4576" s="1" t="s">
        <v>8994</v>
      </c>
      <c r="D4576" s="2">
        <v>31047</v>
      </c>
      <c r="E4576" s="1" t="s">
        <v>9208</v>
      </c>
      <c r="F4576" s="1" t="s">
        <v>9209</v>
      </c>
    </row>
    <row r="4577" spans="1:6" ht="30" customHeight="1" x14ac:dyDescent="0.25">
      <c r="A4577" s="1" t="s">
        <v>9210</v>
      </c>
      <c r="B4577" s="1" t="str">
        <f>"9781849400428"</f>
        <v>9781849400428</v>
      </c>
      <c r="C4577" s="1" t="s">
        <v>68</v>
      </c>
      <c r="D4577" s="2">
        <v>31777</v>
      </c>
      <c r="E4577" s="1" t="s">
        <v>9211</v>
      </c>
      <c r="F4577" s="1" t="s">
        <v>13</v>
      </c>
    </row>
    <row r="4578" spans="1:6" ht="30" customHeight="1" x14ac:dyDescent="0.25">
      <c r="A4578" s="1" t="s">
        <v>9212</v>
      </c>
      <c r="B4578" s="1" t="str">
        <f>"9781849401647"</f>
        <v>9781849401647</v>
      </c>
      <c r="C4578" s="1" t="s">
        <v>8994</v>
      </c>
      <c r="D4578" s="2">
        <v>34699</v>
      </c>
      <c r="E4578" s="1" t="s">
        <v>9213</v>
      </c>
      <c r="F4578" s="1" t="s">
        <v>13</v>
      </c>
    </row>
    <row r="4579" spans="1:6" ht="30" customHeight="1" x14ac:dyDescent="0.25">
      <c r="A4579" s="1" t="s">
        <v>9214</v>
      </c>
      <c r="B4579" s="1" t="str">
        <f>"9781849401715"</f>
        <v>9781849401715</v>
      </c>
      <c r="C4579" s="1" t="s">
        <v>8994</v>
      </c>
      <c r="D4579" s="2">
        <v>34699</v>
      </c>
      <c r="E4579" s="1" t="s">
        <v>9215</v>
      </c>
      <c r="F4579" s="1" t="s">
        <v>104</v>
      </c>
    </row>
    <row r="4580" spans="1:6" ht="30" customHeight="1" x14ac:dyDescent="0.25">
      <c r="A4580" s="1" t="s">
        <v>9216</v>
      </c>
      <c r="B4580" s="1" t="str">
        <f>"9781849401807"</f>
        <v>9781849401807</v>
      </c>
      <c r="C4580" s="1" t="s">
        <v>8994</v>
      </c>
      <c r="D4580" s="2">
        <v>34699</v>
      </c>
      <c r="E4580" s="1" t="s">
        <v>9217</v>
      </c>
      <c r="F4580" s="1" t="s">
        <v>291</v>
      </c>
    </row>
    <row r="4581" spans="1:6" ht="30" customHeight="1" x14ac:dyDescent="0.25">
      <c r="A4581" s="1" t="s">
        <v>9216</v>
      </c>
      <c r="B4581" s="1" t="str">
        <f>"9781849401968"</f>
        <v>9781849401968</v>
      </c>
      <c r="C4581" s="1" t="s">
        <v>8994</v>
      </c>
      <c r="D4581" s="2">
        <v>35064</v>
      </c>
      <c r="E4581" s="1" t="s">
        <v>9217</v>
      </c>
      <c r="F4581" s="1" t="s">
        <v>291</v>
      </c>
    </row>
    <row r="4582" spans="1:6" ht="30" customHeight="1" x14ac:dyDescent="0.25">
      <c r="A4582" s="1" t="s">
        <v>9218</v>
      </c>
      <c r="B4582" s="1" t="str">
        <f>"9781849401975"</f>
        <v>9781849401975</v>
      </c>
      <c r="C4582" s="1" t="s">
        <v>8994</v>
      </c>
      <c r="D4582" s="2">
        <v>35064</v>
      </c>
      <c r="E4582" s="1" t="s">
        <v>9219</v>
      </c>
      <c r="F4582" s="1" t="s">
        <v>13</v>
      </c>
    </row>
    <row r="4583" spans="1:6" ht="30" customHeight="1" x14ac:dyDescent="0.25">
      <c r="A4583" s="1" t="s">
        <v>9216</v>
      </c>
      <c r="B4583" s="1" t="str">
        <f>"9781849402132"</f>
        <v>9781849402132</v>
      </c>
      <c r="C4583" s="1" t="s">
        <v>8994</v>
      </c>
      <c r="D4583" s="2">
        <v>35430</v>
      </c>
      <c r="E4583" s="1" t="s">
        <v>9217</v>
      </c>
      <c r="F4583" s="1" t="s">
        <v>291</v>
      </c>
    </row>
    <row r="4584" spans="1:6" ht="30" customHeight="1" x14ac:dyDescent="0.25">
      <c r="A4584" s="1" t="s">
        <v>9220</v>
      </c>
      <c r="B4584" s="1" t="str">
        <f>"9781849402323"</f>
        <v>9781849402323</v>
      </c>
      <c r="C4584" s="1" t="s">
        <v>8994</v>
      </c>
      <c r="D4584" s="2">
        <v>35795</v>
      </c>
      <c r="E4584" s="1" t="s">
        <v>9221</v>
      </c>
      <c r="F4584" s="1" t="s">
        <v>13</v>
      </c>
    </row>
    <row r="4585" spans="1:6" ht="30" customHeight="1" x14ac:dyDescent="0.25">
      <c r="A4585" s="1" t="s">
        <v>9222</v>
      </c>
      <c r="B4585" s="1" t="str">
        <f>"9781849402354"</f>
        <v>9781849402354</v>
      </c>
      <c r="C4585" s="1" t="s">
        <v>8994</v>
      </c>
      <c r="D4585" s="2">
        <v>35795</v>
      </c>
      <c r="E4585" s="1" t="s">
        <v>9223</v>
      </c>
      <c r="F4585" s="1" t="s">
        <v>4329</v>
      </c>
    </row>
    <row r="4586" spans="1:6" ht="30" customHeight="1" x14ac:dyDescent="0.25">
      <c r="A4586" s="1" t="s">
        <v>9224</v>
      </c>
      <c r="B4586" s="1" t="str">
        <f>"9781849402408"</f>
        <v>9781849402408</v>
      </c>
      <c r="C4586" s="1" t="s">
        <v>8994</v>
      </c>
      <c r="D4586" s="2">
        <v>35795</v>
      </c>
      <c r="E4586" s="1" t="s">
        <v>9225</v>
      </c>
      <c r="F4586" s="1" t="s">
        <v>13</v>
      </c>
    </row>
    <row r="4587" spans="1:6" ht="30" customHeight="1" x14ac:dyDescent="0.25">
      <c r="A4587" s="1" t="s">
        <v>9226</v>
      </c>
      <c r="B4587" s="1" t="str">
        <f>"9781849402422"</f>
        <v>9781849402422</v>
      </c>
      <c r="C4587" s="1" t="s">
        <v>8994</v>
      </c>
      <c r="D4587" s="2">
        <v>35795</v>
      </c>
      <c r="E4587" s="1" t="s">
        <v>9227</v>
      </c>
      <c r="F4587" s="1" t="s">
        <v>13</v>
      </c>
    </row>
    <row r="4588" spans="1:6" ht="30" customHeight="1" x14ac:dyDescent="0.25">
      <c r="A4588" s="1" t="s">
        <v>9228</v>
      </c>
      <c r="B4588" s="1" t="str">
        <f>"9781849402606"</f>
        <v>9781849402606</v>
      </c>
      <c r="C4588" s="1" t="s">
        <v>68</v>
      </c>
      <c r="D4588" s="2">
        <v>36160</v>
      </c>
      <c r="E4588" s="1" t="s">
        <v>9229</v>
      </c>
      <c r="F4588" s="1" t="s">
        <v>104</v>
      </c>
    </row>
    <row r="4589" spans="1:6" ht="30" customHeight="1" x14ac:dyDescent="0.25">
      <c r="A4589" s="1" t="s">
        <v>9230</v>
      </c>
      <c r="B4589" s="1" t="str">
        <f>"9781849402637"</f>
        <v>9781849402637</v>
      </c>
      <c r="C4589" s="1" t="s">
        <v>68</v>
      </c>
      <c r="D4589" s="2">
        <v>36160</v>
      </c>
      <c r="E4589" s="1" t="s">
        <v>9231</v>
      </c>
      <c r="F4589" s="1" t="s">
        <v>291</v>
      </c>
    </row>
    <row r="4590" spans="1:6" ht="30" customHeight="1" x14ac:dyDescent="0.25">
      <c r="A4590" s="1" t="s">
        <v>9216</v>
      </c>
      <c r="B4590" s="1" t="str">
        <f>"9781849401371"</f>
        <v>9781849401371</v>
      </c>
      <c r="C4590" s="1" t="s">
        <v>8994</v>
      </c>
      <c r="D4590" s="2">
        <v>33969</v>
      </c>
      <c r="E4590" s="1" t="s">
        <v>9232</v>
      </c>
      <c r="F4590" s="1" t="s">
        <v>291</v>
      </c>
    </row>
    <row r="4591" spans="1:6" ht="30" customHeight="1" x14ac:dyDescent="0.25">
      <c r="A4591" s="1" t="s">
        <v>9233</v>
      </c>
      <c r="B4591" s="1" t="str">
        <f>"9781849401548"</f>
        <v>9781849401548</v>
      </c>
      <c r="C4591" s="1" t="s">
        <v>8994</v>
      </c>
      <c r="D4591" s="2">
        <v>34334</v>
      </c>
      <c r="E4591" s="1" t="s">
        <v>9217</v>
      </c>
      <c r="F4591" s="1" t="s">
        <v>291</v>
      </c>
    </row>
    <row r="4592" spans="1:6" ht="30" customHeight="1" x14ac:dyDescent="0.25">
      <c r="A4592" s="1" t="s">
        <v>9234</v>
      </c>
      <c r="B4592" s="1" t="str">
        <f>"9781849401555"</f>
        <v>9781849401555</v>
      </c>
      <c r="C4592" s="1" t="s">
        <v>68</v>
      </c>
      <c r="D4592" s="2">
        <v>34334</v>
      </c>
      <c r="E4592" s="1" t="s">
        <v>9235</v>
      </c>
      <c r="F4592" s="1" t="s">
        <v>13</v>
      </c>
    </row>
    <row r="4593" spans="1:6" ht="30" customHeight="1" x14ac:dyDescent="0.25">
      <c r="A4593" s="1" t="s">
        <v>9236</v>
      </c>
      <c r="B4593" s="1" t="str">
        <f>"9781849400800"</f>
        <v>9781849400800</v>
      </c>
      <c r="C4593" s="1" t="s">
        <v>8994</v>
      </c>
      <c r="D4593" s="2">
        <v>32873</v>
      </c>
      <c r="E4593" s="1" t="s">
        <v>9237</v>
      </c>
      <c r="F4593" s="1" t="s">
        <v>13</v>
      </c>
    </row>
    <row r="4594" spans="1:6" ht="30" customHeight="1" x14ac:dyDescent="0.25">
      <c r="A4594" s="1" t="s">
        <v>9238</v>
      </c>
      <c r="B4594" s="1" t="str">
        <f>"9781849401005"</f>
        <v>9781849401005</v>
      </c>
      <c r="C4594" s="1" t="s">
        <v>68</v>
      </c>
      <c r="D4594" s="2">
        <v>33238</v>
      </c>
      <c r="E4594" s="1" t="s">
        <v>9211</v>
      </c>
      <c r="F4594" s="1" t="s">
        <v>13</v>
      </c>
    </row>
    <row r="4595" spans="1:6" ht="30" customHeight="1" x14ac:dyDescent="0.25">
      <c r="A4595" s="1" t="s">
        <v>9239</v>
      </c>
      <c r="B4595" s="1" t="str">
        <f>"9781849406277"</f>
        <v>9781849406277</v>
      </c>
      <c r="C4595" s="1" t="s">
        <v>68</v>
      </c>
      <c r="D4595" s="2">
        <v>39687</v>
      </c>
      <c r="E4595" s="1" t="s">
        <v>9240</v>
      </c>
      <c r="F4595" s="1" t="s">
        <v>13</v>
      </c>
    </row>
    <row r="4596" spans="1:6" ht="30" customHeight="1" x14ac:dyDescent="0.25">
      <c r="A4596" s="1" t="s">
        <v>9241</v>
      </c>
      <c r="B4596" s="1" t="str">
        <f>"9781849406451"</f>
        <v>9781849406451</v>
      </c>
      <c r="C4596" s="1" t="s">
        <v>8994</v>
      </c>
      <c r="D4596" s="2">
        <v>39715</v>
      </c>
      <c r="E4596" s="1" t="s">
        <v>9242</v>
      </c>
      <c r="F4596" s="1" t="s">
        <v>13</v>
      </c>
    </row>
    <row r="4597" spans="1:6" ht="30" customHeight="1" x14ac:dyDescent="0.25">
      <c r="A4597" s="1" t="s">
        <v>9243</v>
      </c>
      <c r="B4597" s="1" t="str">
        <f>"9781849405478"</f>
        <v>9781849405478</v>
      </c>
      <c r="C4597" s="1" t="s">
        <v>68</v>
      </c>
      <c r="D4597" s="2">
        <v>39447</v>
      </c>
      <c r="E4597" s="1" t="s">
        <v>9244</v>
      </c>
      <c r="F4597" s="1" t="s">
        <v>104</v>
      </c>
    </row>
    <row r="4598" spans="1:6" ht="30" customHeight="1" x14ac:dyDescent="0.25">
      <c r="A4598" s="1" t="s">
        <v>9245</v>
      </c>
      <c r="B4598" s="1" t="str">
        <f>"9781849405485"</f>
        <v>9781849405485</v>
      </c>
      <c r="C4598" s="1" t="s">
        <v>68</v>
      </c>
      <c r="D4598" s="2">
        <v>39447</v>
      </c>
      <c r="E4598" s="1" t="s">
        <v>9246</v>
      </c>
      <c r="F4598" s="1" t="s">
        <v>13</v>
      </c>
    </row>
    <row r="4599" spans="1:6" ht="30" customHeight="1" x14ac:dyDescent="0.25">
      <c r="A4599" s="1" t="s">
        <v>9247</v>
      </c>
      <c r="B4599" s="1" t="str">
        <f>"9781849405508"</f>
        <v>9781849405508</v>
      </c>
      <c r="C4599" s="1" t="s">
        <v>68</v>
      </c>
      <c r="D4599" s="2">
        <v>39111</v>
      </c>
      <c r="E4599" s="1" t="s">
        <v>9248</v>
      </c>
      <c r="F4599" s="1" t="s">
        <v>599</v>
      </c>
    </row>
    <row r="4600" spans="1:6" ht="30" customHeight="1" x14ac:dyDescent="0.25">
      <c r="A4600" s="1" t="s">
        <v>9249</v>
      </c>
      <c r="B4600" s="1" t="str">
        <f>"9781849405539"</f>
        <v>9781849405539</v>
      </c>
      <c r="C4600" s="1" t="s">
        <v>8994</v>
      </c>
      <c r="D4600" s="2">
        <v>39447</v>
      </c>
      <c r="E4600" s="1" t="s">
        <v>9250</v>
      </c>
      <c r="F4600" s="1" t="s">
        <v>13</v>
      </c>
    </row>
    <row r="4601" spans="1:6" ht="30" customHeight="1" x14ac:dyDescent="0.25">
      <c r="A4601" s="1" t="s">
        <v>9251</v>
      </c>
      <c r="B4601" s="1" t="str">
        <f>"9781849405577"</f>
        <v>9781849405577</v>
      </c>
      <c r="C4601" s="1" t="s">
        <v>68</v>
      </c>
      <c r="D4601" s="2">
        <v>39447</v>
      </c>
      <c r="E4601" s="1" t="s">
        <v>9252</v>
      </c>
      <c r="F4601" s="1" t="s">
        <v>304</v>
      </c>
    </row>
    <row r="4602" spans="1:6" ht="30" customHeight="1" x14ac:dyDescent="0.25">
      <c r="A4602" s="1" t="s">
        <v>9253</v>
      </c>
      <c r="B4602" s="1" t="str">
        <f>"9781849405614"</f>
        <v>9781849405614</v>
      </c>
      <c r="C4602" s="1" t="s">
        <v>68</v>
      </c>
      <c r="D4602" s="2">
        <v>39402</v>
      </c>
      <c r="E4602" s="1" t="s">
        <v>9254</v>
      </c>
      <c r="F4602" s="1" t="s">
        <v>13</v>
      </c>
    </row>
    <row r="4603" spans="1:6" ht="30" customHeight="1" x14ac:dyDescent="0.25">
      <c r="A4603" s="1" t="s">
        <v>9255</v>
      </c>
      <c r="B4603" s="1" t="str">
        <f>"9781849405621"</f>
        <v>9781849405621</v>
      </c>
      <c r="C4603" s="1" t="s">
        <v>8994</v>
      </c>
      <c r="D4603" s="2">
        <v>39398</v>
      </c>
      <c r="E4603" s="1" t="s">
        <v>9256</v>
      </c>
      <c r="F4603" s="1" t="s">
        <v>13</v>
      </c>
    </row>
    <row r="4604" spans="1:6" ht="30" customHeight="1" x14ac:dyDescent="0.25">
      <c r="A4604" s="1" t="s">
        <v>9257</v>
      </c>
      <c r="B4604" s="1" t="str">
        <f>"9781849405669"</f>
        <v>9781849405669</v>
      </c>
      <c r="C4604" s="1" t="s">
        <v>8994</v>
      </c>
      <c r="D4604" s="2">
        <v>39268</v>
      </c>
      <c r="E4604" s="1" t="s">
        <v>9258</v>
      </c>
      <c r="F4604" s="1" t="s">
        <v>13</v>
      </c>
    </row>
    <row r="4605" spans="1:6" ht="30" customHeight="1" x14ac:dyDescent="0.25">
      <c r="A4605" s="1" t="s">
        <v>9259</v>
      </c>
      <c r="B4605" s="1" t="str">
        <f>"9781849405713"</f>
        <v>9781849405713</v>
      </c>
      <c r="C4605" s="1" t="s">
        <v>68</v>
      </c>
      <c r="D4605" s="2">
        <v>39304</v>
      </c>
      <c r="E4605" s="1" t="s">
        <v>9260</v>
      </c>
      <c r="F4605" s="1" t="s">
        <v>104</v>
      </c>
    </row>
    <row r="4606" spans="1:6" ht="30" customHeight="1" x14ac:dyDescent="0.25">
      <c r="A4606" s="1" t="s">
        <v>9261</v>
      </c>
      <c r="B4606" s="1" t="str">
        <f>"9781849405744"</f>
        <v>9781849405744</v>
      </c>
      <c r="C4606" s="1" t="s">
        <v>68</v>
      </c>
      <c r="D4606" s="2">
        <v>39276</v>
      </c>
      <c r="E4606" s="1" t="s">
        <v>9262</v>
      </c>
      <c r="F4606" s="1" t="s">
        <v>13</v>
      </c>
    </row>
    <row r="4607" spans="1:6" ht="30" customHeight="1" x14ac:dyDescent="0.25">
      <c r="A4607" s="1" t="s">
        <v>9263</v>
      </c>
      <c r="B4607" s="1" t="str">
        <f>"9781849405768"</f>
        <v>9781849405768</v>
      </c>
      <c r="C4607" s="1" t="s">
        <v>8994</v>
      </c>
      <c r="D4607" s="2">
        <v>39276</v>
      </c>
      <c r="E4607" s="1" t="s">
        <v>9264</v>
      </c>
      <c r="F4607" s="1" t="s">
        <v>13</v>
      </c>
    </row>
    <row r="4608" spans="1:6" ht="30" customHeight="1" x14ac:dyDescent="0.25">
      <c r="A4608" s="1" t="s">
        <v>9265</v>
      </c>
      <c r="B4608" s="1" t="str">
        <f>"9781849405805"</f>
        <v>9781849405805</v>
      </c>
      <c r="C4608" s="1" t="s">
        <v>68</v>
      </c>
      <c r="D4608" s="2">
        <v>39393</v>
      </c>
      <c r="E4608" s="1" t="s">
        <v>9266</v>
      </c>
      <c r="F4608" s="1" t="s">
        <v>13</v>
      </c>
    </row>
    <row r="4609" spans="1:6" ht="30" customHeight="1" x14ac:dyDescent="0.25">
      <c r="A4609" s="1" t="s">
        <v>9267</v>
      </c>
      <c r="B4609" s="1" t="str">
        <f>"9781849405829"</f>
        <v>9781849405829</v>
      </c>
      <c r="C4609" s="1" t="s">
        <v>68</v>
      </c>
      <c r="D4609" s="2">
        <v>39265</v>
      </c>
      <c r="E4609" s="1" t="s">
        <v>5496</v>
      </c>
      <c r="F4609" s="1" t="s">
        <v>13</v>
      </c>
    </row>
    <row r="4610" spans="1:6" ht="30" customHeight="1" x14ac:dyDescent="0.25">
      <c r="A4610" s="1" t="s">
        <v>9268</v>
      </c>
      <c r="B4610" s="1" t="str">
        <f>"9781849405836"</f>
        <v>9781849405836</v>
      </c>
      <c r="C4610" s="1" t="s">
        <v>8994</v>
      </c>
      <c r="D4610" s="2">
        <v>39447</v>
      </c>
      <c r="E4610" s="1" t="s">
        <v>9269</v>
      </c>
      <c r="F4610" s="1" t="s">
        <v>13</v>
      </c>
    </row>
    <row r="4611" spans="1:6" ht="30" customHeight="1" x14ac:dyDescent="0.25">
      <c r="A4611" s="1" t="s">
        <v>9270</v>
      </c>
      <c r="B4611" s="1" t="str">
        <f>"9781849405867"</f>
        <v>9781849405867</v>
      </c>
      <c r="C4611" s="1" t="s">
        <v>8994</v>
      </c>
      <c r="D4611" s="2">
        <v>39084</v>
      </c>
      <c r="E4611" s="1" t="s">
        <v>9271</v>
      </c>
      <c r="F4611" s="1" t="s">
        <v>13</v>
      </c>
    </row>
    <row r="4612" spans="1:6" ht="30" customHeight="1" x14ac:dyDescent="0.25">
      <c r="A4612" s="1" t="s">
        <v>9272</v>
      </c>
      <c r="B4612" s="1" t="str">
        <f>"9781849405874"</f>
        <v>9781849405874</v>
      </c>
      <c r="C4612" s="1" t="s">
        <v>68</v>
      </c>
      <c r="D4612" s="2">
        <v>39416</v>
      </c>
      <c r="E4612" s="1" t="s">
        <v>9273</v>
      </c>
      <c r="F4612" s="1" t="s">
        <v>13</v>
      </c>
    </row>
    <row r="4613" spans="1:6" ht="30" customHeight="1" x14ac:dyDescent="0.25">
      <c r="A4613" s="1" t="s">
        <v>9274</v>
      </c>
      <c r="B4613" s="1" t="str">
        <f>"9781849405881"</f>
        <v>9781849405881</v>
      </c>
      <c r="C4613" s="1" t="s">
        <v>68</v>
      </c>
      <c r="D4613" s="2">
        <v>39416</v>
      </c>
      <c r="E4613" s="1" t="s">
        <v>9275</v>
      </c>
      <c r="F4613" s="1" t="s">
        <v>13</v>
      </c>
    </row>
    <row r="4614" spans="1:6" ht="30" customHeight="1" x14ac:dyDescent="0.25">
      <c r="A4614" s="1" t="s">
        <v>9276</v>
      </c>
      <c r="B4614" s="1" t="str">
        <f>"9781849405928"</f>
        <v>9781849405928</v>
      </c>
      <c r="C4614" s="1" t="s">
        <v>68</v>
      </c>
      <c r="D4614" s="2">
        <v>39380</v>
      </c>
      <c r="E4614" s="1" t="s">
        <v>9277</v>
      </c>
      <c r="F4614" s="1" t="s">
        <v>13</v>
      </c>
    </row>
    <row r="4615" spans="1:6" ht="30" customHeight="1" x14ac:dyDescent="0.25">
      <c r="A4615" s="1" t="s">
        <v>9278</v>
      </c>
      <c r="B4615" s="1" t="str">
        <f>"9781849405966"</f>
        <v>9781849405966</v>
      </c>
      <c r="C4615" s="1" t="s">
        <v>8994</v>
      </c>
      <c r="D4615" s="2">
        <v>39447</v>
      </c>
      <c r="E4615" s="1" t="s">
        <v>9279</v>
      </c>
      <c r="F4615" s="1" t="s">
        <v>9280</v>
      </c>
    </row>
    <row r="4616" spans="1:6" ht="30" customHeight="1" x14ac:dyDescent="0.25">
      <c r="A4616" s="1" t="s">
        <v>9281</v>
      </c>
      <c r="B4616" s="1" t="str">
        <f>"9781849406000"</f>
        <v>9781849406000</v>
      </c>
      <c r="C4616" s="1" t="s">
        <v>68</v>
      </c>
      <c r="D4616" s="2">
        <v>39240</v>
      </c>
      <c r="E4616" s="1" t="s">
        <v>9282</v>
      </c>
      <c r="F4616" s="1" t="s">
        <v>13</v>
      </c>
    </row>
    <row r="4617" spans="1:6" ht="30" customHeight="1" x14ac:dyDescent="0.25">
      <c r="A4617" s="1" t="s">
        <v>9283</v>
      </c>
      <c r="B4617" s="1" t="str">
        <f>"9781849406024"</f>
        <v>9781849406024</v>
      </c>
      <c r="C4617" s="1" t="s">
        <v>8994</v>
      </c>
      <c r="D4617" s="2">
        <v>39435</v>
      </c>
      <c r="E4617" s="1" t="s">
        <v>9284</v>
      </c>
      <c r="F4617" s="1" t="s">
        <v>13</v>
      </c>
    </row>
    <row r="4618" spans="1:6" ht="30" customHeight="1" x14ac:dyDescent="0.25">
      <c r="A4618" s="1" t="s">
        <v>9285</v>
      </c>
      <c r="B4618" s="1" t="str">
        <f>"9781849406062"</f>
        <v>9781849406062</v>
      </c>
      <c r="C4618" s="1" t="s">
        <v>8994</v>
      </c>
      <c r="D4618" s="2">
        <v>39447</v>
      </c>
      <c r="E4618" s="1" t="s">
        <v>9231</v>
      </c>
      <c r="F4618" s="1" t="s">
        <v>13</v>
      </c>
    </row>
    <row r="4619" spans="1:6" ht="30" customHeight="1" x14ac:dyDescent="0.25">
      <c r="A4619" s="1" t="s">
        <v>9286</v>
      </c>
      <c r="B4619" s="1" t="str">
        <f>"9781849405003"</f>
        <v>9781849405003</v>
      </c>
      <c r="C4619" s="1" t="s">
        <v>8994</v>
      </c>
      <c r="D4619" s="2">
        <v>39082</v>
      </c>
      <c r="E4619" s="1" t="s">
        <v>9287</v>
      </c>
      <c r="F4619" s="1" t="s">
        <v>13</v>
      </c>
    </row>
    <row r="4620" spans="1:6" ht="30" customHeight="1" x14ac:dyDescent="0.25">
      <c r="A4620" s="1" t="s">
        <v>9288</v>
      </c>
      <c r="B4620" s="1" t="str">
        <f>"9781849405027"</f>
        <v>9781849405027</v>
      </c>
      <c r="C4620" s="1" t="s">
        <v>8994</v>
      </c>
      <c r="D4620" s="2">
        <v>38980</v>
      </c>
      <c r="E4620" s="1" t="s">
        <v>9289</v>
      </c>
      <c r="F4620" s="1" t="s">
        <v>13</v>
      </c>
    </row>
    <row r="4621" spans="1:6" ht="30" customHeight="1" x14ac:dyDescent="0.25">
      <c r="A4621" s="1" t="s">
        <v>9290</v>
      </c>
      <c r="B4621" s="1" t="str">
        <f>"9781849405034"</f>
        <v>9781849405034</v>
      </c>
      <c r="C4621" s="1" t="s">
        <v>8994</v>
      </c>
      <c r="D4621" s="2">
        <v>39082</v>
      </c>
      <c r="E4621" s="1" t="s">
        <v>9291</v>
      </c>
      <c r="F4621" s="1" t="s">
        <v>158</v>
      </c>
    </row>
    <row r="4622" spans="1:6" ht="30" customHeight="1" x14ac:dyDescent="0.25">
      <c r="A4622" s="1" t="s">
        <v>9292</v>
      </c>
      <c r="B4622" s="1" t="str">
        <f>"9781849405195"</f>
        <v>9781849405195</v>
      </c>
      <c r="C4622" s="1" t="s">
        <v>8994</v>
      </c>
      <c r="D4622" s="2">
        <v>39021</v>
      </c>
      <c r="E4622" s="1" t="s">
        <v>9293</v>
      </c>
      <c r="F4622" s="1" t="s">
        <v>13</v>
      </c>
    </row>
    <row r="4623" spans="1:6" ht="30" customHeight="1" x14ac:dyDescent="0.25">
      <c r="A4623" s="1" t="s">
        <v>9294</v>
      </c>
      <c r="B4623" s="1" t="str">
        <f>"9781849405447"</f>
        <v>9781849405447</v>
      </c>
      <c r="C4623" s="1" t="s">
        <v>8994</v>
      </c>
      <c r="D4623" s="2">
        <v>39082</v>
      </c>
      <c r="E4623" s="1" t="s">
        <v>9295</v>
      </c>
      <c r="F4623" s="1" t="s">
        <v>13</v>
      </c>
    </row>
    <row r="4624" spans="1:6" ht="30" customHeight="1" x14ac:dyDescent="0.25">
      <c r="A4624" s="1" t="s">
        <v>9296</v>
      </c>
      <c r="B4624" s="1" t="str">
        <f>"9781849404655"</f>
        <v>9781849404655</v>
      </c>
      <c r="C4624" s="1" t="s">
        <v>68</v>
      </c>
      <c r="D4624" s="2">
        <v>38643</v>
      </c>
      <c r="E4624" s="1" t="s">
        <v>9297</v>
      </c>
      <c r="F4624" s="1" t="s">
        <v>13</v>
      </c>
    </row>
    <row r="4625" spans="1:6" ht="30" customHeight="1" x14ac:dyDescent="0.25">
      <c r="A4625" s="1" t="s">
        <v>9298</v>
      </c>
      <c r="B4625" s="1" t="str">
        <f>"9781849404532"</f>
        <v>9781849404532</v>
      </c>
      <c r="C4625" s="1" t="s">
        <v>68</v>
      </c>
      <c r="D4625" s="2">
        <v>38352</v>
      </c>
      <c r="E4625" s="1" t="s">
        <v>9299</v>
      </c>
      <c r="F4625" s="1" t="s">
        <v>13</v>
      </c>
    </row>
    <row r="4626" spans="1:6" ht="30" customHeight="1" x14ac:dyDescent="0.25">
      <c r="A4626" s="1" t="s">
        <v>9300</v>
      </c>
      <c r="B4626" s="1" t="str">
        <f>"9781849404112"</f>
        <v>9781849404112</v>
      </c>
      <c r="C4626" s="1" t="s">
        <v>8994</v>
      </c>
      <c r="D4626" s="2">
        <v>37698</v>
      </c>
      <c r="E4626" s="1" t="s">
        <v>9301</v>
      </c>
      <c r="F4626" s="1" t="s">
        <v>13</v>
      </c>
    </row>
    <row r="4627" spans="1:6" ht="30" customHeight="1" x14ac:dyDescent="0.25">
      <c r="A4627" s="1" t="s">
        <v>9302</v>
      </c>
      <c r="B4627" s="1" t="str">
        <f>"9781849403351"</f>
        <v>9781849403351</v>
      </c>
      <c r="C4627" s="1" t="s">
        <v>8994</v>
      </c>
      <c r="D4627" s="2">
        <v>37621</v>
      </c>
      <c r="E4627" s="1" t="s">
        <v>9303</v>
      </c>
      <c r="F4627" s="1" t="s">
        <v>13</v>
      </c>
    </row>
    <row r="4628" spans="1:6" ht="30" customHeight="1" x14ac:dyDescent="0.25">
      <c r="A4628" s="1" t="s">
        <v>9304</v>
      </c>
      <c r="B4628" s="1" t="str">
        <f>"9781849403344"</f>
        <v>9781849403344</v>
      </c>
      <c r="C4628" s="1" t="s">
        <v>8994</v>
      </c>
      <c r="D4628" s="2">
        <v>37621</v>
      </c>
      <c r="E4628" s="1" t="s">
        <v>9303</v>
      </c>
      <c r="F4628" s="1" t="s">
        <v>13</v>
      </c>
    </row>
    <row r="4629" spans="1:6" ht="30" customHeight="1" x14ac:dyDescent="0.25">
      <c r="A4629" s="1" t="s">
        <v>9305</v>
      </c>
      <c r="B4629" s="1" t="str">
        <f>"9781849403368"</f>
        <v>9781849403368</v>
      </c>
      <c r="C4629" s="1" t="s">
        <v>8994</v>
      </c>
      <c r="D4629" s="2">
        <v>37621</v>
      </c>
      <c r="E4629" s="1" t="s">
        <v>9306</v>
      </c>
      <c r="F4629" s="1" t="s">
        <v>291</v>
      </c>
    </row>
    <row r="4630" spans="1:6" ht="30" customHeight="1" x14ac:dyDescent="0.25">
      <c r="A4630" s="1" t="s">
        <v>9307</v>
      </c>
      <c r="B4630" s="1" t="str">
        <f>"9781849403382"</f>
        <v>9781849403382</v>
      </c>
      <c r="C4630" s="1" t="s">
        <v>8994</v>
      </c>
      <c r="D4630" s="2">
        <v>37621</v>
      </c>
      <c r="E4630" s="1" t="s">
        <v>9308</v>
      </c>
      <c r="F4630" s="1" t="s">
        <v>13</v>
      </c>
    </row>
    <row r="4631" spans="1:6" ht="30" customHeight="1" x14ac:dyDescent="0.25">
      <c r="A4631" s="1" t="s">
        <v>9309</v>
      </c>
      <c r="B4631" s="1" t="str">
        <f>"9781849403641"</f>
        <v>9781849403641</v>
      </c>
      <c r="C4631" s="1" t="s">
        <v>68</v>
      </c>
      <c r="D4631" s="2">
        <v>37403</v>
      </c>
      <c r="E4631" s="1" t="s">
        <v>9235</v>
      </c>
      <c r="F4631" s="1" t="s">
        <v>158</v>
      </c>
    </row>
    <row r="4632" spans="1:6" ht="30" customHeight="1" x14ac:dyDescent="0.25">
      <c r="A4632" s="1" t="s">
        <v>9310</v>
      </c>
      <c r="B4632" s="1" t="str">
        <f>"9781849403696"</f>
        <v>9781849403696</v>
      </c>
      <c r="C4632" s="1" t="s">
        <v>8994</v>
      </c>
      <c r="D4632" s="2">
        <v>37621</v>
      </c>
      <c r="E4632" s="1" t="s">
        <v>9087</v>
      </c>
      <c r="F4632" s="1" t="s">
        <v>13</v>
      </c>
    </row>
    <row r="4633" spans="1:6" ht="30" customHeight="1" x14ac:dyDescent="0.25">
      <c r="A4633" s="1" t="s">
        <v>9311</v>
      </c>
      <c r="B4633" s="1" t="str">
        <f>"9781849403108"</f>
        <v>9781849403108</v>
      </c>
      <c r="C4633" s="1" t="s">
        <v>8994</v>
      </c>
      <c r="D4633" s="2">
        <v>37256</v>
      </c>
      <c r="E4633" s="1" t="s">
        <v>9312</v>
      </c>
      <c r="F4633" s="1" t="s">
        <v>13</v>
      </c>
    </row>
    <row r="4634" spans="1:6" ht="30" customHeight="1" x14ac:dyDescent="0.25">
      <c r="A4634" s="1" t="s">
        <v>9313</v>
      </c>
      <c r="B4634" s="1" t="str">
        <f>"9781849403115"</f>
        <v>9781849403115</v>
      </c>
      <c r="C4634" s="1" t="s">
        <v>68</v>
      </c>
      <c r="D4634" s="2">
        <v>37256</v>
      </c>
      <c r="E4634" s="1" t="s">
        <v>9314</v>
      </c>
      <c r="F4634" s="1" t="s">
        <v>13</v>
      </c>
    </row>
    <row r="4635" spans="1:6" ht="30" customHeight="1" x14ac:dyDescent="0.25">
      <c r="A4635" s="1" t="s">
        <v>9315</v>
      </c>
      <c r="B4635" s="1" t="str">
        <f>"9781849403221"</f>
        <v>9781849403221</v>
      </c>
      <c r="C4635" s="1" t="s">
        <v>8994</v>
      </c>
      <c r="D4635" s="2">
        <v>37256</v>
      </c>
      <c r="E4635" s="1" t="s">
        <v>9165</v>
      </c>
      <c r="F4635" s="1" t="s">
        <v>291</v>
      </c>
    </row>
    <row r="4636" spans="1:6" ht="30" customHeight="1" x14ac:dyDescent="0.25">
      <c r="A4636" s="1" t="s">
        <v>9316</v>
      </c>
      <c r="B4636" s="1" t="str">
        <f>"9781849403276"</f>
        <v>9781849403276</v>
      </c>
      <c r="C4636" s="1" t="s">
        <v>68</v>
      </c>
      <c r="D4636" s="2">
        <v>37256</v>
      </c>
      <c r="E4636" s="1" t="s">
        <v>9317</v>
      </c>
      <c r="F4636" s="1" t="s">
        <v>13</v>
      </c>
    </row>
    <row r="4637" spans="1:6" ht="30" customHeight="1" x14ac:dyDescent="0.25">
      <c r="A4637" s="1" t="s">
        <v>9318</v>
      </c>
      <c r="B4637" s="1" t="str">
        <f>"9781849403306"</f>
        <v>9781849403306</v>
      </c>
      <c r="C4637" s="1" t="s">
        <v>8994</v>
      </c>
      <c r="D4637" s="2">
        <v>37256</v>
      </c>
      <c r="E4637" s="1" t="s">
        <v>9319</v>
      </c>
      <c r="F4637" s="1" t="s">
        <v>13</v>
      </c>
    </row>
    <row r="4638" spans="1:6" ht="30" customHeight="1" x14ac:dyDescent="0.25">
      <c r="A4638" s="1" t="s">
        <v>9320</v>
      </c>
      <c r="B4638" s="1" t="str">
        <f>"9781849402873"</f>
        <v>9781849402873</v>
      </c>
      <c r="C4638" s="1" t="s">
        <v>8994</v>
      </c>
      <c r="D4638" s="2">
        <v>36891</v>
      </c>
      <c r="E4638" s="1" t="s">
        <v>9321</v>
      </c>
      <c r="F4638" s="1" t="s">
        <v>13</v>
      </c>
    </row>
    <row r="4639" spans="1:6" ht="30" customHeight="1" x14ac:dyDescent="0.25">
      <c r="A4639" s="1" t="s">
        <v>9322</v>
      </c>
      <c r="B4639" s="1" t="str">
        <f>"9781849402910"</f>
        <v>9781849402910</v>
      </c>
      <c r="C4639" s="1" t="s">
        <v>8994</v>
      </c>
      <c r="D4639" s="2">
        <v>36891</v>
      </c>
      <c r="E4639" s="1" t="s">
        <v>9323</v>
      </c>
      <c r="F4639" s="1" t="s">
        <v>13</v>
      </c>
    </row>
    <row r="4640" spans="1:6" ht="30" customHeight="1" x14ac:dyDescent="0.25">
      <c r="A4640" s="1" t="s">
        <v>9324</v>
      </c>
      <c r="B4640" s="1" t="str">
        <f>"9781849402972"</f>
        <v>9781849402972</v>
      </c>
      <c r="C4640" s="1" t="s">
        <v>68</v>
      </c>
      <c r="D4640" s="2">
        <v>36891</v>
      </c>
      <c r="E4640" s="1" t="s">
        <v>9325</v>
      </c>
      <c r="F4640" s="1" t="s">
        <v>13</v>
      </c>
    </row>
    <row r="4641" spans="1:6" ht="30" customHeight="1" x14ac:dyDescent="0.25">
      <c r="A4641" s="1" t="s">
        <v>9326</v>
      </c>
      <c r="B4641" s="1" t="str">
        <f>"9781849403030"</f>
        <v>9781849403030</v>
      </c>
      <c r="C4641" s="1" t="s">
        <v>68</v>
      </c>
      <c r="D4641" s="2">
        <v>36608</v>
      </c>
      <c r="E4641" s="1" t="s">
        <v>9327</v>
      </c>
      <c r="F4641" s="1" t="s">
        <v>291</v>
      </c>
    </row>
    <row r="4642" spans="1:6" ht="30" customHeight="1" x14ac:dyDescent="0.25">
      <c r="A4642" s="1" t="s">
        <v>9328</v>
      </c>
      <c r="B4642" s="1" t="str">
        <f>"9781849403047"</f>
        <v>9781849403047</v>
      </c>
      <c r="C4642" s="1" t="s">
        <v>8994</v>
      </c>
      <c r="D4642" s="2">
        <v>36891</v>
      </c>
      <c r="E4642" s="1" t="s">
        <v>9329</v>
      </c>
      <c r="F4642" s="1" t="s">
        <v>13</v>
      </c>
    </row>
    <row r="4643" spans="1:6" ht="30" customHeight="1" x14ac:dyDescent="0.25">
      <c r="A4643" s="1" t="s">
        <v>9330</v>
      </c>
      <c r="B4643" s="1" t="str">
        <f>"9781849402729"</f>
        <v>9781849402729</v>
      </c>
      <c r="C4643" s="1" t="s">
        <v>68</v>
      </c>
      <c r="D4643" s="2">
        <v>36525</v>
      </c>
      <c r="E4643" s="1" t="s">
        <v>9331</v>
      </c>
      <c r="F4643" s="1" t="s">
        <v>104</v>
      </c>
    </row>
    <row r="4644" spans="1:6" ht="30" customHeight="1" x14ac:dyDescent="0.25">
      <c r="A4644" s="1" t="s">
        <v>9332</v>
      </c>
      <c r="B4644" s="1" t="str">
        <f>"9781849402774"</f>
        <v>9781849402774</v>
      </c>
      <c r="C4644" s="1" t="s">
        <v>68</v>
      </c>
      <c r="D4644" s="2">
        <v>36279</v>
      </c>
      <c r="E4644" s="1" t="s">
        <v>9333</v>
      </c>
      <c r="F4644" s="1" t="s">
        <v>104</v>
      </c>
    </row>
    <row r="4645" spans="1:6" ht="30" customHeight="1" x14ac:dyDescent="0.25">
      <c r="A4645" s="1" t="s">
        <v>9334</v>
      </c>
      <c r="B4645" s="1" t="str">
        <f>"9781849402781"</f>
        <v>9781849402781</v>
      </c>
      <c r="C4645" s="1" t="s">
        <v>68</v>
      </c>
      <c r="D4645" s="2">
        <v>36525</v>
      </c>
      <c r="E4645" s="1" t="s">
        <v>9335</v>
      </c>
      <c r="F4645" s="1" t="s">
        <v>13</v>
      </c>
    </row>
    <row r="4646" spans="1:6" ht="30" customHeight="1" x14ac:dyDescent="0.25">
      <c r="A4646" s="1" t="s">
        <v>9336</v>
      </c>
      <c r="B4646" s="1" t="str">
        <f>"9781849402798"</f>
        <v>9781849402798</v>
      </c>
      <c r="C4646" s="1" t="s">
        <v>68</v>
      </c>
      <c r="D4646" s="2">
        <v>36438</v>
      </c>
      <c r="E4646" s="1" t="s">
        <v>9337</v>
      </c>
      <c r="F4646" s="1" t="s">
        <v>742</v>
      </c>
    </row>
    <row r="4647" spans="1:6" ht="30" customHeight="1" x14ac:dyDescent="0.25">
      <c r="A4647" s="1" t="s">
        <v>9338</v>
      </c>
      <c r="B4647" s="1" t="str">
        <f>"9781849402804"</f>
        <v>9781849402804</v>
      </c>
      <c r="C4647" s="1" t="s">
        <v>68</v>
      </c>
      <c r="D4647" s="2">
        <v>36525</v>
      </c>
      <c r="E4647" s="1" t="s">
        <v>9087</v>
      </c>
      <c r="F4647" s="1" t="s">
        <v>13</v>
      </c>
    </row>
    <row r="4648" spans="1:6" ht="30" customHeight="1" x14ac:dyDescent="0.25">
      <c r="A4648" s="1" t="s">
        <v>9339</v>
      </c>
      <c r="B4648" s="1" t="str">
        <f>"9781849402446"</f>
        <v>9781849402446</v>
      </c>
      <c r="C4648" s="1" t="s">
        <v>8994</v>
      </c>
      <c r="D4648" s="2">
        <v>36160</v>
      </c>
      <c r="E4648" s="1" t="s">
        <v>9340</v>
      </c>
      <c r="F4648" s="1" t="s">
        <v>13</v>
      </c>
    </row>
    <row r="4649" spans="1:6" ht="30" customHeight="1" x14ac:dyDescent="0.25">
      <c r="A4649" s="1" t="s">
        <v>9341</v>
      </c>
      <c r="B4649" s="1" t="str">
        <f>"9781849402491"</f>
        <v>9781849402491</v>
      </c>
      <c r="C4649" s="1" t="s">
        <v>68</v>
      </c>
      <c r="D4649" s="2">
        <v>36160</v>
      </c>
      <c r="E4649" s="1" t="s">
        <v>9342</v>
      </c>
      <c r="F4649" s="1" t="s">
        <v>13</v>
      </c>
    </row>
    <row r="4650" spans="1:6" ht="30" customHeight="1" x14ac:dyDescent="0.25">
      <c r="A4650" s="1" t="s">
        <v>9343</v>
      </c>
      <c r="B4650" s="1" t="str">
        <f>"9781849400046"</f>
        <v>9781849400046</v>
      </c>
      <c r="C4650" s="1" t="s">
        <v>8994</v>
      </c>
      <c r="D4650" s="2">
        <v>27759</v>
      </c>
      <c r="E4650" s="1" t="s">
        <v>9344</v>
      </c>
      <c r="F4650" s="1" t="s">
        <v>13</v>
      </c>
    </row>
    <row r="4651" spans="1:6" ht="30" customHeight="1" x14ac:dyDescent="0.25">
      <c r="A4651" s="1" t="s">
        <v>9345</v>
      </c>
      <c r="B4651" s="1" t="str">
        <f>"9781849400275"</f>
        <v>9781849400275</v>
      </c>
      <c r="C4651" s="1" t="s">
        <v>8994</v>
      </c>
      <c r="D4651" s="2">
        <v>31047</v>
      </c>
      <c r="E4651" s="1" t="s">
        <v>9205</v>
      </c>
      <c r="F4651" s="1" t="s">
        <v>13</v>
      </c>
    </row>
    <row r="4652" spans="1:6" ht="30" customHeight="1" x14ac:dyDescent="0.25">
      <c r="A4652" s="1" t="s">
        <v>9346</v>
      </c>
      <c r="B4652" s="1" t="str">
        <f>"9780821387474"</f>
        <v>9780821387474</v>
      </c>
      <c r="C4652" s="1" t="s">
        <v>6702</v>
      </c>
      <c r="D4652" s="2">
        <v>40641</v>
      </c>
      <c r="E4652" s="1" t="s">
        <v>9347</v>
      </c>
      <c r="F4652" s="1" t="s">
        <v>95</v>
      </c>
    </row>
    <row r="4653" spans="1:6" ht="30" customHeight="1" x14ac:dyDescent="0.25">
      <c r="A4653" s="1" t="s">
        <v>9348</v>
      </c>
      <c r="B4653" s="1" t="str">
        <f>"9780313383014"</f>
        <v>9780313383014</v>
      </c>
      <c r="C4653" s="1" t="s">
        <v>7550</v>
      </c>
      <c r="D4653" s="2">
        <v>40689</v>
      </c>
      <c r="E4653" s="1" t="s">
        <v>9349</v>
      </c>
      <c r="F4653" s="1" t="s">
        <v>70</v>
      </c>
    </row>
    <row r="4654" spans="1:6" ht="30" customHeight="1" x14ac:dyDescent="0.25">
      <c r="A4654" s="1" t="s">
        <v>9350</v>
      </c>
      <c r="B4654" s="1" t="str">
        <f>"9783110214499"</f>
        <v>9783110214499</v>
      </c>
      <c r="C4654" s="1" t="s">
        <v>1848</v>
      </c>
      <c r="D4654" s="2">
        <v>40602</v>
      </c>
      <c r="E4654" s="1" t="s">
        <v>9351</v>
      </c>
      <c r="F4654" s="1" t="s">
        <v>1152</v>
      </c>
    </row>
    <row r="4655" spans="1:6" ht="30" customHeight="1" x14ac:dyDescent="0.25">
      <c r="A4655" s="1" t="s">
        <v>9352</v>
      </c>
      <c r="B4655" s="1" t="str">
        <f>"9781139080255"</f>
        <v>9781139080255</v>
      </c>
      <c r="C4655" s="1" t="s">
        <v>25</v>
      </c>
      <c r="D4655" s="2">
        <v>40330</v>
      </c>
      <c r="E4655" s="1" t="s">
        <v>9353</v>
      </c>
      <c r="F4655" s="1" t="s">
        <v>95</v>
      </c>
    </row>
    <row r="4656" spans="1:6" ht="30" customHeight="1" x14ac:dyDescent="0.25">
      <c r="A4656" s="1" t="s">
        <v>9354</v>
      </c>
      <c r="B4656" s="1" t="str">
        <f>"9781861898821"</f>
        <v>9781861898821</v>
      </c>
      <c r="C4656" s="1" t="s">
        <v>8471</v>
      </c>
      <c r="D4656" s="2">
        <v>40940</v>
      </c>
      <c r="E4656" s="1" t="s">
        <v>9355</v>
      </c>
      <c r="F4656" s="1" t="s">
        <v>9356</v>
      </c>
    </row>
    <row r="4657" spans="1:6" ht="30" customHeight="1" x14ac:dyDescent="0.25">
      <c r="A4657" s="1" t="s">
        <v>9357</v>
      </c>
      <c r="B4657" s="1" t="str">
        <f>"9781442210912"</f>
        <v>9781442210912</v>
      </c>
      <c r="C4657" s="1" t="s">
        <v>8723</v>
      </c>
      <c r="D4657" s="2">
        <v>40832</v>
      </c>
      <c r="E4657" s="1" t="s">
        <v>9358</v>
      </c>
      <c r="F4657" s="1" t="s">
        <v>13</v>
      </c>
    </row>
    <row r="4658" spans="1:6" ht="30" customHeight="1" x14ac:dyDescent="0.25">
      <c r="A4658" s="1" t="s">
        <v>9359</v>
      </c>
      <c r="B4658" s="1" t="str">
        <f>"9781849405812"</f>
        <v>9781849405812</v>
      </c>
      <c r="C4658" s="1" t="s">
        <v>68</v>
      </c>
      <c r="D4658" s="2">
        <v>38744</v>
      </c>
      <c r="E4658" s="1" t="s">
        <v>9360</v>
      </c>
      <c r="F4658" s="1" t="s">
        <v>13</v>
      </c>
    </row>
    <row r="4659" spans="1:6" ht="30" customHeight="1" x14ac:dyDescent="0.25">
      <c r="A4659" s="1" t="s">
        <v>9361</v>
      </c>
      <c r="B4659" s="1" t="str">
        <f>"9781118116531"</f>
        <v>9781118116531</v>
      </c>
      <c r="C4659" s="1" t="s">
        <v>65</v>
      </c>
      <c r="D4659" s="2">
        <v>40812</v>
      </c>
      <c r="E4659" s="1" t="s">
        <v>9362</v>
      </c>
      <c r="F4659" s="1" t="s">
        <v>268</v>
      </c>
    </row>
    <row r="4660" spans="1:6" ht="30" customHeight="1" x14ac:dyDescent="0.25">
      <c r="A4660" s="1" t="s">
        <v>9363</v>
      </c>
      <c r="B4660" s="1" t="str">
        <f>"9781118067529"</f>
        <v>9781118067529</v>
      </c>
      <c r="C4660" s="1" t="s">
        <v>11</v>
      </c>
      <c r="D4660" s="2">
        <v>40736</v>
      </c>
      <c r="E4660" s="1" t="s">
        <v>9364</v>
      </c>
      <c r="F4660" s="1" t="s">
        <v>268</v>
      </c>
    </row>
    <row r="4661" spans="1:6" ht="30" customHeight="1" x14ac:dyDescent="0.25">
      <c r="A4661" s="1" t="s">
        <v>9365</v>
      </c>
      <c r="B4661" s="1" t="str">
        <f>"9780470921364"</f>
        <v>9780470921364</v>
      </c>
      <c r="C4661" s="1" t="s">
        <v>11</v>
      </c>
      <c r="D4661" s="2">
        <v>40759</v>
      </c>
      <c r="E4661" s="1" t="s">
        <v>9366</v>
      </c>
      <c r="F4661" s="1" t="s">
        <v>268</v>
      </c>
    </row>
    <row r="4662" spans="1:6" ht="30" customHeight="1" x14ac:dyDescent="0.25">
      <c r="A4662" s="1" t="s">
        <v>9367</v>
      </c>
      <c r="B4662" s="1" t="str">
        <f>"9781118023136"</f>
        <v>9781118023136</v>
      </c>
      <c r="C4662" s="1" t="s">
        <v>11</v>
      </c>
      <c r="D4662" s="2">
        <v>40759</v>
      </c>
      <c r="E4662" s="1" t="s">
        <v>9368</v>
      </c>
      <c r="F4662" s="1" t="s">
        <v>137</v>
      </c>
    </row>
    <row r="4663" spans="1:6" ht="30" customHeight="1" x14ac:dyDescent="0.25">
      <c r="A4663" s="1" t="s">
        <v>9369</v>
      </c>
      <c r="B4663" s="1" t="str">
        <f>"9781118001035"</f>
        <v>9781118001035</v>
      </c>
      <c r="C4663" s="1" t="s">
        <v>11</v>
      </c>
      <c r="D4663" s="2">
        <v>40759</v>
      </c>
      <c r="E4663" s="1" t="s">
        <v>9370</v>
      </c>
      <c r="F4663" s="1" t="s">
        <v>70</v>
      </c>
    </row>
    <row r="4664" spans="1:6" ht="30" customHeight="1" x14ac:dyDescent="0.25">
      <c r="A4664" s="1" t="s">
        <v>9371</v>
      </c>
      <c r="B4664" s="1" t="str">
        <f>"9781118140475"</f>
        <v>9781118140475</v>
      </c>
      <c r="C4664" s="1" t="s">
        <v>11</v>
      </c>
      <c r="D4664" s="2">
        <v>40892</v>
      </c>
      <c r="E4664" s="1" t="s">
        <v>9372</v>
      </c>
      <c r="F4664" s="1" t="s">
        <v>268</v>
      </c>
    </row>
    <row r="4665" spans="1:6" ht="30" customHeight="1" x14ac:dyDescent="0.25">
      <c r="A4665" s="1" t="s">
        <v>9373</v>
      </c>
      <c r="B4665" s="1" t="str">
        <f>"9781118075623"</f>
        <v>9781118075623</v>
      </c>
      <c r="C4665" s="1" t="s">
        <v>11</v>
      </c>
      <c r="D4665" s="2">
        <v>40752</v>
      </c>
      <c r="E4665" s="1" t="s">
        <v>9374</v>
      </c>
      <c r="F4665" s="1" t="s">
        <v>268</v>
      </c>
    </row>
    <row r="4666" spans="1:6" ht="30" customHeight="1" x14ac:dyDescent="0.25">
      <c r="A4666" s="1" t="s">
        <v>9375</v>
      </c>
      <c r="B4666" s="1" t="str">
        <f>"9781118019566"</f>
        <v>9781118019566</v>
      </c>
      <c r="C4666" s="1" t="s">
        <v>11</v>
      </c>
      <c r="D4666" s="2">
        <v>40742</v>
      </c>
      <c r="E4666" s="1" t="s">
        <v>9376</v>
      </c>
      <c r="F4666" s="1" t="s">
        <v>13</v>
      </c>
    </row>
    <row r="4667" spans="1:6" ht="30" customHeight="1" x14ac:dyDescent="0.25">
      <c r="A4667" s="1" t="s">
        <v>9377</v>
      </c>
      <c r="B4667" s="1" t="str">
        <f>"9781119971535"</f>
        <v>9781119971535</v>
      </c>
      <c r="C4667" s="1" t="s">
        <v>11</v>
      </c>
      <c r="D4667" s="2">
        <v>40815</v>
      </c>
      <c r="E4667" s="1" t="s">
        <v>9378</v>
      </c>
      <c r="F4667" s="1" t="s">
        <v>13</v>
      </c>
    </row>
    <row r="4668" spans="1:6" ht="30" customHeight="1" x14ac:dyDescent="0.25">
      <c r="A4668" s="1" t="s">
        <v>9379</v>
      </c>
      <c r="B4668" s="1" t="str">
        <f>"9781119971573"</f>
        <v>9781119971573</v>
      </c>
      <c r="C4668" s="1" t="s">
        <v>11</v>
      </c>
      <c r="D4668" s="2">
        <v>40660</v>
      </c>
      <c r="E4668" s="1" t="s">
        <v>9380</v>
      </c>
      <c r="F4668" s="1" t="s">
        <v>176</v>
      </c>
    </row>
    <row r="4669" spans="1:6" ht="30" customHeight="1" x14ac:dyDescent="0.25">
      <c r="A4669" s="1" t="s">
        <v>9381</v>
      </c>
      <c r="B4669" s="1" t="str">
        <f>"9781119957669"</f>
        <v>9781119957669</v>
      </c>
      <c r="C4669" s="1" t="s">
        <v>65</v>
      </c>
      <c r="D4669" s="2">
        <v>40746</v>
      </c>
      <c r="E4669" s="1" t="s">
        <v>9382</v>
      </c>
      <c r="F4669" s="1" t="s">
        <v>1152</v>
      </c>
    </row>
    <row r="4670" spans="1:6" ht="30" customHeight="1" x14ac:dyDescent="0.25">
      <c r="A4670" s="1" t="s">
        <v>9383</v>
      </c>
      <c r="B4670" s="1" t="str">
        <f>"9781118121504"</f>
        <v>9781118121504</v>
      </c>
      <c r="C4670" s="1" t="s">
        <v>65</v>
      </c>
      <c r="D4670" s="2">
        <v>40806</v>
      </c>
      <c r="E4670" s="1" t="s">
        <v>9384</v>
      </c>
      <c r="F4670" s="1" t="s">
        <v>599</v>
      </c>
    </row>
    <row r="4671" spans="1:6" ht="30" customHeight="1" x14ac:dyDescent="0.25">
      <c r="A4671" s="1" t="s">
        <v>9385</v>
      </c>
      <c r="B4671" s="1" t="str">
        <f>"9781119975755"</f>
        <v>9781119975755</v>
      </c>
      <c r="C4671" s="1" t="s">
        <v>11</v>
      </c>
      <c r="D4671" s="2">
        <v>40808</v>
      </c>
      <c r="E4671" s="1" t="s">
        <v>9386</v>
      </c>
      <c r="F4671" s="1" t="s">
        <v>13</v>
      </c>
    </row>
    <row r="4672" spans="1:6" ht="30" customHeight="1" x14ac:dyDescent="0.25">
      <c r="A4672" s="1" t="s">
        <v>9387</v>
      </c>
      <c r="B4672" s="1" t="str">
        <f>"9781118005729"</f>
        <v>9781118005729</v>
      </c>
      <c r="C4672" s="1" t="s">
        <v>11</v>
      </c>
      <c r="D4672" s="2">
        <v>40667</v>
      </c>
      <c r="E4672" s="1" t="s">
        <v>9388</v>
      </c>
      <c r="F4672" s="1" t="s">
        <v>13</v>
      </c>
    </row>
    <row r="4673" spans="1:6" ht="30" customHeight="1" x14ac:dyDescent="0.25">
      <c r="A4673" s="1" t="s">
        <v>9389</v>
      </c>
      <c r="B4673" s="1" t="str">
        <f>"9781118106075"</f>
        <v>9781118106075</v>
      </c>
      <c r="C4673" s="1" t="s">
        <v>65</v>
      </c>
      <c r="D4673" s="2">
        <v>40942</v>
      </c>
      <c r="E4673" s="1" t="s">
        <v>9390</v>
      </c>
      <c r="F4673" s="1" t="s">
        <v>214</v>
      </c>
    </row>
    <row r="4674" spans="1:6" ht="30" customHeight="1" x14ac:dyDescent="0.25">
      <c r="A4674" s="1" t="s">
        <v>9391</v>
      </c>
      <c r="B4674" s="1" t="str">
        <f>"9780470959664"</f>
        <v>9780470959664</v>
      </c>
      <c r="C4674" s="1" t="s">
        <v>11</v>
      </c>
      <c r="D4674" s="2">
        <v>40634</v>
      </c>
      <c r="E4674" s="1" t="s">
        <v>9392</v>
      </c>
      <c r="F4674" s="1" t="s">
        <v>13</v>
      </c>
    </row>
    <row r="4675" spans="1:6" ht="30" customHeight="1" x14ac:dyDescent="0.25">
      <c r="A4675" s="1" t="s">
        <v>9393</v>
      </c>
      <c r="B4675" s="1" t="str">
        <f>"9781444344332"</f>
        <v>9781444344332</v>
      </c>
      <c r="C4675" s="1" t="s">
        <v>11</v>
      </c>
      <c r="D4675" s="2">
        <v>40781</v>
      </c>
      <c r="E4675" s="1" t="s">
        <v>9394</v>
      </c>
      <c r="F4675" s="1" t="s">
        <v>158</v>
      </c>
    </row>
    <row r="4676" spans="1:6" ht="30" customHeight="1" x14ac:dyDescent="0.25">
      <c r="A4676" s="1" t="s">
        <v>9395</v>
      </c>
      <c r="B4676" s="1" t="str">
        <f>"9781444346350"</f>
        <v>9781444346350</v>
      </c>
      <c r="C4676" s="1" t="s">
        <v>65</v>
      </c>
      <c r="D4676" s="2">
        <v>41004</v>
      </c>
      <c r="E4676" s="1" t="s">
        <v>9396</v>
      </c>
      <c r="F4676" s="1" t="s">
        <v>13</v>
      </c>
    </row>
    <row r="4677" spans="1:6" ht="30" customHeight="1" x14ac:dyDescent="0.25">
      <c r="A4677" s="1" t="s">
        <v>9397</v>
      </c>
      <c r="B4677" s="1" t="str">
        <f>"9781444345070"</f>
        <v>9781444345070</v>
      </c>
      <c r="C4677" s="1" t="s">
        <v>11</v>
      </c>
      <c r="D4677" s="2">
        <v>40823</v>
      </c>
      <c r="E4677" s="1" t="s">
        <v>9398</v>
      </c>
      <c r="F4677" s="1" t="s">
        <v>13</v>
      </c>
    </row>
    <row r="4678" spans="1:6" ht="30" customHeight="1" x14ac:dyDescent="0.25">
      <c r="A4678" s="1" t="s">
        <v>9399</v>
      </c>
      <c r="B4678" s="1" t="str">
        <f>"9781444346091"</f>
        <v>9781444346091</v>
      </c>
      <c r="C4678" s="1" t="s">
        <v>11</v>
      </c>
      <c r="D4678" s="2">
        <v>40779</v>
      </c>
      <c r="E4678" s="1" t="s">
        <v>9400</v>
      </c>
      <c r="F4678" s="1" t="s">
        <v>13</v>
      </c>
    </row>
    <row r="4679" spans="1:6" ht="30" customHeight="1" x14ac:dyDescent="0.25">
      <c r="A4679" s="1" t="s">
        <v>9401</v>
      </c>
      <c r="B4679" s="1" t="str">
        <f>"9781444346039"</f>
        <v>9781444346039</v>
      </c>
      <c r="C4679" s="1" t="s">
        <v>11</v>
      </c>
      <c r="D4679" s="2">
        <v>40779</v>
      </c>
      <c r="E4679" s="1" t="s">
        <v>9402</v>
      </c>
      <c r="F4679" s="1" t="s">
        <v>13</v>
      </c>
    </row>
    <row r="4680" spans="1:6" ht="30" customHeight="1" x14ac:dyDescent="0.25">
      <c r="A4680" s="1" t="s">
        <v>9403</v>
      </c>
      <c r="B4680" s="1" t="str">
        <f>"9781444344769"</f>
        <v>9781444344769</v>
      </c>
      <c r="C4680" s="1" t="s">
        <v>11</v>
      </c>
      <c r="D4680" s="2">
        <v>40779</v>
      </c>
      <c r="E4680" s="1" t="s">
        <v>9404</v>
      </c>
      <c r="F4680" s="1" t="s">
        <v>13</v>
      </c>
    </row>
    <row r="4681" spans="1:6" ht="30" customHeight="1" x14ac:dyDescent="0.25">
      <c r="A4681" s="1" t="s">
        <v>9405</v>
      </c>
      <c r="B4681" s="1" t="str">
        <f>"9781444346152"</f>
        <v>9781444346152</v>
      </c>
      <c r="C4681" s="1" t="s">
        <v>65</v>
      </c>
      <c r="D4681" s="2">
        <v>40945</v>
      </c>
      <c r="E4681" s="1" t="s">
        <v>9406</v>
      </c>
      <c r="F4681" s="1" t="s">
        <v>13</v>
      </c>
    </row>
    <row r="4682" spans="1:6" ht="30" customHeight="1" x14ac:dyDescent="0.25">
      <c r="A4682" s="1" t="s">
        <v>9407</v>
      </c>
      <c r="B4682" s="1" t="str">
        <f>"9780199707867"</f>
        <v>9780199707867</v>
      </c>
      <c r="C4682" s="1" t="s">
        <v>1123</v>
      </c>
      <c r="D4682" s="2">
        <v>40560</v>
      </c>
      <c r="E4682" s="1" t="s">
        <v>9408</v>
      </c>
      <c r="F4682" s="1" t="s">
        <v>13</v>
      </c>
    </row>
    <row r="4683" spans="1:6" ht="30" customHeight="1" x14ac:dyDescent="0.25">
      <c r="A4683" s="1" t="s">
        <v>9409</v>
      </c>
      <c r="B4683" s="1" t="str">
        <f>"9780470429563"</f>
        <v>9780470429563</v>
      </c>
      <c r="C4683" s="1" t="s">
        <v>65</v>
      </c>
      <c r="D4683" s="2">
        <v>33697</v>
      </c>
      <c r="E4683" s="1" t="s">
        <v>9410</v>
      </c>
      <c r="F4683" s="1" t="s">
        <v>6769</v>
      </c>
    </row>
    <row r="4684" spans="1:6" ht="30" customHeight="1" x14ac:dyDescent="0.25">
      <c r="A4684" s="1" t="s">
        <v>9411</v>
      </c>
      <c r="B4684" s="1" t="str">
        <f>"9781118172643"</f>
        <v>9781118172643</v>
      </c>
      <c r="C4684" s="1" t="s">
        <v>65</v>
      </c>
      <c r="D4684" s="2">
        <v>40858</v>
      </c>
      <c r="E4684" s="1" t="s">
        <v>9412</v>
      </c>
      <c r="F4684" s="1" t="s">
        <v>9413</v>
      </c>
    </row>
    <row r="4685" spans="1:6" ht="30" customHeight="1" x14ac:dyDescent="0.25">
      <c r="A4685" s="1" t="s">
        <v>9414</v>
      </c>
      <c r="B4685" s="1" t="str">
        <f>"9781118003411"</f>
        <v>9781118003411</v>
      </c>
      <c r="C4685" s="1" t="s">
        <v>11</v>
      </c>
      <c r="D4685" s="2">
        <v>40645</v>
      </c>
      <c r="E4685" s="1" t="s">
        <v>9415</v>
      </c>
      <c r="F4685" s="1" t="s">
        <v>13</v>
      </c>
    </row>
    <row r="4686" spans="1:6" ht="30" customHeight="1" x14ac:dyDescent="0.25">
      <c r="A4686" s="1" t="s">
        <v>9416</v>
      </c>
      <c r="B4686" s="1" t="str">
        <f>"9781118015353"</f>
        <v>9781118015353</v>
      </c>
      <c r="C4686" s="1" t="s">
        <v>11</v>
      </c>
      <c r="D4686" s="2">
        <v>40765</v>
      </c>
      <c r="E4686" s="1" t="s">
        <v>9417</v>
      </c>
      <c r="F4686" s="1" t="s">
        <v>359</v>
      </c>
    </row>
    <row r="4687" spans="1:6" ht="30" customHeight="1" x14ac:dyDescent="0.25">
      <c r="A4687" s="1" t="s">
        <v>9418</v>
      </c>
      <c r="B4687" s="1" t="str">
        <f>"9780470939949"</f>
        <v>9780470939949</v>
      </c>
      <c r="C4687" s="1" t="s">
        <v>11</v>
      </c>
      <c r="D4687" s="2">
        <v>40763</v>
      </c>
      <c r="E4687" s="1" t="s">
        <v>9419</v>
      </c>
      <c r="F4687" s="1" t="s">
        <v>13</v>
      </c>
    </row>
    <row r="4688" spans="1:6" ht="30" customHeight="1" x14ac:dyDescent="0.25">
      <c r="A4688" s="1" t="s">
        <v>9420</v>
      </c>
      <c r="B4688" s="1" t="str">
        <f>"9781118023624"</f>
        <v>9781118023624</v>
      </c>
      <c r="C4688" s="1" t="s">
        <v>11</v>
      </c>
      <c r="D4688" s="2">
        <v>40667</v>
      </c>
      <c r="E4688" s="1" t="s">
        <v>9421</v>
      </c>
      <c r="F4688" s="1" t="s">
        <v>9422</v>
      </c>
    </row>
    <row r="4689" spans="1:6" ht="30" customHeight="1" x14ac:dyDescent="0.25">
      <c r="A4689" s="1" t="s">
        <v>9423</v>
      </c>
      <c r="B4689" s="1" t="str">
        <f>"9781118016411"</f>
        <v>9781118016411</v>
      </c>
      <c r="C4689" s="1" t="s">
        <v>11</v>
      </c>
      <c r="D4689" s="2">
        <v>40795</v>
      </c>
      <c r="E4689" s="1" t="s">
        <v>9424</v>
      </c>
      <c r="F4689" s="1" t="s">
        <v>268</v>
      </c>
    </row>
    <row r="4690" spans="1:6" ht="30" customHeight="1" x14ac:dyDescent="0.25">
      <c r="A4690" s="1" t="s">
        <v>9425</v>
      </c>
      <c r="B4690" s="1" t="str">
        <f>"9781118011270"</f>
        <v>9781118011270</v>
      </c>
      <c r="C4690" s="1" t="s">
        <v>11</v>
      </c>
      <c r="D4690" s="2">
        <v>40736</v>
      </c>
      <c r="E4690" s="1" t="s">
        <v>9426</v>
      </c>
      <c r="F4690" s="1" t="s">
        <v>268</v>
      </c>
    </row>
    <row r="4691" spans="1:6" ht="30" customHeight="1" x14ac:dyDescent="0.25">
      <c r="A4691" s="1" t="s">
        <v>9427</v>
      </c>
      <c r="B4691" s="1" t="str">
        <f>"9781118063828"</f>
        <v>9781118063828</v>
      </c>
      <c r="C4691" s="1" t="s">
        <v>11</v>
      </c>
      <c r="D4691" s="2">
        <v>40697</v>
      </c>
      <c r="E4691" s="1" t="s">
        <v>9428</v>
      </c>
      <c r="F4691" s="1" t="s">
        <v>70</v>
      </c>
    </row>
    <row r="4692" spans="1:6" ht="30" customHeight="1" x14ac:dyDescent="0.25">
      <c r="A4692" s="1" t="s">
        <v>9429</v>
      </c>
      <c r="B4692" s="1" t="str">
        <f>"9781118015797"</f>
        <v>9781118015797</v>
      </c>
      <c r="C4692" s="1" t="s">
        <v>11</v>
      </c>
      <c r="D4692" s="2">
        <v>40655</v>
      </c>
      <c r="E4692" s="1" t="s">
        <v>9430</v>
      </c>
      <c r="F4692" s="1" t="s">
        <v>13</v>
      </c>
    </row>
    <row r="4693" spans="1:6" ht="30" customHeight="1" x14ac:dyDescent="0.25">
      <c r="A4693" s="1" t="s">
        <v>9431</v>
      </c>
      <c r="B4693" s="1" t="str">
        <f>"9781118067185"</f>
        <v>9781118067185</v>
      </c>
      <c r="C4693" s="1" t="s">
        <v>11</v>
      </c>
      <c r="D4693" s="2">
        <v>40855</v>
      </c>
      <c r="E4693" s="1" t="s">
        <v>9432</v>
      </c>
      <c r="F4693" s="1" t="s">
        <v>70</v>
      </c>
    </row>
    <row r="4694" spans="1:6" ht="30" customHeight="1" x14ac:dyDescent="0.25">
      <c r="A4694" s="1" t="s">
        <v>9433</v>
      </c>
      <c r="B4694" s="1" t="str">
        <f>"9781118075661"</f>
        <v>9781118075661</v>
      </c>
      <c r="C4694" s="1" t="s">
        <v>11</v>
      </c>
      <c r="D4694" s="2">
        <v>40703</v>
      </c>
      <c r="E4694" s="1" t="s">
        <v>9434</v>
      </c>
      <c r="F4694" s="1" t="s">
        <v>359</v>
      </c>
    </row>
    <row r="4695" spans="1:6" ht="30" customHeight="1" x14ac:dyDescent="0.25">
      <c r="A4695" s="1" t="s">
        <v>9435</v>
      </c>
      <c r="B4695" s="1" t="str">
        <f>"9781118063880"</f>
        <v>9781118063880</v>
      </c>
      <c r="C4695" s="1" t="s">
        <v>11</v>
      </c>
      <c r="D4695" s="2">
        <v>40736</v>
      </c>
      <c r="E4695" s="1" t="s">
        <v>9436</v>
      </c>
      <c r="F4695" s="1" t="s">
        <v>963</v>
      </c>
    </row>
    <row r="4696" spans="1:6" ht="30" customHeight="1" x14ac:dyDescent="0.25">
      <c r="A4696" s="1" t="s">
        <v>9437</v>
      </c>
      <c r="B4696" s="1" t="str">
        <f>"9781118098127"</f>
        <v>9781118098127</v>
      </c>
      <c r="C4696" s="1" t="s">
        <v>65</v>
      </c>
      <c r="D4696" s="2">
        <v>40954</v>
      </c>
      <c r="E4696" s="1" t="s">
        <v>9438</v>
      </c>
      <c r="F4696" s="1" t="s">
        <v>137</v>
      </c>
    </row>
    <row r="4697" spans="1:6" ht="30" customHeight="1" x14ac:dyDescent="0.25">
      <c r="A4697" s="1" t="s">
        <v>9439</v>
      </c>
      <c r="B4697" s="1" t="str">
        <f>"9781118017562"</f>
        <v>9781118017562</v>
      </c>
      <c r="C4697" s="1" t="s">
        <v>11</v>
      </c>
      <c r="D4697" s="2">
        <v>40750</v>
      </c>
      <c r="E4697" s="1" t="s">
        <v>9440</v>
      </c>
      <c r="F4697" s="1" t="s">
        <v>963</v>
      </c>
    </row>
    <row r="4698" spans="1:6" ht="30" customHeight="1" x14ac:dyDescent="0.25">
      <c r="A4698" s="1" t="s">
        <v>9441</v>
      </c>
      <c r="B4698" s="1" t="str">
        <f>"9781118093450"</f>
        <v>9781118093450</v>
      </c>
      <c r="C4698" s="1" t="s">
        <v>65</v>
      </c>
      <c r="D4698" s="2">
        <v>40724</v>
      </c>
      <c r="E4698" s="1" t="s">
        <v>9442</v>
      </c>
      <c r="F4698" s="1" t="s">
        <v>9443</v>
      </c>
    </row>
    <row r="4699" spans="1:6" ht="30" customHeight="1" x14ac:dyDescent="0.25">
      <c r="A4699" s="1" t="s">
        <v>9444</v>
      </c>
      <c r="B4699" s="1" t="str">
        <f>"9781118092835"</f>
        <v>9781118092835</v>
      </c>
      <c r="C4699" s="1" t="s">
        <v>11</v>
      </c>
      <c r="D4699" s="2">
        <v>40757</v>
      </c>
      <c r="E4699" s="1" t="s">
        <v>9445</v>
      </c>
      <c r="F4699" s="1" t="s">
        <v>137</v>
      </c>
    </row>
    <row r="4700" spans="1:6" ht="30" customHeight="1" x14ac:dyDescent="0.25">
      <c r="A4700" s="1" t="s">
        <v>9446</v>
      </c>
      <c r="B4700" s="1" t="str">
        <f>"9781119998464"</f>
        <v>9781119998464</v>
      </c>
      <c r="C4700" s="1" t="s">
        <v>11</v>
      </c>
      <c r="D4700" s="2">
        <v>40848</v>
      </c>
      <c r="E4700" s="1" t="s">
        <v>9447</v>
      </c>
      <c r="F4700" s="1" t="s">
        <v>13</v>
      </c>
    </row>
    <row r="4701" spans="1:6" ht="30" customHeight="1" x14ac:dyDescent="0.25">
      <c r="A4701" s="1" t="s">
        <v>9448</v>
      </c>
      <c r="B4701" s="1" t="str">
        <f>"9781119979371"</f>
        <v>9781119979371</v>
      </c>
      <c r="C4701" s="1" t="s">
        <v>11</v>
      </c>
      <c r="D4701" s="2">
        <v>40653</v>
      </c>
      <c r="E4701" s="1" t="s">
        <v>9449</v>
      </c>
      <c r="F4701" s="1" t="s">
        <v>13</v>
      </c>
    </row>
    <row r="4702" spans="1:6" ht="30" customHeight="1" x14ac:dyDescent="0.25">
      <c r="A4702" s="1" t="s">
        <v>9450</v>
      </c>
      <c r="B4702" s="1" t="str">
        <f>"9781119975434"</f>
        <v>9781119975434</v>
      </c>
      <c r="C4702" s="1" t="s">
        <v>11</v>
      </c>
      <c r="D4702" s="2">
        <v>40718</v>
      </c>
      <c r="E4702" s="1" t="s">
        <v>9451</v>
      </c>
      <c r="F4702" s="1" t="s">
        <v>137</v>
      </c>
    </row>
    <row r="4703" spans="1:6" ht="30" customHeight="1" x14ac:dyDescent="0.25">
      <c r="A4703" s="1" t="s">
        <v>9452</v>
      </c>
      <c r="B4703" s="1" t="str">
        <f>"9781118077108"</f>
        <v>9781118077108</v>
      </c>
      <c r="C4703" s="1" t="s">
        <v>65</v>
      </c>
      <c r="D4703" s="2">
        <v>40840</v>
      </c>
      <c r="E4703" s="1" t="s">
        <v>6973</v>
      </c>
      <c r="F4703" s="1" t="s">
        <v>137</v>
      </c>
    </row>
    <row r="4704" spans="1:6" ht="30" customHeight="1" x14ac:dyDescent="0.25">
      <c r="A4704" s="1" t="s">
        <v>9453</v>
      </c>
      <c r="B4704" s="1" t="str">
        <f>"9781444345360"</f>
        <v>9781444345360</v>
      </c>
      <c r="C4704" s="1" t="s">
        <v>65</v>
      </c>
      <c r="D4704" s="2">
        <v>40660</v>
      </c>
      <c r="E4704" s="1" t="s">
        <v>9454</v>
      </c>
      <c r="F4704" s="1" t="s">
        <v>13</v>
      </c>
    </row>
    <row r="4705" spans="1:6" ht="30" customHeight="1" x14ac:dyDescent="0.25">
      <c r="A4705" s="1" t="s">
        <v>9455</v>
      </c>
      <c r="B4705" s="1" t="str">
        <f>"9781444341225"</f>
        <v>9781444341225</v>
      </c>
      <c r="C4705" s="1" t="s">
        <v>11</v>
      </c>
      <c r="D4705" s="2">
        <v>40795</v>
      </c>
      <c r="E4705" s="1" t="s">
        <v>9456</v>
      </c>
      <c r="F4705" s="1" t="s">
        <v>13</v>
      </c>
    </row>
    <row r="4706" spans="1:6" ht="30" customHeight="1" x14ac:dyDescent="0.25">
      <c r="A4706" s="1" t="s">
        <v>9457</v>
      </c>
      <c r="B4706" s="1" t="str">
        <f>"9781444346664"</f>
        <v>9781444346664</v>
      </c>
      <c r="C4706" s="1" t="s">
        <v>11</v>
      </c>
      <c r="D4706" s="2">
        <v>40744</v>
      </c>
      <c r="E4706" s="1" t="s">
        <v>9458</v>
      </c>
      <c r="F4706" s="1" t="s">
        <v>268</v>
      </c>
    </row>
    <row r="4707" spans="1:6" ht="30" customHeight="1" x14ac:dyDescent="0.25">
      <c r="A4707" s="1" t="s">
        <v>9459</v>
      </c>
      <c r="B4707" s="1" t="str">
        <f>"9781444398045"</f>
        <v>9781444398045</v>
      </c>
      <c r="C4707" s="1" t="s">
        <v>11</v>
      </c>
      <c r="D4707" s="2">
        <v>40686</v>
      </c>
      <c r="E4707" s="1" t="s">
        <v>9460</v>
      </c>
      <c r="F4707" s="1" t="s">
        <v>13</v>
      </c>
    </row>
    <row r="4708" spans="1:6" ht="30" customHeight="1" x14ac:dyDescent="0.25">
      <c r="A4708" s="1" t="s">
        <v>9461</v>
      </c>
      <c r="B4708" s="1" t="str">
        <f>"9781444398014"</f>
        <v>9781444398014</v>
      </c>
      <c r="C4708" s="1" t="s">
        <v>11</v>
      </c>
      <c r="D4708" s="2">
        <v>40645</v>
      </c>
      <c r="E4708" s="1" t="s">
        <v>9462</v>
      </c>
      <c r="F4708" s="1" t="s">
        <v>13</v>
      </c>
    </row>
    <row r="4709" spans="1:6" ht="30" customHeight="1" x14ac:dyDescent="0.25">
      <c r="A4709" s="1" t="s">
        <v>9463</v>
      </c>
      <c r="B4709" s="1" t="str">
        <f>"9781118075562"</f>
        <v>9781118075562</v>
      </c>
      <c r="C4709" s="1" t="s">
        <v>11</v>
      </c>
      <c r="D4709" s="2">
        <v>40814</v>
      </c>
      <c r="E4709" s="1" t="s">
        <v>9464</v>
      </c>
      <c r="F4709" s="1" t="s">
        <v>268</v>
      </c>
    </row>
    <row r="4710" spans="1:6" ht="30" customHeight="1" x14ac:dyDescent="0.25">
      <c r="A4710" s="1" t="s">
        <v>9465</v>
      </c>
      <c r="B4710" s="1" t="str">
        <f>"9781118089958"</f>
        <v>9781118089958</v>
      </c>
      <c r="C4710" s="1" t="s">
        <v>65</v>
      </c>
      <c r="D4710" s="2">
        <v>40779</v>
      </c>
      <c r="E4710" s="1" t="s">
        <v>9466</v>
      </c>
      <c r="F4710" s="1" t="s">
        <v>95</v>
      </c>
    </row>
    <row r="4711" spans="1:6" ht="30" customHeight="1" x14ac:dyDescent="0.25">
      <c r="A4711" s="1" t="s">
        <v>9467</v>
      </c>
      <c r="B4711" s="1" t="str">
        <f>"9781118095645"</f>
        <v>9781118095645</v>
      </c>
      <c r="C4711" s="1" t="s">
        <v>65</v>
      </c>
      <c r="D4711" s="2">
        <v>40795</v>
      </c>
      <c r="E4711" s="1" t="s">
        <v>9468</v>
      </c>
      <c r="F4711" s="1" t="s">
        <v>30</v>
      </c>
    </row>
    <row r="4712" spans="1:6" ht="30" customHeight="1" x14ac:dyDescent="0.25">
      <c r="A4712" s="1" t="s">
        <v>9469</v>
      </c>
      <c r="B4712" s="1" t="str">
        <f>"9781118106143"</f>
        <v>9781118106143</v>
      </c>
      <c r="C4712" s="1" t="s">
        <v>11</v>
      </c>
      <c r="D4712" s="2">
        <v>40739</v>
      </c>
      <c r="E4712" s="1" t="s">
        <v>9470</v>
      </c>
      <c r="F4712" s="1" t="s">
        <v>13</v>
      </c>
    </row>
    <row r="4713" spans="1:6" ht="30" customHeight="1" x14ac:dyDescent="0.25">
      <c r="A4713" s="1" t="s">
        <v>9471</v>
      </c>
      <c r="B4713" s="1" t="str">
        <f>"9781119971610"</f>
        <v>9781119971610</v>
      </c>
      <c r="C4713" s="1" t="s">
        <v>65</v>
      </c>
      <c r="D4713" s="2">
        <v>40651</v>
      </c>
      <c r="E4713" s="1" t="s">
        <v>9472</v>
      </c>
      <c r="F4713" s="1" t="s">
        <v>33</v>
      </c>
    </row>
    <row r="4714" spans="1:6" ht="30" customHeight="1" x14ac:dyDescent="0.25">
      <c r="A4714" s="1" t="s">
        <v>9473</v>
      </c>
      <c r="B4714" s="1" t="str">
        <f>"9781444397925"</f>
        <v>9781444397925</v>
      </c>
      <c r="C4714" s="1" t="s">
        <v>11</v>
      </c>
      <c r="D4714" s="2">
        <v>40645</v>
      </c>
      <c r="E4714" s="1" t="s">
        <v>9474</v>
      </c>
      <c r="F4714" s="1" t="s">
        <v>13</v>
      </c>
    </row>
    <row r="4715" spans="1:6" ht="30" customHeight="1" x14ac:dyDescent="0.25">
      <c r="A4715" s="1" t="s">
        <v>9475</v>
      </c>
      <c r="B4715" s="1" t="str">
        <f>"9781118086117"</f>
        <v>9781118086117</v>
      </c>
      <c r="C4715" s="1" t="s">
        <v>65</v>
      </c>
      <c r="D4715" s="2">
        <v>40770</v>
      </c>
      <c r="E4715" s="1" t="s">
        <v>9476</v>
      </c>
      <c r="F4715" s="1" t="s">
        <v>95</v>
      </c>
    </row>
    <row r="4716" spans="1:6" ht="30" customHeight="1" x14ac:dyDescent="0.25">
      <c r="A4716" s="1" t="s">
        <v>9477</v>
      </c>
      <c r="B4716" s="1" t="str">
        <f>"9781118117996"</f>
        <v>9781118117996</v>
      </c>
      <c r="C4716" s="1" t="s">
        <v>65</v>
      </c>
      <c r="D4716" s="2">
        <v>40812</v>
      </c>
      <c r="E4716" s="1" t="s">
        <v>9478</v>
      </c>
      <c r="F4716" s="1" t="s">
        <v>13</v>
      </c>
    </row>
    <row r="4717" spans="1:6" ht="30" customHeight="1" x14ac:dyDescent="0.25">
      <c r="A4717" s="1" t="s">
        <v>9479</v>
      </c>
      <c r="B4717" s="1" t="str">
        <f>"9781444340969"</f>
        <v>9781444340969</v>
      </c>
      <c r="C4717" s="1" t="s">
        <v>11</v>
      </c>
      <c r="D4717" s="2">
        <v>40639</v>
      </c>
      <c r="E4717" s="1" t="s">
        <v>9480</v>
      </c>
      <c r="F4717" s="1" t="s">
        <v>13</v>
      </c>
    </row>
    <row r="4718" spans="1:6" ht="30" customHeight="1" x14ac:dyDescent="0.25">
      <c r="A4718" s="1" t="s">
        <v>9481</v>
      </c>
      <c r="B4718" s="1" t="str">
        <f>"9781444343076"</f>
        <v>9781444343076</v>
      </c>
      <c r="C4718" s="1" t="s">
        <v>11</v>
      </c>
      <c r="D4718" s="2">
        <v>40718</v>
      </c>
      <c r="E4718" s="1" t="s">
        <v>9482</v>
      </c>
      <c r="F4718" s="1" t="s">
        <v>9483</v>
      </c>
    </row>
    <row r="4719" spans="1:6" ht="30" customHeight="1" x14ac:dyDescent="0.25">
      <c r="A4719" s="1" t="s">
        <v>9484</v>
      </c>
      <c r="B4719" s="1" t="str">
        <f>"9781444329841"</f>
        <v>9781444329841</v>
      </c>
      <c r="C4719" s="1" t="s">
        <v>11</v>
      </c>
      <c r="D4719" s="2">
        <v>40829</v>
      </c>
      <c r="E4719" s="1" t="s">
        <v>9485</v>
      </c>
      <c r="F4719" s="1" t="s">
        <v>13</v>
      </c>
    </row>
    <row r="4720" spans="1:6" ht="30" customHeight="1" x14ac:dyDescent="0.25">
      <c r="A4720" s="1" t="s">
        <v>9486</v>
      </c>
      <c r="B4720" s="1" t="str">
        <f>"9781444344875"</f>
        <v>9781444344875</v>
      </c>
      <c r="C4720" s="1" t="s">
        <v>65</v>
      </c>
      <c r="D4720" s="2">
        <v>40763</v>
      </c>
      <c r="E4720" s="1" t="s">
        <v>9487</v>
      </c>
      <c r="F4720" s="1" t="s">
        <v>114</v>
      </c>
    </row>
    <row r="4721" spans="1:6" ht="30" customHeight="1" x14ac:dyDescent="0.25">
      <c r="A4721" s="1" t="s">
        <v>9488</v>
      </c>
      <c r="B4721" s="1" t="str">
        <f>"9780470743140"</f>
        <v>9780470743140</v>
      </c>
      <c r="C4721" s="1" t="s">
        <v>65</v>
      </c>
      <c r="D4721" s="2">
        <v>39869</v>
      </c>
      <c r="E4721" s="1" t="s">
        <v>9489</v>
      </c>
      <c r="F4721" s="1" t="s">
        <v>13</v>
      </c>
    </row>
    <row r="4722" spans="1:6" ht="30" customHeight="1" x14ac:dyDescent="0.25">
      <c r="A4722" s="1" t="s">
        <v>9490</v>
      </c>
      <c r="B4722" s="1" t="str">
        <f>"9780470910009"</f>
        <v>9780470910009</v>
      </c>
      <c r="C4722" s="1" t="s">
        <v>11</v>
      </c>
      <c r="D4722" s="2">
        <v>40484</v>
      </c>
      <c r="E4722" s="1" t="s">
        <v>9491</v>
      </c>
      <c r="F4722" s="1" t="s">
        <v>13</v>
      </c>
    </row>
    <row r="4723" spans="1:6" ht="30" customHeight="1" x14ac:dyDescent="0.25">
      <c r="A4723" s="1" t="s">
        <v>9492</v>
      </c>
      <c r="B4723" s="1" t="str">
        <f>"9780470640494"</f>
        <v>9780470640494</v>
      </c>
      <c r="C4723" s="1" t="s">
        <v>11</v>
      </c>
      <c r="D4723" s="2">
        <v>40627</v>
      </c>
      <c r="E4723" s="1" t="s">
        <v>9493</v>
      </c>
      <c r="F4723" s="1" t="s">
        <v>1344</v>
      </c>
    </row>
    <row r="4724" spans="1:6" ht="30" customHeight="1" x14ac:dyDescent="0.25">
      <c r="A4724" s="1" t="s">
        <v>9494</v>
      </c>
      <c r="B4724" s="1" t="str">
        <f>"9780470910900"</f>
        <v>9780470910900</v>
      </c>
      <c r="C4724" s="1" t="s">
        <v>11</v>
      </c>
      <c r="D4724" s="2">
        <v>40484</v>
      </c>
      <c r="E4724" s="1" t="s">
        <v>9495</v>
      </c>
      <c r="F4724" s="1" t="s">
        <v>13</v>
      </c>
    </row>
    <row r="4725" spans="1:6" ht="30" customHeight="1" x14ac:dyDescent="0.25">
      <c r="A4725" s="1" t="s">
        <v>9496</v>
      </c>
      <c r="B4725" s="1" t="str">
        <f>"9780470944356"</f>
        <v>9780470944356</v>
      </c>
      <c r="C4725" s="1" t="s">
        <v>11</v>
      </c>
      <c r="D4725" s="2">
        <v>40550</v>
      </c>
      <c r="E4725" s="1" t="s">
        <v>9497</v>
      </c>
      <c r="F4725" s="1" t="s">
        <v>13</v>
      </c>
    </row>
    <row r="4726" spans="1:6" ht="30" customHeight="1" x14ac:dyDescent="0.25">
      <c r="A4726" s="1" t="s">
        <v>9498</v>
      </c>
      <c r="B4726" s="1" t="str">
        <f>"9780470932070"</f>
        <v>9780470932070</v>
      </c>
      <c r="C4726" s="1" t="s">
        <v>11</v>
      </c>
      <c r="D4726" s="2">
        <v>40564</v>
      </c>
      <c r="E4726" s="1" t="s">
        <v>9499</v>
      </c>
      <c r="F4726" s="1" t="s">
        <v>13</v>
      </c>
    </row>
    <row r="4727" spans="1:6" ht="30" customHeight="1" x14ac:dyDescent="0.25">
      <c r="A4727" s="1" t="s">
        <v>9500</v>
      </c>
      <c r="B4727" s="1" t="str">
        <f>"9781118009819"</f>
        <v>9781118009819</v>
      </c>
      <c r="C4727" s="1" t="s">
        <v>65</v>
      </c>
      <c r="D4727" s="2">
        <v>40578</v>
      </c>
      <c r="E4727" s="1" t="s">
        <v>9501</v>
      </c>
      <c r="F4727" s="1" t="s">
        <v>4351</v>
      </c>
    </row>
    <row r="4728" spans="1:6" ht="30" customHeight="1" x14ac:dyDescent="0.25">
      <c r="A4728" s="1" t="s">
        <v>9502</v>
      </c>
      <c r="B4728" s="1" t="str">
        <f>"9780470933503"</f>
        <v>9780470933503</v>
      </c>
      <c r="C4728" s="1" t="s">
        <v>11</v>
      </c>
      <c r="D4728" s="2">
        <v>40585</v>
      </c>
      <c r="E4728" s="1" t="s">
        <v>9503</v>
      </c>
      <c r="F4728" s="1" t="s">
        <v>6137</v>
      </c>
    </row>
    <row r="4729" spans="1:6" ht="30" customHeight="1" x14ac:dyDescent="0.25">
      <c r="A4729" s="1" t="s">
        <v>9504</v>
      </c>
      <c r="B4729" s="1" t="str">
        <f>"9781119991601"</f>
        <v>9781119991601</v>
      </c>
      <c r="C4729" s="1" t="s">
        <v>11</v>
      </c>
      <c r="D4729" s="2">
        <v>40612</v>
      </c>
      <c r="E4729" s="1" t="s">
        <v>9505</v>
      </c>
      <c r="F4729" s="1" t="s">
        <v>268</v>
      </c>
    </row>
    <row r="4730" spans="1:6" ht="30" customHeight="1" x14ac:dyDescent="0.25">
      <c r="A4730" s="1" t="s">
        <v>9506</v>
      </c>
      <c r="B4730" s="1" t="str">
        <f>"9780470974537"</f>
        <v>9780470974537</v>
      </c>
      <c r="C4730" s="1" t="s">
        <v>65</v>
      </c>
      <c r="D4730" s="2">
        <v>40522</v>
      </c>
      <c r="E4730" s="1" t="s">
        <v>9507</v>
      </c>
      <c r="F4730" s="1" t="s">
        <v>13</v>
      </c>
    </row>
    <row r="4731" spans="1:6" ht="30" customHeight="1" x14ac:dyDescent="0.25">
      <c r="A4731" s="1" t="s">
        <v>9508</v>
      </c>
      <c r="B4731" s="1" t="str">
        <f>"9780470979617"</f>
        <v>9780470979617</v>
      </c>
      <c r="C4731" s="1" t="s">
        <v>11</v>
      </c>
      <c r="D4731" s="2">
        <v>40618</v>
      </c>
      <c r="E4731" s="1" t="s">
        <v>9509</v>
      </c>
      <c r="F4731" s="1" t="s">
        <v>650</v>
      </c>
    </row>
    <row r="4732" spans="1:6" ht="30" customHeight="1" x14ac:dyDescent="0.25">
      <c r="A4732" s="1" t="s">
        <v>9510</v>
      </c>
      <c r="B4732" s="1" t="str">
        <f>"9780470959725"</f>
        <v>9780470959725</v>
      </c>
      <c r="C4732" s="1" t="s">
        <v>11</v>
      </c>
      <c r="D4732" s="2">
        <v>40675</v>
      </c>
      <c r="E4732" s="1" t="s">
        <v>9511</v>
      </c>
      <c r="F4732" s="1" t="s">
        <v>963</v>
      </c>
    </row>
    <row r="4733" spans="1:6" ht="30" customHeight="1" x14ac:dyDescent="0.25">
      <c r="A4733" s="1" t="s">
        <v>9512</v>
      </c>
      <c r="B4733" s="1" t="str">
        <f>"9781444342109"</f>
        <v>9781444342109</v>
      </c>
      <c r="C4733" s="1" t="s">
        <v>65</v>
      </c>
      <c r="D4733" s="2">
        <v>40574</v>
      </c>
      <c r="E4733" s="1" t="s">
        <v>9513</v>
      </c>
      <c r="F4733" s="1" t="s">
        <v>13</v>
      </c>
    </row>
    <row r="4734" spans="1:6" ht="30" customHeight="1" x14ac:dyDescent="0.25">
      <c r="A4734" s="1" t="s">
        <v>9514</v>
      </c>
      <c r="B4734" s="1" t="str">
        <f>"9780470717523"</f>
        <v>9780470717523</v>
      </c>
      <c r="C4734" s="1" t="s">
        <v>11</v>
      </c>
      <c r="D4734" s="2">
        <v>40072</v>
      </c>
      <c r="E4734" s="1" t="s">
        <v>9515</v>
      </c>
      <c r="F4734" s="1" t="s">
        <v>13</v>
      </c>
    </row>
    <row r="4735" spans="1:6" ht="30" customHeight="1" x14ac:dyDescent="0.25">
      <c r="A4735" s="1" t="s">
        <v>9516</v>
      </c>
      <c r="B4735" s="1" t="str">
        <f>"9780470717585"</f>
        <v>9780470717585</v>
      </c>
      <c r="C4735" s="1" t="s">
        <v>11</v>
      </c>
      <c r="D4735" s="2">
        <v>39598</v>
      </c>
      <c r="E4735" s="1" t="s">
        <v>9515</v>
      </c>
      <c r="F4735" s="1" t="s">
        <v>13</v>
      </c>
    </row>
    <row r="4736" spans="1:6" ht="30" customHeight="1" x14ac:dyDescent="0.25">
      <c r="A4736" s="1" t="s">
        <v>9517</v>
      </c>
      <c r="B4736" s="1" t="str">
        <f>"9780470717608"</f>
        <v>9780470717608</v>
      </c>
      <c r="C4736" s="1" t="s">
        <v>11</v>
      </c>
      <c r="D4736" s="2">
        <v>40072</v>
      </c>
      <c r="E4736" s="1" t="s">
        <v>9515</v>
      </c>
      <c r="F4736" s="1" t="s">
        <v>13</v>
      </c>
    </row>
    <row r="4737" spans="1:6" ht="30" customHeight="1" x14ac:dyDescent="0.25">
      <c r="A4737" s="1" t="s">
        <v>9518</v>
      </c>
      <c r="B4737" s="1" t="str">
        <f>"9780470717653"</f>
        <v>9780470717653</v>
      </c>
      <c r="C4737" s="1" t="s">
        <v>11</v>
      </c>
      <c r="D4737" s="2">
        <v>39598</v>
      </c>
      <c r="E4737" s="1" t="s">
        <v>9515</v>
      </c>
      <c r="F4737" s="1" t="s">
        <v>13</v>
      </c>
    </row>
    <row r="4738" spans="1:6" ht="30" customHeight="1" x14ac:dyDescent="0.25">
      <c r="A4738" s="1" t="s">
        <v>9519</v>
      </c>
      <c r="B4738" s="1" t="str">
        <f>"9780470717677"</f>
        <v>9780470717677</v>
      </c>
      <c r="C4738" s="1" t="s">
        <v>11</v>
      </c>
      <c r="D4738" s="2">
        <v>40072</v>
      </c>
      <c r="E4738" s="1" t="s">
        <v>9515</v>
      </c>
      <c r="F4738" s="1" t="s">
        <v>2229</v>
      </c>
    </row>
    <row r="4739" spans="1:6" ht="30" customHeight="1" x14ac:dyDescent="0.25">
      <c r="A4739" s="1" t="s">
        <v>9520</v>
      </c>
      <c r="B4739" s="1" t="str">
        <f>"9780470717691"</f>
        <v>9780470717691</v>
      </c>
      <c r="C4739" s="1" t="s">
        <v>65</v>
      </c>
      <c r="D4739" s="2">
        <v>40072</v>
      </c>
      <c r="E4739" s="1" t="s">
        <v>9515</v>
      </c>
      <c r="F4739" s="1" t="s">
        <v>13</v>
      </c>
    </row>
    <row r="4740" spans="1:6" ht="30" customHeight="1" x14ac:dyDescent="0.25">
      <c r="A4740" s="1" t="s">
        <v>9521</v>
      </c>
      <c r="B4740" s="1" t="str">
        <f>"9780470717707"</f>
        <v>9780470717707</v>
      </c>
      <c r="C4740" s="1" t="s">
        <v>11</v>
      </c>
      <c r="D4740" s="2">
        <v>39598</v>
      </c>
      <c r="E4740" s="1" t="s">
        <v>9515</v>
      </c>
      <c r="F4740" s="1" t="s">
        <v>13</v>
      </c>
    </row>
    <row r="4741" spans="1:6" ht="30" customHeight="1" x14ac:dyDescent="0.25">
      <c r="A4741" s="1" t="s">
        <v>9522</v>
      </c>
      <c r="B4741" s="1" t="str">
        <f>"9780470717714"</f>
        <v>9780470717714</v>
      </c>
      <c r="C4741" s="1" t="s">
        <v>11</v>
      </c>
      <c r="D4741" s="2">
        <v>40072</v>
      </c>
      <c r="E4741" s="1" t="s">
        <v>9515</v>
      </c>
      <c r="F4741" s="1" t="s">
        <v>13</v>
      </c>
    </row>
    <row r="4742" spans="1:6" ht="30" customHeight="1" x14ac:dyDescent="0.25">
      <c r="A4742" s="1" t="s">
        <v>9523</v>
      </c>
      <c r="B4742" s="1" t="str">
        <f>"9780470717752"</f>
        <v>9780470717752</v>
      </c>
      <c r="C4742" s="1" t="s">
        <v>11</v>
      </c>
      <c r="D4742" s="2">
        <v>40072</v>
      </c>
      <c r="E4742" s="1" t="s">
        <v>9515</v>
      </c>
      <c r="F4742" s="1" t="s">
        <v>13</v>
      </c>
    </row>
    <row r="4743" spans="1:6" ht="30" customHeight="1" x14ac:dyDescent="0.25">
      <c r="A4743" s="1" t="s">
        <v>9524</v>
      </c>
      <c r="B4743" s="1" t="str">
        <f>"9780470717769"</f>
        <v>9780470717769</v>
      </c>
      <c r="C4743" s="1" t="s">
        <v>11</v>
      </c>
      <c r="D4743" s="2">
        <v>39598</v>
      </c>
      <c r="E4743" s="1" t="s">
        <v>9515</v>
      </c>
      <c r="F4743" s="1" t="s">
        <v>214</v>
      </c>
    </row>
    <row r="4744" spans="1:6" ht="30" customHeight="1" x14ac:dyDescent="0.25">
      <c r="A4744" s="1" t="s">
        <v>9525</v>
      </c>
      <c r="B4744" s="1" t="str">
        <f>"9780470717776"</f>
        <v>9780470717776</v>
      </c>
      <c r="C4744" s="1" t="s">
        <v>11</v>
      </c>
      <c r="D4744" s="2">
        <v>40072</v>
      </c>
      <c r="E4744" s="1" t="s">
        <v>9515</v>
      </c>
      <c r="F4744" s="1" t="s">
        <v>221</v>
      </c>
    </row>
    <row r="4745" spans="1:6" ht="30" customHeight="1" x14ac:dyDescent="0.25">
      <c r="A4745" s="1" t="s">
        <v>9526</v>
      </c>
      <c r="B4745" s="1" t="str">
        <f>"9780470717820"</f>
        <v>9780470717820</v>
      </c>
      <c r="C4745" s="1" t="s">
        <v>11</v>
      </c>
      <c r="D4745" s="2">
        <v>40072</v>
      </c>
      <c r="E4745" s="1" t="s">
        <v>9515</v>
      </c>
      <c r="F4745" s="1" t="s">
        <v>176</v>
      </c>
    </row>
    <row r="4746" spans="1:6" ht="30" customHeight="1" x14ac:dyDescent="0.25">
      <c r="A4746" s="1" t="s">
        <v>9527</v>
      </c>
      <c r="B4746" s="1" t="str">
        <f>"9780470717844"</f>
        <v>9780470717844</v>
      </c>
      <c r="C4746" s="1" t="s">
        <v>11</v>
      </c>
      <c r="D4746" s="2">
        <v>40072</v>
      </c>
      <c r="E4746" s="1" t="s">
        <v>9515</v>
      </c>
      <c r="F4746" s="1" t="s">
        <v>13</v>
      </c>
    </row>
    <row r="4747" spans="1:6" ht="30" customHeight="1" x14ac:dyDescent="0.25">
      <c r="A4747" s="1" t="s">
        <v>9528</v>
      </c>
      <c r="B4747" s="1" t="str">
        <f>"9780470717929"</f>
        <v>9780470717929</v>
      </c>
      <c r="C4747" s="1" t="s">
        <v>11</v>
      </c>
      <c r="D4747" s="2">
        <v>40072</v>
      </c>
      <c r="E4747" s="1" t="s">
        <v>9515</v>
      </c>
      <c r="F4747" s="1" t="s">
        <v>13</v>
      </c>
    </row>
    <row r="4748" spans="1:6" ht="30" customHeight="1" x14ac:dyDescent="0.25">
      <c r="A4748" s="1" t="s">
        <v>9529</v>
      </c>
      <c r="B4748" s="1" t="str">
        <f>"9780470717936"</f>
        <v>9780470717936</v>
      </c>
      <c r="C4748" s="1" t="s">
        <v>11</v>
      </c>
      <c r="D4748" s="2">
        <v>39598</v>
      </c>
      <c r="E4748" s="1" t="s">
        <v>9515</v>
      </c>
      <c r="F4748" s="1" t="s">
        <v>95</v>
      </c>
    </row>
    <row r="4749" spans="1:6" ht="30" customHeight="1" x14ac:dyDescent="0.25">
      <c r="A4749" s="1" t="s">
        <v>9530</v>
      </c>
      <c r="B4749" s="1" t="str">
        <f>"9780470717943"</f>
        <v>9780470717943</v>
      </c>
      <c r="C4749" s="1" t="s">
        <v>11</v>
      </c>
      <c r="D4749" s="2">
        <v>39598</v>
      </c>
      <c r="E4749" s="1" t="s">
        <v>9515</v>
      </c>
      <c r="F4749" s="1" t="s">
        <v>13</v>
      </c>
    </row>
    <row r="4750" spans="1:6" ht="30" customHeight="1" x14ac:dyDescent="0.25">
      <c r="A4750" s="1" t="s">
        <v>9531</v>
      </c>
      <c r="B4750" s="1" t="str">
        <f>"9780470717950"</f>
        <v>9780470717950</v>
      </c>
      <c r="C4750" s="1" t="s">
        <v>11</v>
      </c>
      <c r="D4750" s="2">
        <v>39598</v>
      </c>
      <c r="E4750" s="1" t="s">
        <v>9515</v>
      </c>
      <c r="F4750" s="1" t="s">
        <v>221</v>
      </c>
    </row>
    <row r="4751" spans="1:6" ht="30" customHeight="1" x14ac:dyDescent="0.25">
      <c r="A4751" s="1" t="s">
        <v>9532</v>
      </c>
      <c r="B4751" s="1" t="str">
        <f>"9780470717967"</f>
        <v>9780470717967</v>
      </c>
      <c r="C4751" s="1" t="s">
        <v>11</v>
      </c>
      <c r="D4751" s="2">
        <v>40072</v>
      </c>
      <c r="E4751" s="1" t="s">
        <v>9515</v>
      </c>
      <c r="F4751" s="1" t="s">
        <v>13</v>
      </c>
    </row>
    <row r="4752" spans="1:6" ht="30" customHeight="1" x14ac:dyDescent="0.25">
      <c r="A4752" s="1" t="s">
        <v>9533</v>
      </c>
      <c r="B4752" s="1" t="str">
        <f>"9780470718018"</f>
        <v>9780470718018</v>
      </c>
      <c r="C4752" s="1" t="s">
        <v>11</v>
      </c>
      <c r="D4752" s="2">
        <v>40072</v>
      </c>
      <c r="E4752" s="1" t="s">
        <v>9515</v>
      </c>
      <c r="F4752" s="1" t="s">
        <v>13</v>
      </c>
    </row>
    <row r="4753" spans="1:6" ht="30" customHeight="1" x14ac:dyDescent="0.25">
      <c r="A4753" s="1" t="s">
        <v>9534</v>
      </c>
      <c r="B4753" s="1" t="str">
        <f>"9780470718056"</f>
        <v>9780470718056</v>
      </c>
      <c r="C4753" s="1" t="s">
        <v>11</v>
      </c>
      <c r="D4753" s="2">
        <v>40072</v>
      </c>
      <c r="E4753" s="1" t="s">
        <v>9535</v>
      </c>
      <c r="F4753" s="1" t="s">
        <v>13</v>
      </c>
    </row>
    <row r="4754" spans="1:6" ht="30" customHeight="1" x14ac:dyDescent="0.25">
      <c r="A4754" s="1" t="s">
        <v>9536</v>
      </c>
      <c r="B4754" s="1" t="str">
        <f>"9780470718094"</f>
        <v>9780470718094</v>
      </c>
      <c r="C4754" s="1" t="s">
        <v>11</v>
      </c>
      <c r="D4754" s="2">
        <v>39598</v>
      </c>
      <c r="E4754" s="1" t="s">
        <v>9515</v>
      </c>
      <c r="F4754" s="1" t="s">
        <v>13</v>
      </c>
    </row>
    <row r="4755" spans="1:6" ht="30" customHeight="1" x14ac:dyDescent="0.25">
      <c r="A4755" s="1" t="s">
        <v>9537</v>
      </c>
      <c r="B4755" s="1" t="str">
        <f>"9780470718131"</f>
        <v>9780470718131</v>
      </c>
      <c r="C4755" s="1" t="s">
        <v>11</v>
      </c>
      <c r="D4755" s="2">
        <v>40072</v>
      </c>
      <c r="E4755" s="1" t="s">
        <v>9515</v>
      </c>
      <c r="F4755" s="1" t="s">
        <v>1372</v>
      </c>
    </row>
    <row r="4756" spans="1:6" ht="30" customHeight="1" x14ac:dyDescent="0.25">
      <c r="A4756" s="1" t="s">
        <v>9538</v>
      </c>
      <c r="B4756" s="1" t="str">
        <f>"9780470718148"</f>
        <v>9780470718148</v>
      </c>
      <c r="C4756" s="1" t="s">
        <v>11</v>
      </c>
      <c r="D4756" s="2">
        <v>40072</v>
      </c>
      <c r="E4756" s="1" t="s">
        <v>9515</v>
      </c>
      <c r="F4756" s="1" t="s">
        <v>5477</v>
      </c>
    </row>
    <row r="4757" spans="1:6" ht="30" customHeight="1" x14ac:dyDescent="0.25">
      <c r="A4757" s="1" t="s">
        <v>9539</v>
      </c>
      <c r="B4757" s="1" t="str">
        <f>"9780470718186"</f>
        <v>9780470718186</v>
      </c>
      <c r="C4757" s="1" t="s">
        <v>11</v>
      </c>
      <c r="D4757" s="2">
        <v>40072</v>
      </c>
      <c r="E4757" s="1" t="s">
        <v>9515</v>
      </c>
      <c r="F4757" s="1" t="s">
        <v>13</v>
      </c>
    </row>
    <row r="4758" spans="1:6" ht="30" customHeight="1" x14ac:dyDescent="0.25">
      <c r="A4758" s="1" t="s">
        <v>9540</v>
      </c>
      <c r="B4758" s="1" t="str">
        <f>"9780470718254"</f>
        <v>9780470718254</v>
      </c>
      <c r="C4758" s="1" t="s">
        <v>11</v>
      </c>
      <c r="D4758" s="2">
        <v>40072</v>
      </c>
      <c r="E4758" s="1" t="s">
        <v>9515</v>
      </c>
      <c r="F4758" s="1" t="s">
        <v>137</v>
      </c>
    </row>
    <row r="4759" spans="1:6" ht="30" customHeight="1" x14ac:dyDescent="0.25">
      <c r="A4759" s="1" t="s">
        <v>9541</v>
      </c>
      <c r="B4759" s="1" t="str">
        <f>"9780470718278"</f>
        <v>9780470718278</v>
      </c>
      <c r="C4759" s="1" t="s">
        <v>11</v>
      </c>
      <c r="D4759" s="2">
        <v>40070</v>
      </c>
      <c r="E4759" s="1" t="s">
        <v>9515</v>
      </c>
      <c r="F4759" s="1" t="s">
        <v>148</v>
      </c>
    </row>
    <row r="4760" spans="1:6" ht="30" customHeight="1" x14ac:dyDescent="0.25">
      <c r="A4760" s="1" t="s">
        <v>9542</v>
      </c>
      <c r="B4760" s="1" t="str">
        <f>"9780470718285"</f>
        <v>9780470718285</v>
      </c>
      <c r="C4760" s="1" t="s">
        <v>11</v>
      </c>
      <c r="D4760" s="2">
        <v>40070</v>
      </c>
      <c r="E4760" s="1" t="s">
        <v>9515</v>
      </c>
      <c r="F4760" s="1" t="s">
        <v>13</v>
      </c>
    </row>
    <row r="4761" spans="1:6" ht="30" customHeight="1" x14ac:dyDescent="0.25">
      <c r="A4761" s="1" t="s">
        <v>9543</v>
      </c>
      <c r="B4761" s="1" t="str">
        <f>"9780470718360"</f>
        <v>9780470718360</v>
      </c>
      <c r="C4761" s="1" t="s">
        <v>11</v>
      </c>
      <c r="D4761" s="2">
        <v>39598</v>
      </c>
      <c r="E4761" s="1" t="s">
        <v>9515</v>
      </c>
      <c r="F4761" s="1" t="s">
        <v>13</v>
      </c>
    </row>
    <row r="4762" spans="1:6" ht="30" customHeight="1" x14ac:dyDescent="0.25">
      <c r="A4762" s="1" t="s">
        <v>9544</v>
      </c>
      <c r="B4762" s="1" t="str">
        <f>"9780470718384"</f>
        <v>9780470718384</v>
      </c>
      <c r="C4762" s="1" t="s">
        <v>11</v>
      </c>
      <c r="D4762" s="2">
        <v>40070</v>
      </c>
      <c r="E4762" s="1" t="s">
        <v>9515</v>
      </c>
      <c r="F4762" s="1" t="s">
        <v>13</v>
      </c>
    </row>
    <row r="4763" spans="1:6" ht="30" customHeight="1" x14ac:dyDescent="0.25">
      <c r="A4763" s="1" t="s">
        <v>9545</v>
      </c>
      <c r="B4763" s="1" t="str">
        <f>"9780470718476"</f>
        <v>9780470718476</v>
      </c>
      <c r="C4763" s="1" t="s">
        <v>11</v>
      </c>
      <c r="D4763" s="2">
        <v>39598</v>
      </c>
      <c r="E4763" s="1" t="s">
        <v>9515</v>
      </c>
      <c r="F4763" s="1" t="s">
        <v>13</v>
      </c>
    </row>
    <row r="4764" spans="1:6" ht="30" customHeight="1" x14ac:dyDescent="0.25">
      <c r="A4764" s="1" t="s">
        <v>9546</v>
      </c>
      <c r="B4764" s="1" t="str">
        <f>"9780470718506"</f>
        <v>9780470718506</v>
      </c>
      <c r="C4764" s="1" t="s">
        <v>11</v>
      </c>
      <c r="D4764" s="2">
        <v>40070</v>
      </c>
      <c r="E4764" s="1" t="s">
        <v>9515</v>
      </c>
      <c r="F4764" s="1" t="s">
        <v>9547</v>
      </c>
    </row>
    <row r="4765" spans="1:6" ht="30" customHeight="1" x14ac:dyDescent="0.25">
      <c r="A4765" s="1" t="s">
        <v>9548</v>
      </c>
      <c r="B4765" s="1" t="str">
        <f>"9780470718568"</f>
        <v>9780470718568</v>
      </c>
      <c r="C4765" s="1" t="s">
        <v>11</v>
      </c>
      <c r="D4765" s="2">
        <v>40070</v>
      </c>
      <c r="E4765" s="1" t="s">
        <v>9515</v>
      </c>
      <c r="F4765" s="1" t="s">
        <v>13</v>
      </c>
    </row>
    <row r="4766" spans="1:6" ht="30" customHeight="1" x14ac:dyDescent="0.25">
      <c r="A4766" s="1" t="s">
        <v>9549</v>
      </c>
      <c r="B4766" s="1" t="str">
        <f>"9780470718575"</f>
        <v>9780470718575</v>
      </c>
      <c r="C4766" s="1" t="s">
        <v>11</v>
      </c>
      <c r="D4766" s="2">
        <v>40070</v>
      </c>
      <c r="E4766" s="1" t="s">
        <v>9515</v>
      </c>
      <c r="F4766" s="1" t="s">
        <v>13</v>
      </c>
    </row>
    <row r="4767" spans="1:6" ht="30" customHeight="1" x14ac:dyDescent="0.25">
      <c r="A4767" s="1" t="s">
        <v>9550</v>
      </c>
      <c r="B4767" s="1" t="str">
        <f>"9780470718667"</f>
        <v>9780470718667</v>
      </c>
      <c r="C4767" s="1" t="s">
        <v>11</v>
      </c>
      <c r="D4767" s="2">
        <v>40070</v>
      </c>
      <c r="E4767" s="1" t="s">
        <v>9515</v>
      </c>
      <c r="F4767" s="1" t="s">
        <v>599</v>
      </c>
    </row>
    <row r="4768" spans="1:6" ht="30" customHeight="1" x14ac:dyDescent="0.25">
      <c r="A4768" s="1" t="s">
        <v>9551</v>
      </c>
      <c r="B4768" s="1" t="str">
        <f>"9780470718698"</f>
        <v>9780470718698</v>
      </c>
      <c r="C4768" s="1" t="s">
        <v>11</v>
      </c>
      <c r="D4768" s="2">
        <v>40070</v>
      </c>
      <c r="E4768" s="1" t="s">
        <v>9515</v>
      </c>
      <c r="F4768" s="1" t="s">
        <v>9552</v>
      </c>
    </row>
    <row r="4769" spans="1:6" ht="30" customHeight="1" x14ac:dyDescent="0.25">
      <c r="A4769" s="1" t="s">
        <v>9553</v>
      </c>
      <c r="B4769" s="1" t="str">
        <f>"9781118076644"</f>
        <v>9781118076644</v>
      </c>
      <c r="C4769" s="1" t="s">
        <v>11</v>
      </c>
      <c r="D4769" s="2">
        <v>40631</v>
      </c>
      <c r="E4769" s="1" t="s">
        <v>9554</v>
      </c>
      <c r="F4769" s="1" t="s">
        <v>13</v>
      </c>
    </row>
    <row r="4770" spans="1:6" ht="30" customHeight="1" x14ac:dyDescent="0.25">
      <c r="A4770" s="1" t="s">
        <v>9555</v>
      </c>
      <c r="B4770" s="1" t="str">
        <f>"9781118039649"</f>
        <v>9781118039649</v>
      </c>
      <c r="C4770" s="1" t="s">
        <v>65</v>
      </c>
      <c r="D4770" s="2">
        <v>41842</v>
      </c>
      <c r="E4770" s="1" t="s">
        <v>9556</v>
      </c>
      <c r="F4770" s="1" t="s">
        <v>13</v>
      </c>
    </row>
    <row r="4771" spans="1:6" ht="30" customHeight="1" x14ac:dyDescent="0.25">
      <c r="A4771" s="1" t="s">
        <v>9557</v>
      </c>
      <c r="B4771" s="1" t="str">
        <f>"9781444340211"</f>
        <v>9781444340211</v>
      </c>
      <c r="C4771" s="1" t="s">
        <v>65</v>
      </c>
      <c r="D4771" s="2">
        <v>40547</v>
      </c>
      <c r="E4771" s="1" t="s">
        <v>9558</v>
      </c>
      <c r="F4771" s="1" t="s">
        <v>13</v>
      </c>
    </row>
    <row r="4772" spans="1:6" ht="30" customHeight="1" x14ac:dyDescent="0.25">
      <c r="A4772" s="1" t="s">
        <v>9559</v>
      </c>
      <c r="B4772" s="1" t="str">
        <f>"9781118278352"</f>
        <v>9781118278352</v>
      </c>
      <c r="C4772" s="1" t="s">
        <v>65</v>
      </c>
      <c r="D4772" s="2">
        <v>40869</v>
      </c>
      <c r="E4772" s="1" t="s">
        <v>9560</v>
      </c>
      <c r="F4772" s="1" t="s">
        <v>13</v>
      </c>
    </row>
    <row r="4773" spans="1:6" ht="30" customHeight="1" x14ac:dyDescent="0.25">
      <c r="A4773" s="1" t="s">
        <v>9561</v>
      </c>
      <c r="B4773" s="1" t="str">
        <f>"9781444314670"</f>
        <v>9781444314670</v>
      </c>
      <c r="C4773" s="1" t="s">
        <v>65</v>
      </c>
      <c r="D4773" s="2">
        <v>41312</v>
      </c>
      <c r="E4773" s="1" t="s">
        <v>9562</v>
      </c>
      <c r="F4773" s="1" t="s">
        <v>13</v>
      </c>
    </row>
    <row r="4774" spans="1:6" ht="30" customHeight="1" x14ac:dyDescent="0.25">
      <c r="A4774" s="1" t="s">
        <v>9563</v>
      </c>
      <c r="B4774" s="1" t="str">
        <f>"9781444315363"</f>
        <v>9781444315363</v>
      </c>
      <c r="C4774" s="1" t="s">
        <v>65</v>
      </c>
      <c r="D4774" s="2">
        <v>41403</v>
      </c>
      <c r="E4774" s="1" t="s">
        <v>9564</v>
      </c>
      <c r="F4774" s="1" t="s">
        <v>126</v>
      </c>
    </row>
    <row r="4775" spans="1:6" ht="30" customHeight="1" x14ac:dyDescent="0.25">
      <c r="A4775" s="1" t="s">
        <v>9565</v>
      </c>
      <c r="B4775" s="1" t="str">
        <f>"9781118709740"</f>
        <v>9781118709740</v>
      </c>
      <c r="C4775" s="1" t="s">
        <v>65</v>
      </c>
      <c r="D4775" s="2">
        <v>41355</v>
      </c>
      <c r="E4775" s="1" t="s">
        <v>9566</v>
      </c>
      <c r="F4775" s="1" t="s">
        <v>82</v>
      </c>
    </row>
    <row r="4776" spans="1:6" ht="30" customHeight="1" x14ac:dyDescent="0.25">
      <c r="A4776" s="1" t="s">
        <v>9567</v>
      </c>
      <c r="B4776" s="1" t="str">
        <f>"9783527633661"</f>
        <v>9783527633661</v>
      </c>
      <c r="C4776" s="1" t="s">
        <v>65</v>
      </c>
      <c r="D4776" s="2">
        <v>40261</v>
      </c>
      <c r="E4776" s="1" t="s">
        <v>9568</v>
      </c>
      <c r="F4776" s="1" t="s">
        <v>70</v>
      </c>
    </row>
    <row r="4777" spans="1:6" ht="30" customHeight="1" x14ac:dyDescent="0.25">
      <c r="A4777" s="1" t="s">
        <v>9569</v>
      </c>
      <c r="B4777" s="1" t="str">
        <f>"9781845937874"</f>
        <v>9781845937874</v>
      </c>
      <c r="C4777" s="1" t="s">
        <v>2321</v>
      </c>
      <c r="D4777" s="2">
        <v>40544</v>
      </c>
      <c r="E4777" s="1" t="s">
        <v>9570</v>
      </c>
      <c r="F4777" s="1" t="s">
        <v>158</v>
      </c>
    </row>
    <row r="4778" spans="1:6" ht="30" customHeight="1" x14ac:dyDescent="0.25">
      <c r="A4778" s="1" t="s">
        <v>9571</v>
      </c>
      <c r="B4778" s="1" t="str">
        <f>"9780765708298"</f>
        <v>9780765708298</v>
      </c>
      <c r="C4778" s="1" t="s">
        <v>6903</v>
      </c>
      <c r="D4778" s="2">
        <v>40704</v>
      </c>
      <c r="E4778" s="1" t="s">
        <v>9572</v>
      </c>
      <c r="F4778" s="1" t="s">
        <v>13</v>
      </c>
    </row>
    <row r="4779" spans="1:6" ht="30" customHeight="1" x14ac:dyDescent="0.25">
      <c r="A4779" s="1" t="s">
        <v>9573</v>
      </c>
      <c r="B4779" s="1" t="str">
        <f>"9781849400336"</f>
        <v>9781849400336</v>
      </c>
      <c r="C4779" s="1" t="s">
        <v>68</v>
      </c>
      <c r="D4779" s="2">
        <v>31412</v>
      </c>
      <c r="E4779" s="1" t="s">
        <v>9574</v>
      </c>
      <c r="F4779" s="1" t="s">
        <v>13</v>
      </c>
    </row>
    <row r="4780" spans="1:6" ht="30" customHeight="1" x14ac:dyDescent="0.25">
      <c r="A4780" s="1" t="s">
        <v>9575</v>
      </c>
      <c r="B4780" s="1" t="str">
        <f>"9781849401364"</f>
        <v>9781849401364</v>
      </c>
      <c r="C4780" s="1" t="s">
        <v>8994</v>
      </c>
      <c r="D4780" s="2">
        <v>33969</v>
      </c>
      <c r="E4780" s="1" t="s">
        <v>9576</v>
      </c>
      <c r="F4780" s="1" t="s">
        <v>21</v>
      </c>
    </row>
    <row r="4781" spans="1:6" ht="30" customHeight="1" x14ac:dyDescent="0.25">
      <c r="A4781" s="1" t="s">
        <v>9577</v>
      </c>
      <c r="B4781" s="1" t="str">
        <f>"9781849400039"</f>
        <v>9781849400039</v>
      </c>
      <c r="C4781" s="1" t="s">
        <v>68</v>
      </c>
      <c r="D4781" s="2">
        <v>26664</v>
      </c>
      <c r="E4781" s="1" t="s">
        <v>9578</v>
      </c>
      <c r="F4781" s="1" t="s">
        <v>13</v>
      </c>
    </row>
    <row r="4782" spans="1:6" ht="30" customHeight="1" x14ac:dyDescent="0.25">
      <c r="A4782" s="1" t="s">
        <v>9579</v>
      </c>
      <c r="B4782" s="1" t="str">
        <f>"9781849400374"</f>
        <v>9781849400374</v>
      </c>
      <c r="C4782" s="1" t="s">
        <v>8994</v>
      </c>
      <c r="D4782" s="2">
        <v>31777</v>
      </c>
      <c r="E4782" s="1" t="s">
        <v>9580</v>
      </c>
      <c r="F4782" s="1" t="s">
        <v>13</v>
      </c>
    </row>
    <row r="4783" spans="1:6" ht="30" customHeight="1" x14ac:dyDescent="0.25">
      <c r="A4783" s="1" t="s">
        <v>9581</v>
      </c>
      <c r="B4783" s="1" t="str">
        <f>"9781849400633"</f>
        <v>9781849400633</v>
      </c>
      <c r="C4783" s="1" t="s">
        <v>68</v>
      </c>
      <c r="D4783" s="2">
        <v>32508</v>
      </c>
      <c r="E4783" s="1" t="s">
        <v>9582</v>
      </c>
      <c r="F4783" s="1" t="s">
        <v>13</v>
      </c>
    </row>
    <row r="4784" spans="1:6" ht="30" customHeight="1" x14ac:dyDescent="0.25">
      <c r="A4784" s="1" t="s">
        <v>9583</v>
      </c>
      <c r="B4784" s="1" t="str">
        <f>"9781849400695"</f>
        <v>9781849400695</v>
      </c>
      <c r="C4784" s="1" t="s">
        <v>68</v>
      </c>
      <c r="D4784" s="2">
        <v>32873</v>
      </c>
      <c r="E4784" s="1" t="s">
        <v>9181</v>
      </c>
      <c r="F4784" s="1" t="s">
        <v>291</v>
      </c>
    </row>
    <row r="4785" spans="1:6" ht="30" customHeight="1" x14ac:dyDescent="0.25">
      <c r="A4785" s="1" t="s">
        <v>9584</v>
      </c>
      <c r="B4785" s="1" t="str">
        <f>"9781849400732"</f>
        <v>9781849400732</v>
      </c>
      <c r="C4785" s="1" t="s">
        <v>68</v>
      </c>
      <c r="D4785" s="2">
        <v>32873</v>
      </c>
      <c r="E4785" s="1" t="s">
        <v>9585</v>
      </c>
      <c r="F4785" s="1" t="s">
        <v>291</v>
      </c>
    </row>
    <row r="4786" spans="1:6" ht="30" customHeight="1" x14ac:dyDescent="0.25">
      <c r="A4786" s="1" t="s">
        <v>9586</v>
      </c>
      <c r="B4786" s="1" t="str">
        <f>"9781849400787"</f>
        <v>9781849400787</v>
      </c>
      <c r="C4786" s="1" t="s">
        <v>68</v>
      </c>
      <c r="D4786" s="2">
        <v>32873</v>
      </c>
      <c r="E4786" s="1" t="s">
        <v>9587</v>
      </c>
      <c r="F4786" s="1" t="s">
        <v>13</v>
      </c>
    </row>
    <row r="4787" spans="1:6" ht="30" customHeight="1" x14ac:dyDescent="0.25">
      <c r="A4787" s="1" t="s">
        <v>9588</v>
      </c>
      <c r="B4787" s="1" t="str">
        <f>"9781849400923"</f>
        <v>9781849400923</v>
      </c>
      <c r="C4787" s="1" t="s">
        <v>68</v>
      </c>
      <c r="D4787" s="2">
        <v>33238</v>
      </c>
      <c r="E4787" s="1" t="s">
        <v>9589</v>
      </c>
      <c r="F4787" s="1" t="s">
        <v>13</v>
      </c>
    </row>
    <row r="4788" spans="1:6" ht="30" customHeight="1" x14ac:dyDescent="0.25">
      <c r="A4788" s="1" t="s">
        <v>9590</v>
      </c>
      <c r="B4788" s="1" t="str">
        <f>"9781849401081"</f>
        <v>9781849401081</v>
      </c>
      <c r="C4788" s="1" t="s">
        <v>68</v>
      </c>
      <c r="D4788" s="2">
        <v>33603</v>
      </c>
      <c r="E4788" s="1" t="s">
        <v>9591</v>
      </c>
      <c r="F4788" s="1" t="s">
        <v>13</v>
      </c>
    </row>
    <row r="4789" spans="1:6" ht="30" customHeight="1" x14ac:dyDescent="0.25">
      <c r="A4789" s="1" t="s">
        <v>9592</v>
      </c>
      <c r="B4789" s="1" t="str">
        <f>"9781849401098"</f>
        <v>9781849401098</v>
      </c>
      <c r="C4789" s="1" t="s">
        <v>8994</v>
      </c>
      <c r="D4789" s="2">
        <v>33603</v>
      </c>
      <c r="E4789" s="1" t="s">
        <v>9593</v>
      </c>
      <c r="F4789" s="1" t="s">
        <v>599</v>
      </c>
    </row>
    <row r="4790" spans="1:6" ht="30" customHeight="1" x14ac:dyDescent="0.25">
      <c r="A4790" s="1" t="s">
        <v>9594</v>
      </c>
      <c r="B4790" s="1" t="str">
        <f>"9781849401104"</f>
        <v>9781849401104</v>
      </c>
      <c r="C4790" s="1" t="s">
        <v>8994</v>
      </c>
      <c r="D4790" s="2">
        <v>33603</v>
      </c>
      <c r="E4790" s="1" t="s">
        <v>9595</v>
      </c>
      <c r="F4790" s="1" t="s">
        <v>95</v>
      </c>
    </row>
    <row r="4791" spans="1:6" ht="30" customHeight="1" x14ac:dyDescent="0.25">
      <c r="A4791" s="1" t="s">
        <v>9596</v>
      </c>
      <c r="B4791" s="1" t="str">
        <f>"9781849401166"</f>
        <v>9781849401166</v>
      </c>
      <c r="C4791" s="1" t="s">
        <v>68</v>
      </c>
      <c r="D4791" s="2">
        <v>33969</v>
      </c>
      <c r="E4791" s="1" t="s">
        <v>9597</v>
      </c>
      <c r="F4791" s="1" t="s">
        <v>104</v>
      </c>
    </row>
    <row r="4792" spans="1:6" ht="30" customHeight="1" x14ac:dyDescent="0.25">
      <c r="A4792" s="1" t="s">
        <v>9598</v>
      </c>
      <c r="B4792" s="1" t="str">
        <f>"9781849401173"</f>
        <v>9781849401173</v>
      </c>
      <c r="C4792" s="1" t="s">
        <v>8994</v>
      </c>
      <c r="D4792" s="2">
        <v>33969</v>
      </c>
      <c r="E4792" s="1" t="s">
        <v>9599</v>
      </c>
      <c r="F4792" s="1" t="s">
        <v>70</v>
      </c>
    </row>
    <row r="4793" spans="1:6" ht="30" customHeight="1" x14ac:dyDescent="0.25">
      <c r="A4793" s="1" t="s">
        <v>9600</v>
      </c>
      <c r="B4793" s="1" t="str">
        <f>"9781849401180"</f>
        <v>9781849401180</v>
      </c>
      <c r="C4793" s="1" t="s">
        <v>8994</v>
      </c>
      <c r="D4793" s="2">
        <v>33969</v>
      </c>
      <c r="E4793" s="1" t="s">
        <v>9601</v>
      </c>
      <c r="F4793" s="1" t="s">
        <v>13</v>
      </c>
    </row>
    <row r="4794" spans="1:6" ht="30" customHeight="1" x14ac:dyDescent="0.25">
      <c r="A4794" s="1" t="s">
        <v>9602</v>
      </c>
      <c r="B4794" s="1" t="str">
        <f>"9781849401203"</f>
        <v>9781849401203</v>
      </c>
      <c r="C4794" s="1" t="s">
        <v>8994</v>
      </c>
      <c r="D4794" s="2">
        <v>33969</v>
      </c>
      <c r="E4794" s="1" t="s">
        <v>9603</v>
      </c>
      <c r="F4794" s="1" t="s">
        <v>13</v>
      </c>
    </row>
    <row r="4795" spans="1:6" ht="30" customHeight="1" x14ac:dyDescent="0.25">
      <c r="A4795" s="1" t="s">
        <v>9604</v>
      </c>
      <c r="B4795" s="1" t="str">
        <f>"9781849401210"</f>
        <v>9781849401210</v>
      </c>
      <c r="C4795" s="1" t="s">
        <v>68</v>
      </c>
      <c r="D4795" s="2">
        <v>33969</v>
      </c>
      <c r="E4795" s="1" t="s">
        <v>9605</v>
      </c>
      <c r="F4795" s="1" t="s">
        <v>104</v>
      </c>
    </row>
    <row r="4796" spans="1:6" ht="30" customHeight="1" x14ac:dyDescent="0.25">
      <c r="A4796" s="1" t="s">
        <v>9606</v>
      </c>
      <c r="B4796" s="1" t="str">
        <f>"9781849401258"</f>
        <v>9781849401258</v>
      </c>
      <c r="C4796" s="1" t="s">
        <v>8994</v>
      </c>
      <c r="D4796" s="2">
        <v>33969</v>
      </c>
      <c r="E4796" s="1" t="s">
        <v>9607</v>
      </c>
      <c r="F4796" s="1" t="s">
        <v>104</v>
      </c>
    </row>
    <row r="4797" spans="1:6" ht="30" customHeight="1" x14ac:dyDescent="0.25">
      <c r="A4797" s="1" t="s">
        <v>9608</v>
      </c>
      <c r="B4797" s="1" t="str">
        <f>"9781849401265"</f>
        <v>9781849401265</v>
      </c>
      <c r="C4797" s="1" t="s">
        <v>8994</v>
      </c>
      <c r="D4797" s="2">
        <v>33969</v>
      </c>
      <c r="E4797" s="1" t="s">
        <v>9609</v>
      </c>
      <c r="F4797" s="1" t="s">
        <v>599</v>
      </c>
    </row>
    <row r="4798" spans="1:6" ht="30" customHeight="1" x14ac:dyDescent="0.25">
      <c r="A4798" s="1" t="s">
        <v>9610</v>
      </c>
      <c r="B4798" s="1" t="str">
        <f>"9781849401357"</f>
        <v>9781849401357</v>
      </c>
      <c r="C4798" s="1" t="s">
        <v>68</v>
      </c>
      <c r="D4798" s="2">
        <v>33969</v>
      </c>
      <c r="E4798" s="1" t="s">
        <v>9611</v>
      </c>
      <c r="F4798" s="1" t="s">
        <v>13</v>
      </c>
    </row>
    <row r="4799" spans="1:6" ht="30" customHeight="1" x14ac:dyDescent="0.25">
      <c r="A4799" s="1" t="s">
        <v>9612</v>
      </c>
      <c r="B4799" s="1" t="str">
        <f>"9781849401401"</f>
        <v>9781849401401</v>
      </c>
      <c r="C4799" s="1" t="s">
        <v>68</v>
      </c>
      <c r="D4799" s="2">
        <v>34334</v>
      </c>
      <c r="E4799" s="1" t="s">
        <v>9189</v>
      </c>
      <c r="F4799" s="1" t="s">
        <v>13</v>
      </c>
    </row>
    <row r="4800" spans="1:6" ht="30" customHeight="1" x14ac:dyDescent="0.25">
      <c r="A4800" s="1" t="s">
        <v>9613</v>
      </c>
      <c r="B4800" s="1" t="str">
        <f>"9781849401425"</f>
        <v>9781849401425</v>
      </c>
      <c r="C4800" s="1" t="s">
        <v>68</v>
      </c>
      <c r="D4800" s="2">
        <v>34334</v>
      </c>
      <c r="E4800" s="1" t="s">
        <v>9614</v>
      </c>
      <c r="F4800" s="1" t="s">
        <v>291</v>
      </c>
    </row>
    <row r="4801" spans="1:6" ht="30" customHeight="1" x14ac:dyDescent="0.25">
      <c r="A4801" s="1" t="s">
        <v>9615</v>
      </c>
      <c r="B4801" s="1" t="str">
        <f>"9781849401456"</f>
        <v>9781849401456</v>
      </c>
      <c r="C4801" s="1" t="s">
        <v>8994</v>
      </c>
      <c r="D4801" s="2">
        <v>34334</v>
      </c>
      <c r="E4801" s="1" t="s">
        <v>9616</v>
      </c>
      <c r="F4801" s="1" t="s">
        <v>13</v>
      </c>
    </row>
    <row r="4802" spans="1:6" ht="30" customHeight="1" x14ac:dyDescent="0.25">
      <c r="A4802" s="1" t="s">
        <v>9617</v>
      </c>
      <c r="B4802" s="1" t="str">
        <f>"9781849401494"</f>
        <v>9781849401494</v>
      </c>
      <c r="C4802" s="1" t="s">
        <v>8994</v>
      </c>
      <c r="D4802" s="2">
        <v>34334</v>
      </c>
      <c r="E4802" s="1" t="s">
        <v>9618</v>
      </c>
      <c r="F4802" s="1" t="s">
        <v>13</v>
      </c>
    </row>
    <row r="4803" spans="1:6" ht="30" customHeight="1" x14ac:dyDescent="0.25">
      <c r="A4803" s="1" t="s">
        <v>9619</v>
      </c>
      <c r="B4803" s="1" t="str">
        <f>"9781849401579"</f>
        <v>9781849401579</v>
      </c>
      <c r="C4803" s="1" t="s">
        <v>8994</v>
      </c>
      <c r="D4803" s="2">
        <v>34699</v>
      </c>
      <c r="E4803" s="1" t="s">
        <v>9208</v>
      </c>
      <c r="F4803" s="1" t="s">
        <v>13</v>
      </c>
    </row>
    <row r="4804" spans="1:6" ht="30" customHeight="1" x14ac:dyDescent="0.25">
      <c r="A4804" s="1" t="s">
        <v>9620</v>
      </c>
      <c r="B4804" s="1" t="str">
        <f>"9781849401586"</f>
        <v>9781849401586</v>
      </c>
      <c r="C4804" s="1" t="s">
        <v>68</v>
      </c>
      <c r="D4804" s="2">
        <v>34699</v>
      </c>
      <c r="E4804" s="1" t="s">
        <v>9015</v>
      </c>
      <c r="F4804" s="1" t="s">
        <v>13</v>
      </c>
    </row>
    <row r="4805" spans="1:6" ht="30" customHeight="1" x14ac:dyDescent="0.25">
      <c r="A4805" s="1" t="s">
        <v>9621</v>
      </c>
      <c r="B4805" s="1" t="str">
        <f>"9781441137432"</f>
        <v>9781441137432</v>
      </c>
      <c r="C4805" s="1" t="s">
        <v>3759</v>
      </c>
      <c r="D4805" s="2">
        <v>39560</v>
      </c>
      <c r="E4805" s="1" t="s">
        <v>9622</v>
      </c>
      <c r="F4805" s="1" t="s">
        <v>1712</v>
      </c>
    </row>
    <row r="4806" spans="1:6" ht="30" customHeight="1" x14ac:dyDescent="0.25">
      <c r="A4806" s="1" t="s">
        <v>9623</v>
      </c>
      <c r="B4806" s="1" t="str">
        <f>"9781581105438"</f>
        <v>9781581105438</v>
      </c>
      <c r="C4806" s="1" t="s">
        <v>9624</v>
      </c>
      <c r="D4806" s="2">
        <v>41773</v>
      </c>
      <c r="E4806" s="1" t="s">
        <v>9625</v>
      </c>
      <c r="F4806" s="1" t="s">
        <v>13</v>
      </c>
    </row>
    <row r="4807" spans="1:6" ht="30" customHeight="1" x14ac:dyDescent="0.25">
      <c r="A4807" s="1" t="s">
        <v>9626</v>
      </c>
      <c r="B4807" s="1" t="str">
        <f>"9780470659359"</f>
        <v>9780470659359</v>
      </c>
      <c r="C4807" s="1" t="s">
        <v>65</v>
      </c>
      <c r="D4807" s="2">
        <v>40633</v>
      </c>
      <c r="E4807" s="1" t="s">
        <v>9627</v>
      </c>
      <c r="F4807" s="1" t="s">
        <v>268</v>
      </c>
    </row>
    <row r="4808" spans="1:6" ht="30" customHeight="1" x14ac:dyDescent="0.25">
      <c r="A4808" s="1" t="s">
        <v>9628</v>
      </c>
      <c r="B4808" s="1" t="str">
        <f>"9781849404679"</f>
        <v>9781849404679</v>
      </c>
      <c r="C4808" s="1" t="s">
        <v>8994</v>
      </c>
      <c r="D4808" s="2">
        <v>38717</v>
      </c>
      <c r="E4808" s="1" t="s">
        <v>9629</v>
      </c>
      <c r="F4808" s="1" t="s">
        <v>13</v>
      </c>
    </row>
    <row r="4809" spans="1:6" ht="30" customHeight="1" x14ac:dyDescent="0.25">
      <c r="A4809" s="1" t="s">
        <v>9630</v>
      </c>
      <c r="B4809" s="1" t="str">
        <f>"9781849404891"</f>
        <v>9781849404891</v>
      </c>
      <c r="C4809" s="1" t="s">
        <v>68</v>
      </c>
      <c r="D4809" s="2">
        <v>38413</v>
      </c>
      <c r="E4809" s="1" t="s">
        <v>9631</v>
      </c>
      <c r="F4809" s="1" t="s">
        <v>214</v>
      </c>
    </row>
    <row r="4810" spans="1:6" ht="30" customHeight="1" x14ac:dyDescent="0.25">
      <c r="A4810" s="1" t="s">
        <v>9632</v>
      </c>
      <c r="B4810" s="1" t="str">
        <f>"9781849404884"</f>
        <v>9781849404884</v>
      </c>
      <c r="C4810" s="1" t="s">
        <v>68</v>
      </c>
      <c r="D4810" s="2">
        <v>38413</v>
      </c>
      <c r="E4810" s="1" t="s">
        <v>9631</v>
      </c>
      <c r="F4810" s="1" t="s">
        <v>13</v>
      </c>
    </row>
    <row r="4811" spans="1:6" ht="30" customHeight="1" x14ac:dyDescent="0.25">
      <c r="A4811" s="1" t="s">
        <v>9633</v>
      </c>
      <c r="B4811" s="1" t="str">
        <f>"9781849404952"</f>
        <v>9781849404952</v>
      </c>
      <c r="C4811" s="1" t="s">
        <v>68</v>
      </c>
      <c r="D4811" s="2">
        <v>38385</v>
      </c>
      <c r="E4811" s="1" t="s">
        <v>9634</v>
      </c>
      <c r="F4811" s="1" t="s">
        <v>13</v>
      </c>
    </row>
    <row r="4812" spans="1:6" ht="30" customHeight="1" x14ac:dyDescent="0.25">
      <c r="A4812" s="1" t="s">
        <v>9635</v>
      </c>
      <c r="B4812" s="1" t="str">
        <f>"9781849404174"</f>
        <v>9781849404174</v>
      </c>
      <c r="C4812" s="1" t="s">
        <v>8994</v>
      </c>
      <c r="D4812" s="2">
        <v>38352</v>
      </c>
      <c r="E4812" s="1" t="s">
        <v>9287</v>
      </c>
      <c r="F4812" s="1" t="s">
        <v>13</v>
      </c>
    </row>
    <row r="4813" spans="1:6" ht="30" customHeight="1" x14ac:dyDescent="0.25">
      <c r="A4813" s="1" t="s">
        <v>9636</v>
      </c>
      <c r="B4813" s="1" t="str">
        <f>"9781849404266"</f>
        <v>9781849404266</v>
      </c>
      <c r="C4813" s="1" t="s">
        <v>8994</v>
      </c>
      <c r="D4813" s="2">
        <v>38352</v>
      </c>
      <c r="E4813" s="1" t="s">
        <v>9637</v>
      </c>
      <c r="F4813" s="1" t="s">
        <v>13</v>
      </c>
    </row>
    <row r="4814" spans="1:6" ht="30" customHeight="1" x14ac:dyDescent="0.25">
      <c r="A4814" s="1" t="s">
        <v>9638</v>
      </c>
      <c r="B4814" s="1" t="str">
        <f>"9781849404303"</f>
        <v>9781849404303</v>
      </c>
      <c r="C4814" s="1" t="s">
        <v>8994</v>
      </c>
      <c r="D4814" s="2">
        <v>38352</v>
      </c>
      <c r="E4814" s="1" t="s">
        <v>9639</v>
      </c>
      <c r="F4814" s="1" t="s">
        <v>13</v>
      </c>
    </row>
    <row r="4815" spans="1:6" ht="30" customHeight="1" x14ac:dyDescent="0.25">
      <c r="A4815" s="1" t="s">
        <v>9640</v>
      </c>
      <c r="B4815" s="1" t="str">
        <f>"9781849404297"</f>
        <v>9781849404297</v>
      </c>
      <c r="C4815" s="1" t="s">
        <v>8994</v>
      </c>
      <c r="D4815" s="2">
        <v>38352</v>
      </c>
      <c r="E4815" s="1" t="s">
        <v>9017</v>
      </c>
      <c r="F4815" s="1" t="s">
        <v>13</v>
      </c>
    </row>
    <row r="4816" spans="1:6" ht="30" customHeight="1" x14ac:dyDescent="0.25">
      <c r="A4816" s="1" t="s">
        <v>9641</v>
      </c>
      <c r="B4816" s="1" t="str">
        <f>"9781849403764"</f>
        <v>9781849403764</v>
      </c>
      <c r="C4816" s="1" t="s">
        <v>68</v>
      </c>
      <c r="D4816" s="2">
        <v>37986</v>
      </c>
      <c r="E4816" s="1" t="s">
        <v>9642</v>
      </c>
      <c r="F4816" s="1" t="s">
        <v>13</v>
      </c>
    </row>
    <row r="4817" spans="1:6" ht="30" customHeight="1" x14ac:dyDescent="0.25">
      <c r="A4817" s="1" t="s">
        <v>9643</v>
      </c>
      <c r="B4817" s="1" t="str">
        <f>"9781849403825"</f>
        <v>9781849403825</v>
      </c>
      <c r="C4817" s="1" t="s">
        <v>8994</v>
      </c>
      <c r="D4817" s="2">
        <v>37986</v>
      </c>
      <c r="E4817" s="1" t="s">
        <v>9141</v>
      </c>
      <c r="F4817" s="1" t="s">
        <v>158</v>
      </c>
    </row>
    <row r="4818" spans="1:6" ht="30" customHeight="1" x14ac:dyDescent="0.25">
      <c r="A4818" s="1" t="s">
        <v>9644</v>
      </c>
      <c r="B4818" s="1" t="str">
        <f>"9781849403849"</f>
        <v>9781849403849</v>
      </c>
      <c r="C4818" s="1" t="s">
        <v>8994</v>
      </c>
      <c r="D4818" s="2">
        <v>37986</v>
      </c>
      <c r="E4818" s="1" t="s">
        <v>9645</v>
      </c>
      <c r="F4818" s="1" t="s">
        <v>291</v>
      </c>
    </row>
    <row r="4819" spans="1:6" ht="30" customHeight="1" x14ac:dyDescent="0.25">
      <c r="A4819" s="1" t="s">
        <v>9646</v>
      </c>
      <c r="B4819" s="1" t="str">
        <f>"9781849403887"</f>
        <v>9781849403887</v>
      </c>
      <c r="C4819" s="1" t="s">
        <v>8994</v>
      </c>
      <c r="D4819" s="2">
        <v>37986</v>
      </c>
      <c r="E4819" s="1" t="s">
        <v>9647</v>
      </c>
      <c r="F4819" s="1" t="s">
        <v>13</v>
      </c>
    </row>
    <row r="4820" spans="1:6" ht="30" customHeight="1" x14ac:dyDescent="0.25">
      <c r="A4820" s="1" t="s">
        <v>9648</v>
      </c>
      <c r="B4820" s="1" t="str">
        <f>"9781849403979"</f>
        <v>9781849403979</v>
      </c>
      <c r="C4820" s="1" t="s">
        <v>68</v>
      </c>
      <c r="D4820" s="2">
        <v>37986</v>
      </c>
      <c r="E4820" s="1" t="s">
        <v>9649</v>
      </c>
      <c r="F4820" s="1" t="s">
        <v>13</v>
      </c>
    </row>
    <row r="4821" spans="1:6" ht="30" customHeight="1" x14ac:dyDescent="0.25">
      <c r="A4821" s="1" t="s">
        <v>9650</v>
      </c>
      <c r="B4821" s="1" t="str">
        <f>"9781849404020"</f>
        <v>9781849404020</v>
      </c>
      <c r="C4821" s="1" t="s">
        <v>68</v>
      </c>
      <c r="D4821" s="2">
        <v>37879</v>
      </c>
      <c r="E4821" s="1" t="s">
        <v>9651</v>
      </c>
      <c r="F4821" s="1" t="s">
        <v>13</v>
      </c>
    </row>
    <row r="4822" spans="1:6" ht="30" customHeight="1" x14ac:dyDescent="0.25">
      <c r="A4822" s="1" t="s">
        <v>9652</v>
      </c>
      <c r="B4822" s="1" t="str">
        <f>"9781849403313"</f>
        <v>9781849403313</v>
      </c>
      <c r="C4822" s="1" t="s">
        <v>8994</v>
      </c>
      <c r="D4822" s="2">
        <v>37602</v>
      </c>
      <c r="E4822" s="1" t="s">
        <v>9653</v>
      </c>
      <c r="F4822" s="1" t="s">
        <v>13</v>
      </c>
    </row>
    <row r="4823" spans="1:6" ht="30" customHeight="1" x14ac:dyDescent="0.25">
      <c r="A4823" s="1" t="s">
        <v>9654</v>
      </c>
      <c r="B4823" s="1" t="str">
        <f>"9781849403450"</f>
        <v>9781849403450</v>
      </c>
      <c r="C4823" s="1" t="s">
        <v>68</v>
      </c>
      <c r="D4823" s="2">
        <v>37621</v>
      </c>
      <c r="E4823" s="1" t="s">
        <v>9655</v>
      </c>
      <c r="F4823" s="1" t="s">
        <v>104</v>
      </c>
    </row>
    <row r="4824" spans="1:6" ht="30" customHeight="1" x14ac:dyDescent="0.25">
      <c r="A4824" s="1" t="s">
        <v>9656</v>
      </c>
      <c r="B4824" s="1" t="str">
        <f>"9781849403528"</f>
        <v>9781849403528</v>
      </c>
      <c r="C4824" s="1" t="s">
        <v>68</v>
      </c>
      <c r="D4824" s="2">
        <v>37621</v>
      </c>
      <c r="E4824" s="1" t="s">
        <v>9657</v>
      </c>
      <c r="F4824" s="1" t="s">
        <v>13</v>
      </c>
    </row>
    <row r="4825" spans="1:6" ht="30" customHeight="1" x14ac:dyDescent="0.25">
      <c r="A4825" s="1" t="s">
        <v>9658</v>
      </c>
      <c r="B4825" s="1" t="str">
        <f>"9781849403535"</f>
        <v>9781849403535</v>
      </c>
      <c r="C4825" s="1" t="s">
        <v>8994</v>
      </c>
      <c r="D4825" s="2">
        <v>37621</v>
      </c>
      <c r="E4825" s="1" t="s">
        <v>9659</v>
      </c>
      <c r="F4825" s="1" t="s">
        <v>13</v>
      </c>
    </row>
    <row r="4826" spans="1:6" ht="30" customHeight="1" x14ac:dyDescent="0.25">
      <c r="A4826" s="1" t="s">
        <v>9660</v>
      </c>
      <c r="B4826" s="1" t="str">
        <f>"9781849403566"</f>
        <v>9781849403566</v>
      </c>
      <c r="C4826" s="1" t="s">
        <v>68</v>
      </c>
      <c r="D4826" s="2">
        <v>37621</v>
      </c>
      <c r="E4826" s="1" t="s">
        <v>9661</v>
      </c>
      <c r="F4826" s="1" t="s">
        <v>13</v>
      </c>
    </row>
    <row r="4827" spans="1:6" ht="30" customHeight="1" x14ac:dyDescent="0.25">
      <c r="A4827" s="1" t="s">
        <v>9662</v>
      </c>
      <c r="B4827" s="1" t="str">
        <f>"9781849403061"</f>
        <v>9781849403061</v>
      </c>
      <c r="C4827" s="1" t="s">
        <v>8994</v>
      </c>
      <c r="D4827" s="2">
        <v>37256</v>
      </c>
      <c r="E4827" s="1" t="s">
        <v>9663</v>
      </c>
      <c r="F4827" s="1" t="s">
        <v>104</v>
      </c>
    </row>
    <row r="4828" spans="1:6" ht="30" customHeight="1" x14ac:dyDescent="0.25">
      <c r="A4828" s="1" t="s">
        <v>9664</v>
      </c>
      <c r="B4828" s="1" t="str">
        <f>"9781849403085"</f>
        <v>9781849403085</v>
      </c>
      <c r="C4828" s="1" t="s">
        <v>8994</v>
      </c>
      <c r="D4828" s="2">
        <v>37256</v>
      </c>
      <c r="E4828" s="1" t="s">
        <v>9665</v>
      </c>
      <c r="F4828" s="1" t="s">
        <v>13</v>
      </c>
    </row>
    <row r="4829" spans="1:6" ht="30" customHeight="1" x14ac:dyDescent="0.25">
      <c r="A4829" s="1" t="s">
        <v>9666</v>
      </c>
      <c r="B4829" s="1" t="str">
        <f>"9781849403122"</f>
        <v>9781849403122</v>
      </c>
      <c r="C4829" s="1" t="s">
        <v>8994</v>
      </c>
      <c r="D4829" s="2">
        <v>37256</v>
      </c>
      <c r="E4829" s="1" t="s">
        <v>9667</v>
      </c>
      <c r="F4829" s="1" t="s">
        <v>13</v>
      </c>
    </row>
    <row r="4830" spans="1:6" ht="30" customHeight="1" x14ac:dyDescent="0.25">
      <c r="A4830" s="1" t="s">
        <v>9668</v>
      </c>
      <c r="B4830" s="1" t="str">
        <f>"9781849403139"</f>
        <v>9781849403139</v>
      </c>
      <c r="C4830" s="1" t="s">
        <v>68</v>
      </c>
      <c r="D4830" s="2">
        <v>37256</v>
      </c>
      <c r="E4830" s="1" t="s">
        <v>9017</v>
      </c>
      <c r="F4830" s="1" t="s">
        <v>13</v>
      </c>
    </row>
    <row r="4831" spans="1:6" ht="30" customHeight="1" x14ac:dyDescent="0.25">
      <c r="A4831" s="1" t="s">
        <v>9669</v>
      </c>
      <c r="B4831" s="1" t="str">
        <f>"9781849403153"</f>
        <v>9781849403153</v>
      </c>
      <c r="C4831" s="1" t="s">
        <v>68</v>
      </c>
      <c r="D4831" s="2">
        <v>37256</v>
      </c>
      <c r="E4831" s="1" t="s">
        <v>9670</v>
      </c>
      <c r="F4831" s="1" t="s">
        <v>13</v>
      </c>
    </row>
    <row r="4832" spans="1:6" ht="30" customHeight="1" x14ac:dyDescent="0.25">
      <c r="A4832" s="1" t="s">
        <v>9671</v>
      </c>
      <c r="B4832" s="1" t="str">
        <f>"9781849403177"</f>
        <v>9781849403177</v>
      </c>
      <c r="C4832" s="1" t="s">
        <v>8994</v>
      </c>
      <c r="D4832" s="2">
        <v>37256</v>
      </c>
      <c r="E4832" s="1" t="s">
        <v>9672</v>
      </c>
      <c r="F4832" s="1" t="s">
        <v>13</v>
      </c>
    </row>
    <row r="4833" spans="1:6" ht="30" customHeight="1" x14ac:dyDescent="0.25">
      <c r="A4833" s="1" t="s">
        <v>9673</v>
      </c>
      <c r="B4833" s="1" t="str">
        <f>"9781849403184"</f>
        <v>9781849403184</v>
      </c>
      <c r="C4833" s="1" t="s">
        <v>8994</v>
      </c>
      <c r="D4833" s="2">
        <v>37256</v>
      </c>
      <c r="E4833" s="1" t="s">
        <v>9674</v>
      </c>
      <c r="F4833" s="1" t="s">
        <v>291</v>
      </c>
    </row>
    <row r="4834" spans="1:6" ht="30" customHeight="1" x14ac:dyDescent="0.25">
      <c r="A4834" s="1" t="s">
        <v>9675</v>
      </c>
      <c r="B4834" s="1" t="str">
        <f>"9781849403191"</f>
        <v>9781849403191</v>
      </c>
      <c r="C4834" s="1" t="s">
        <v>68</v>
      </c>
      <c r="D4834" s="2">
        <v>37256</v>
      </c>
      <c r="E4834" s="1" t="s">
        <v>9676</v>
      </c>
      <c r="F4834" s="1" t="s">
        <v>13</v>
      </c>
    </row>
    <row r="4835" spans="1:6" ht="30" customHeight="1" x14ac:dyDescent="0.25">
      <c r="A4835" s="1" t="s">
        <v>9677</v>
      </c>
      <c r="B4835" s="1" t="str">
        <f>"9781849403207"</f>
        <v>9781849403207</v>
      </c>
      <c r="C4835" s="1" t="s">
        <v>8994</v>
      </c>
      <c r="D4835" s="2">
        <v>37256</v>
      </c>
      <c r="E4835" s="1" t="s">
        <v>9678</v>
      </c>
      <c r="F4835" s="1" t="s">
        <v>33</v>
      </c>
    </row>
    <row r="4836" spans="1:6" ht="30" customHeight="1" x14ac:dyDescent="0.25">
      <c r="A4836" s="1" t="s">
        <v>9679</v>
      </c>
      <c r="B4836" s="1" t="str">
        <f>"9781849403214"</f>
        <v>9781849403214</v>
      </c>
      <c r="C4836" s="1" t="s">
        <v>8994</v>
      </c>
      <c r="D4836" s="2">
        <v>37256</v>
      </c>
      <c r="E4836" s="1" t="s">
        <v>9680</v>
      </c>
      <c r="F4836" s="1" t="s">
        <v>13</v>
      </c>
    </row>
    <row r="4837" spans="1:6" ht="30" customHeight="1" x14ac:dyDescent="0.25">
      <c r="A4837" s="1" t="s">
        <v>9681</v>
      </c>
      <c r="B4837" s="1" t="str">
        <f>"9781849403238"</f>
        <v>9781849403238</v>
      </c>
      <c r="C4837" s="1" t="s">
        <v>8994</v>
      </c>
      <c r="D4837" s="2">
        <v>37256</v>
      </c>
      <c r="E4837" s="1" t="s">
        <v>9682</v>
      </c>
      <c r="F4837" s="1" t="s">
        <v>291</v>
      </c>
    </row>
    <row r="4838" spans="1:6" ht="30" customHeight="1" x14ac:dyDescent="0.25">
      <c r="A4838" s="1" t="s">
        <v>9683</v>
      </c>
      <c r="B4838" s="1" t="str">
        <f>"9781849403252"</f>
        <v>9781849403252</v>
      </c>
      <c r="C4838" s="1" t="s">
        <v>68</v>
      </c>
      <c r="D4838" s="2">
        <v>37256</v>
      </c>
      <c r="E4838" s="1" t="s">
        <v>9684</v>
      </c>
      <c r="F4838" s="1" t="s">
        <v>104</v>
      </c>
    </row>
    <row r="4839" spans="1:6" ht="30" customHeight="1" x14ac:dyDescent="0.25">
      <c r="A4839" s="1" t="s">
        <v>9685</v>
      </c>
      <c r="B4839" s="1" t="str">
        <f>"9781849403269"</f>
        <v>9781849403269</v>
      </c>
      <c r="C4839" s="1" t="s">
        <v>8994</v>
      </c>
      <c r="D4839" s="2">
        <v>37256</v>
      </c>
      <c r="E4839" s="1" t="s">
        <v>9686</v>
      </c>
      <c r="F4839" s="1" t="s">
        <v>291</v>
      </c>
    </row>
    <row r="4840" spans="1:6" ht="30" customHeight="1" x14ac:dyDescent="0.25">
      <c r="A4840" s="1" t="s">
        <v>9687</v>
      </c>
      <c r="B4840" s="1" t="str">
        <f>"9781849402828"</f>
        <v>9781849402828</v>
      </c>
      <c r="C4840" s="1" t="s">
        <v>8994</v>
      </c>
      <c r="D4840" s="2">
        <v>36891</v>
      </c>
      <c r="E4840" s="1" t="s">
        <v>9688</v>
      </c>
      <c r="F4840" s="1" t="s">
        <v>104</v>
      </c>
    </row>
    <row r="4841" spans="1:6" ht="30" customHeight="1" x14ac:dyDescent="0.25">
      <c r="A4841" s="1" t="s">
        <v>9689</v>
      </c>
      <c r="B4841" s="1" t="str">
        <f>"9781849402859"</f>
        <v>9781849402859</v>
      </c>
      <c r="C4841" s="1" t="s">
        <v>8994</v>
      </c>
      <c r="D4841" s="2">
        <v>36891</v>
      </c>
      <c r="E4841" s="1" t="s">
        <v>9690</v>
      </c>
      <c r="F4841" s="1" t="s">
        <v>291</v>
      </c>
    </row>
    <row r="4842" spans="1:6" ht="30" customHeight="1" x14ac:dyDescent="0.25">
      <c r="A4842" s="1" t="s">
        <v>9691</v>
      </c>
      <c r="B4842" s="1" t="str">
        <f>"9781849402903"</f>
        <v>9781849402903</v>
      </c>
      <c r="C4842" s="1" t="s">
        <v>8994</v>
      </c>
      <c r="D4842" s="2">
        <v>36891</v>
      </c>
      <c r="E4842" s="1" t="s">
        <v>9692</v>
      </c>
      <c r="F4842" s="1" t="s">
        <v>13</v>
      </c>
    </row>
    <row r="4843" spans="1:6" ht="30" customHeight="1" x14ac:dyDescent="0.25">
      <c r="A4843" s="1" t="s">
        <v>9693</v>
      </c>
      <c r="B4843" s="1" t="str">
        <f>"9781849402651"</f>
        <v>9781849402651</v>
      </c>
      <c r="C4843" s="1" t="s">
        <v>8994</v>
      </c>
      <c r="D4843" s="2">
        <v>36525</v>
      </c>
      <c r="E4843" s="1" t="s">
        <v>9694</v>
      </c>
      <c r="F4843" s="1" t="s">
        <v>13</v>
      </c>
    </row>
    <row r="4844" spans="1:6" ht="30" customHeight="1" x14ac:dyDescent="0.25">
      <c r="A4844" s="1" t="s">
        <v>9695</v>
      </c>
      <c r="B4844" s="1" t="str">
        <f>"9781849402675"</f>
        <v>9781849402675</v>
      </c>
      <c r="C4844" s="1" t="s">
        <v>8994</v>
      </c>
      <c r="D4844" s="2">
        <v>36525</v>
      </c>
      <c r="E4844" s="1" t="s">
        <v>9017</v>
      </c>
      <c r="F4844" s="1" t="s">
        <v>13</v>
      </c>
    </row>
    <row r="4845" spans="1:6" ht="30" customHeight="1" x14ac:dyDescent="0.25">
      <c r="A4845" s="1" t="s">
        <v>9696</v>
      </c>
      <c r="B4845" s="1" t="str">
        <f>"9781849402699"</f>
        <v>9781849402699</v>
      </c>
      <c r="C4845" s="1" t="s">
        <v>8994</v>
      </c>
      <c r="D4845" s="2">
        <v>36525</v>
      </c>
      <c r="E4845" s="1" t="s">
        <v>9697</v>
      </c>
      <c r="F4845" s="1" t="s">
        <v>13</v>
      </c>
    </row>
    <row r="4846" spans="1:6" ht="30" customHeight="1" x14ac:dyDescent="0.25">
      <c r="A4846" s="1" t="s">
        <v>9698</v>
      </c>
      <c r="B4846" s="1" t="str">
        <f>"9781849402712"</f>
        <v>9781849402712</v>
      </c>
      <c r="C4846" s="1" t="s">
        <v>8994</v>
      </c>
      <c r="D4846" s="2">
        <v>36525</v>
      </c>
      <c r="E4846" s="1" t="s">
        <v>9699</v>
      </c>
      <c r="F4846" s="1" t="s">
        <v>13</v>
      </c>
    </row>
    <row r="4847" spans="1:6" ht="30" customHeight="1" x14ac:dyDescent="0.25">
      <c r="A4847" s="1" t="s">
        <v>9700</v>
      </c>
      <c r="B4847" s="1" t="str">
        <f>"9781849402750"</f>
        <v>9781849402750</v>
      </c>
      <c r="C4847" s="1" t="s">
        <v>68</v>
      </c>
      <c r="D4847" s="2">
        <v>36525</v>
      </c>
      <c r="E4847" s="1" t="s">
        <v>9701</v>
      </c>
      <c r="F4847" s="1" t="s">
        <v>13</v>
      </c>
    </row>
    <row r="4848" spans="1:6" ht="30" customHeight="1" x14ac:dyDescent="0.25">
      <c r="A4848" s="1" t="s">
        <v>9702</v>
      </c>
      <c r="B4848" s="1" t="str">
        <f>"9781849402439"</f>
        <v>9781849402439</v>
      </c>
      <c r="C4848" s="1" t="s">
        <v>8994</v>
      </c>
      <c r="D4848" s="2">
        <v>36160</v>
      </c>
      <c r="E4848" s="1" t="s">
        <v>9703</v>
      </c>
      <c r="F4848" s="1" t="s">
        <v>13</v>
      </c>
    </row>
    <row r="4849" spans="1:6" ht="30" customHeight="1" x14ac:dyDescent="0.25">
      <c r="A4849" s="1" t="s">
        <v>9704</v>
      </c>
      <c r="B4849" s="1" t="str">
        <f>"9781849402453"</f>
        <v>9781849402453</v>
      </c>
      <c r="C4849" s="1" t="s">
        <v>68</v>
      </c>
      <c r="D4849" s="2">
        <v>36160</v>
      </c>
      <c r="E4849" s="1" t="s">
        <v>9705</v>
      </c>
      <c r="F4849" s="1" t="s">
        <v>13</v>
      </c>
    </row>
    <row r="4850" spans="1:6" ht="30" customHeight="1" x14ac:dyDescent="0.25">
      <c r="A4850" s="1" t="s">
        <v>9706</v>
      </c>
      <c r="B4850" s="1" t="str">
        <f>"9781849402460"</f>
        <v>9781849402460</v>
      </c>
      <c r="C4850" s="1" t="s">
        <v>8994</v>
      </c>
      <c r="D4850" s="2">
        <v>36160</v>
      </c>
      <c r="E4850" s="1" t="s">
        <v>9707</v>
      </c>
      <c r="F4850" s="1" t="s">
        <v>104</v>
      </c>
    </row>
    <row r="4851" spans="1:6" ht="30" customHeight="1" x14ac:dyDescent="0.25">
      <c r="A4851" s="1" t="s">
        <v>9708</v>
      </c>
      <c r="B4851" s="1" t="str">
        <f>"9781849402477"</f>
        <v>9781849402477</v>
      </c>
      <c r="C4851" s="1" t="s">
        <v>8994</v>
      </c>
      <c r="D4851" s="2">
        <v>36160</v>
      </c>
      <c r="E4851" s="1" t="s">
        <v>9709</v>
      </c>
      <c r="F4851" s="1" t="s">
        <v>291</v>
      </c>
    </row>
    <row r="4852" spans="1:6" ht="30" customHeight="1" x14ac:dyDescent="0.25">
      <c r="A4852" s="1" t="s">
        <v>9710</v>
      </c>
      <c r="B4852" s="1" t="str">
        <f>"9781849402484"</f>
        <v>9781849402484</v>
      </c>
      <c r="C4852" s="1" t="s">
        <v>68</v>
      </c>
      <c r="D4852" s="2">
        <v>36160</v>
      </c>
      <c r="E4852" s="1" t="s">
        <v>9711</v>
      </c>
      <c r="F4852" s="1" t="s">
        <v>13</v>
      </c>
    </row>
    <row r="4853" spans="1:6" ht="30" customHeight="1" x14ac:dyDescent="0.25">
      <c r="A4853" s="1" t="s">
        <v>9712</v>
      </c>
      <c r="B4853" s="1" t="str">
        <f>"9781849402507"</f>
        <v>9781849402507</v>
      </c>
      <c r="C4853" s="1" t="s">
        <v>8994</v>
      </c>
      <c r="D4853" s="2">
        <v>36160</v>
      </c>
      <c r="E4853" s="1" t="s">
        <v>9713</v>
      </c>
      <c r="F4853" s="1" t="s">
        <v>104</v>
      </c>
    </row>
    <row r="4854" spans="1:6" ht="30" customHeight="1" x14ac:dyDescent="0.25">
      <c r="A4854" s="1" t="s">
        <v>9714</v>
      </c>
      <c r="B4854" s="1" t="str">
        <f>"9781849402521"</f>
        <v>9781849402521</v>
      </c>
      <c r="C4854" s="1" t="s">
        <v>8994</v>
      </c>
      <c r="D4854" s="2">
        <v>36160</v>
      </c>
      <c r="E4854" s="1" t="s">
        <v>9715</v>
      </c>
      <c r="F4854" s="1" t="s">
        <v>13</v>
      </c>
    </row>
    <row r="4855" spans="1:6" ht="30" customHeight="1" x14ac:dyDescent="0.25">
      <c r="A4855" s="1" t="s">
        <v>9716</v>
      </c>
      <c r="B4855" s="1" t="str">
        <f>"9781849401708"</f>
        <v>9781849401708</v>
      </c>
      <c r="C4855" s="1" t="s">
        <v>68</v>
      </c>
      <c r="D4855" s="2">
        <v>34699</v>
      </c>
      <c r="E4855" s="1" t="s">
        <v>9717</v>
      </c>
      <c r="F4855" s="1" t="s">
        <v>13</v>
      </c>
    </row>
    <row r="4856" spans="1:6" ht="30" customHeight="1" x14ac:dyDescent="0.25">
      <c r="A4856" s="1" t="s">
        <v>9718</v>
      </c>
      <c r="B4856" s="1" t="str">
        <f>"9781849401722"</f>
        <v>9781849401722</v>
      </c>
      <c r="C4856" s="1" t="s">
        <v>8994</v>
      </c>
      <c r="D4856" s="2">
        <v>34699</v>
      </c>
      <c r="E4856" s="1" t="s">
        <v>9719</v>
      </c>
      <c r="F4856" s="1" t="s">
        <v>13</v>
      </c>
    </row>
    <row r="4857" spans="1:6" ht="30" customHeight="1" x14ac:dyDescent="0.25">
      <c r="A4857" s="1" t="s">
        <v>9720</v>
      </c>
      <c r="B4857" s="1" t="str">
        <f>"9781849401753"</f>
        <v>9781849401753</v>
      </c>
      <c r="C4857" s="1" t="s">
        <v>8994</v>
      </c>
      <c r="D4857" s="2">
        <v>34699</v>
      </c>
      <c r="E4857" s="1" t="s">
        <v>9721</v>
      </c>
      <c r="F4857" s="1" t="s">
        <v>127</v>
      </c>
    </row>
    <row r="4858" spans="1:6" ht="30" customHeight="1" x14ac:dyDescent="0.25">
      <c r="A4858" s="1" t="s">
        <v>9722</v>
      </c>
      <c r="B4858" s="1" t="str">
        <f>"9781849401852"</f>
        <v>9781849401852</v>
      </c>
      <c r="C4858" s="1" t="s">
        <v>68</v>
      </c>
      <c r="D4858" s="2">
        <v>35064</v>
      </c>
      <c r="E4858" s="1" t="s">
        <v>9723</v>
      </c>
      <c r="F4858" s="1" t="s">
        <v>304</v>
      </c>
    </row>
    <row r="4859" spans="1:6" ht="30" customHeight="1" x14ac:dyDescent="0.25">
      <c r="A4859" s="1" t="s">
        <v>9724</v>
      </c>
      <c r="B4859" s="1" t="str">
        <f>"9781849401876"</f>
        <v>9781849401876</v>
      </c>
      <c r="C4859" s="1" t="s">
        <v>68</v>
      </c>
      <c r="D4859" s="2">
        <v>35064</v>
      </c>
      <c r="E4859" s="1" t="s">
        <v>9725</v>
      </c>
      <c r="F4859" s="1" t="s">
        <v>13</v>
      </c>
    </row>
    <row r="4860" spans="1:6" ht="30" customHeight="1" x14ac:dyDescent="0.25">
      <c r="A4860" s="1" t="s">
        <v>9726</v>
      </c>
      <c r="B4860" s="1" t="str">
        <f>"9781849401883"</f>
        <v>9781849401883</v>
      </c>
      <c r="C4860" s="1" t="s">
        <v>68</v>
      </c>
      <c r="D4860" s="2">
        <v>35064</v>
      </c>
      <c r="E4860" s="1" t="s">
        <v>373</v>
      </c>
      <c r="F4860" s="1" t="s">
        <v>13</v>
      </c>
    </row>
    <row r="4861" spans="1:6" ht="30" customHeight="1" x14ac:dyDescent="0.25">
      <c r="A4861" s="1" t="s">
        <v>9727</v>
      </c>
      <c r="B4861" s="1" t="str">
        <f>"9781849401890"</f>
        <v>9781849401890</v>
      </c>
      <c r="C4861" s="1" t="s">
        <v>8994</v>
      </c>
      <c r="D4861" s="2">
        <v>35064</v>
      </c>
      <c r="E4861" s="1" t="s">
        <v>9728</v>
      </c>
      <c r="F4861" s="1" t="s">
        <v>13</v>
      </c>
    </row>
    <row r="4862" spans="1:6" ht="30" customHeight="1" x14ac:dyDescent="0.25">
      <c r="A4862" s="1" t="s">
        <v>9729</v>
      </c>
      <c r="B4862" s="1" t="str">
        <f>"9781849401920"</f>
        <v>9781849401920</v>
      </c>
      <c r="C4862" s="1" t="s">
        <v>8994</v>
      </c>
      <c r="D4862" s="2">
        <v>35064</v>
      </c>
      <c r="E4862" s="1" t="s">
        <v>9730</v>
      </c>
      <c r="F4862" s="1" t="s">
        <v>13</v>
      </c>
    </row>
    <row r="4863" spans="1:6" ht="30" customHeight="1" x14ac:dyDescent="0.25">
      <c r="A4863" s="1" t="s">
        <v>9731</v>
      </c>
      <c r="B4863" s="1" t="str">
        <f>"9781849402002"</f>
        <v>9781849402002</v>
      </c>
      <c r="C4863" s="1" t="s">
        <v>8994</v>
      </c>
      <c r="D4863" s="2">
        <v>35430</v>
      </c>
      <c r="E4863" s="1" t="s">
        <v>9732</v>
      </c>
      <c r="F4863" s="1" t="s">
        <v>13</v>
      </c>
    </row>
    <row r="4864" spans="1:6" ht="30" customHeight="1" x14ac:dyDescent="0.25">
      <c r="A4864" s="1" t="s">
        <v>9733</v>
      </c>
      <c r="B4864" s="1" t="str">
        <f>"9781849402019"</f>
        <v>9781849402019</v>
      </c>
      <c r="C4864" s="1" t="s">
        <v>8994</v>
      </c>
      <c r="D4864" s="2">
        <v>35430</v>
      </c>
      <c r="E4864" s="1" t="s">
        <v>9734</v>
      </c>
      <c r="F4864" s="1" t="s">
        <v>13</v>
      </c>
    </row>
    <row r="4865" spans="1:6" ht="30" customHeight="1" x14ac:dyDescent="0.25">
      <c r="A4865" s="1" t="s">
        <v>9735</v>
      </c>
      <c r="B4865" s="1" t="str">
        <f>"9781849402118"</f>
        <v>9781849402118</v>
      </c>
      <c r="C4865" s="1" t="s">
        <v>8994</v>
      </c>
      <c r="D4865" s="2">
        <v>35430</v>
      </c>
      <c r="E4865" s="1" t="s">
        <v>9736</v>
      </c>
      <c r="F4865" s="1" t="s">
        <v>13</v>
      </c>
    </row>
    <row r="4866" spans="1:6" ht="30" customHeight="1" x14ac:dyDescent="0.25">
      <c r="A4866" s="1" t="s">
        <v>9737</v>
      </c>
      <c r="B4866" s="1" t="str">
        <f>"9781849402170"</f>
        <v>9781849402170</v>
      </c>
      <c r="C4866" s="1" t="s">
        <v>68</v>
      </c>
      <c r="D4866" s="2">
        <v>35795</v>
      </c>
      <c r="E4866" s="1" t="s">
        <v>9738</v>
      </c>
      <c r="F4866" s="1" t="s">
        <v>13</v>
      </c>
    </row>
    <row r="4867" spans="1:6" ht="30" customHeight="1" x14ac:dyDescent="0.25">
      <c r="A4867" s="1" t="s">
        <v>9739</v>
      </c>
      <c r="B4867" s="1" t="str">
        <f>"9781849402200"</f>
        <v>9781849402200</v>
      </c>
      <c r="C4867" s="1" t="s">
        <v>8994</v>
      </c>
      <c r="D4867" s="2">
        <v>35795</v>
      </c>
      <c r="E4867" s="1" t="s">
        <v>9740</v>
      </c>
      <c r="F4867" s="1" t="s">
        <v>291</v>
      </c>
    </row>
    <row r="4868" spans="1:6" ht="30" customHeight="1" x14ac:dyDescent="0.25">
      <c r="A4868" s="1" t="s">
        <v>9741</v>
      </c>
      <c r="B4868" s="1" t="str">
        <f>"9781849402255"</f>
        <v>9781849402255</v>
      </c>
      <c r="C4868" s="1" t="s">
        <v>68</v>
      </c>
      <c r="D4868" s="2">
        <v>35795</v>
      </c>
      <c r="E4868" s="1" t="s">
        <v>9742</v>
      </c>
      <c r="F4868" s="1" t="s">
        <v>158</v>
      </c>
    </row>
    <row r="4869" spans="1:6" ht="30" customHeight="1" x14ac:dyDescent="0.25">
      <c r="A4869" s="1" t="s">
        <v>9743</v>
      </c>
      <c r="B4869" s="1" t="str">
        <f>"9781849402262"</f>
        <v>9781849402262</v>
      </c>
      <c r="C4869" s="1" t="s">
        <v>8994</v>
      </c>
      <c r="D4869" s="2">
        <v>35795</v>
      </c>
      <c r="E4869" s="1" t="s">
        <v>9744</v>
      </c>
      <c r="F4869" s="1" t="s">
        <v>13</v>
      </c>
    </row>
    <row r="4870" spans="1:6" ht="30" customHeight="1" x14ac:dyDescent="0.25">
      <c r="A4870" s="1" t="s">
        <v>9745</v>
      </c>
      <c r="B4870" s="1" t="str">
        <f>"9781849402286"</f>
        <v>9781849402286</v>
      </c>
      <c r="C4870" s="1" t="s">
        <v>8994</v>
      </c>
      <c r="D4870" s="2">
        <v>35795</v>
      </c>
      <c r="E4870" s="1" t="s">
        <v>9746</v>
      </c>
      <c r="F4870" s="1" t="s">
        <v>13</v>
      </c>
    </row>
    <row r="4871" spans="1:6" ht="30" customHeight="1" x14ac:dyDescent="0.25">
      <c r="A4871" s="1" t="s">
        <v>9747</v>
      </c>
      <c r="B4871" s="1" t="str">
        <f>"9781849402293"</f>
        <v>9781849402293</v>
      </c>
      <c r="C4871" s="1" t="s">
        <v>68</v>
      </c>
      <c r="D4871" s="2">
        <v>35795</v>
      </c>
      <c r="E4871" s="1" t="s">
        <v>9748</v>
      </c>
      <c r="F4871" s="1" t="s">
        <v>13</v>
      </c>
    </row>
    <row r="4872" spans="1:6" ht="30" customHeight="1" x14ac:dyDescent="0.25">
      <c r="A4872" s="1" t="s">
        <v>9749</v>
      </c>
      <c r="B4872" s="1" t="str">
        <f>"9781849402309"</f>
        <v>9781849402309</v>
      </c>
      <c r="C4872" s="1" t="s">
        <v>8994</v>
      </c>
      <c r="D4872" s="2">
        <v>35795</v>
      </c>
      <c r="E4872" s="1" t="s">
        <v>9750</v>
      </c>
      <c r="F4872" s="1" t="s">
        <v>291</v>
      </c>
    </row>
    <row r="4873" spans="1:6" ht="30" customHeight="1" x14ac:dyDescent="0.25">
      <c r="A4873" s="1" t="s">
        <v>9751</v>
      </c>
      <c r="B4873" s="1" t="str">
        <f>"9781849402361"</f>
        <v>9781849402361</v>
      </c>
      <c r="C4873" s="1" t="s">
        <v>8994</v>
      </c>
      <c r="D4873" s="2">
        <v>35795</v>
      </c>
      <c r="E4873" s="1" t="s">
        <v>9752</v>
      </c>
      <c r="F4873" s="1" t="s">
        <v>13</v>
      </c>
    </row>
    <row r="4874" spans="1:6" ht="30" customHeight="1" x14ac:dyDescent="0.25">
      <c r="A4874" s="1" t="s">
        <v>9753</v>
      </c>
      <c r="B4874" s="1" t="str">
        <f>"9781849402385"</f>
        <v>9781849402385</v>
      </c>
      <c r="C4874" s="1" t="s">
        <v>8994</v>
      </c>
      <c r="D4874" s="2">
        <v>35795</v>
      </c>
      <c r="E4874" s="1" t="s">
        <v>9754</v>
      </c>
      <c r="F4874" s="1" t="s">
        <v>13</v>
      </c>
    </row>
    <row r="4875" spans="1:6" ht="30" customHeight="1" x14ac:dyDescent="0.25">
      <c r="A4875" s="1" t="s">
        <v>9755</v>
      </c>
      <c r="B4875" s="1" t="str">
        <f>"9781849402552"</f>
        <v>9781849402552</v>
      </c>
      <c r="C4875" s="1" t="s">
        <v>8994</v>
      </c>
      <c r="D4875" s="2">
        <v>36160</v>
      </c>
      <c r="E4875" s="1" t="s">
        <v>9756</v>
      </c>
      <c r="F4875" s="1" t="s">
        <v>13</v>
      </c>
    </row>
    <row r="4876" spans="1:6" ht="30" customHeight="1" x14ac:dyDescent="0.25">
      <c r="A4876" s="1" t="s">
        <v>9757</v>
      </c>
      <c r="B4876" s="1" t="str">
        <f>"9781617050497"</f>
        <v>9781617050497</v>
      </c>
      <c r="C4876" s="1" t="s">
        <v>2342</v>
      </c>
      <c r="D4876" s="2">
        <v>40647</v>
      </c>
      <c r="E4876" s="1" t="s">
        <v>9758</v>
      </c>
      <c r="F4876" s="1" t="s">
        <v>13</v>
      </c>
    </row>
    <row r="4877" spans="1:6" ht="30" customHeight="1" x14ac:dyDescent="0.25">
      <c r="A4877" s="1" t="s">
        <v>6279</v>
      </c>
      <c r="B4877" s="1" t="str">
        <f>"9781617050671"</f>
        <v>9781617050671</v>
      </c>
      <c r="C4877" s="1" t="s">
        <v>2342</v>
      </c>
      <c r="D4877" s="2">
        <v>40647</v>
      </c>
      <c r="E4877" s="1" t="s">
        <v>9759</v>
      </c>
      <c r="F4877" s="1" t="s">
        <v>13</v>
      </c>
    </row>
    <row r="4878" spans="1:6" ht="30" customHeight="1" x14ac:dyDescent="0.25">
      <c r="A4878" s="1" t="s">
        <v>9760</v>
      </c>
      <c r="B4878" s="1" t="str">
        <f>"9781598746181"</f>
        <v>9781598746181</v>
      </c>
      <c r="C4878" s="1" t="s">
        <v>68</v>
      </c>
      <c r="D4878" s="2">
        <v>40603</v>
      </c>
      <c r="E4878" s="1" t="s">
        <v>9761</v>
      </c>
      <c r="F4878" s="1" t="s">
        <v>200</v>
      </c>
    </row>
    <row r="4879" spans="1:6" ht="30" customHeight="1" x14ac:dyDescent="0.25">
      <c r="A4879" s="1" t="s">
        <v>9762</v>
      </c>
      <c r="B4879" s="1" t="str">
        <f>"9781439902219"</f>
        <v>9781439902219</v>
      </c>
      <c r="C4879" s="1" t="s">
        <v>3205</v>
      </c>
      <c r="D4879" s="2">
        <v>40391</v>
      </c>
      <c r="E4879" s="1" t="s">
        <v>9763</v>
      </c>
      <c r="F4879" s="1" t="s">
        <v>13</v>
      </c>
    </row>
    <row r="4880" spans="1:6" ht="30" customHeight="1" x14ac:dyDescent="0.25">
      <c r="A4880" s="1" t="s">
        <v>9764</v>
      </c>
      <c r="B4880" s="1" t="str">
        <f>"9789048514571"</f>
        <v>9789048514571</v>
      </c>
      <c r="C4880" s="1" t="s">
        <v>5455</v>
      </c>
      <c r="D4880" s="2">
        <v>40544</v>
      </c>
      <c r="E4880" s="1" t="s">
        <v>9765</v>
      </c>
      <c r="F4880" s="1" t="s">
        <v>13</v>
      </c>
    </row>
    <row r="4881" spans="1:6" ht="30" customHeight="1" x14ac:dyDescent="0.25">
      <c r="A4881" s="1" t="s">
        <v>9766</v>
      </c>
      <c r="B4881" s="1" t="str">
        <f>"9780335238163"</f>
        <v>9780335238163</v>
      </c>
      <c r="C4881" s="1" t="s">
        <v>2247</v>
      </c>
      <c r="D4881" s="2">
        <v>40544</v>
      </c>
      <c r="E4881" s="1" t="s">
        <v>9767</v>
      </c>
      <c r="F4881" s="1" t="s">
        <v>126</v>
      </c>
    </row>
    <row r="4882" spans="1:6" ht="30" customHeight="1" x14ac:dyDescent="0.25">
      <c r="A4882" s="1" t="s">
        <v>9768</v>
      </c>
      <c r="B4882" s="1" t="str">
        <f>"9780335241644"</f>
        <v>9780335241644</v>
      </c>
      <c r="C4882" s="1" t="s">
        <v>2247</v>
      </c>
      <c r="D4882" s="2">
        <v>40544</v>
      </c>
      <c r="E4882" s="1" t="s">
        <v>9769</v>
      </c>
      <c r="F4882" s="1" t="s">
        <v>650</v>
      </c>
    </row>
    <row r="4883" spans="1:6" ht="30" customHeight="1" x14ac:dyDescent="0.25">
      <c r="A4883" s="1" t="s">
        <v>9770</v>
      </c>
      <c r="B4883" s="1" t="str">
        <f>"9780335243600"</f>
        <v>9780335243600</v>
      </c>
      <c r="C4883" s="1" t="s">
        <v>2247</v>
      </c>
      <c r="D4883" s="2">
        <v>40544</v>
      </c>
      <c r="E4883" s="1" t="s">
        <v>9769</v>
      </c>
      <c r="F4883" s="1" t="s">
        <v>9771</v>
      </c>
    </row>
    <row r="4884" spans="1:6" ht="30" customHeight="1" x14ac:dyDescent="0.25">
      <c r="A4884" s="1" t="s">
        <v>9772</v>
      </c>
      <c r="B4884" s="1" t="str">
        <f>"9780335239771"</f>
        <v>9780335239771</v>
      </c>
      <c r="C4884" s="1" t="s">
        <v>2247</v>
      </c>
      <c r="D4884" s="2">
        <v>40544</v>
      </c>
      <c r="E4884" s="1" t="s">
        <v>9773</v>
      </c>
      <c r="F4884" s="1" t="s">
        <v>95</v>
      </c>
    </row>
    <row r="4885" spans="1:6" ht="30" customHeight="1" x14ac:dyDescent="0.25">
      <c r="A4885" s="1" t="s">
        <v>9774</v>
      </c>
      <c r="B4885" s="1" t="str">
        <f>"9780821387627"</f>
        <v>9780821387627</v>
      </c>
      <c r="C4885" s="1" t="s">
        <v>6702</v>
      </c>
      <c r="D4885" s="2">
        <v>40659</v>
      </c>
      <c r="E4885" s="1" t="s">
        <v>9775</v>
      </c>
      <c r="F4885" s="1" t="s">
        <v>95</v>
      </c>
    </row>
    <row r="4886" spans="1:6" ht="30" customHeight="1" x14ac:dyDescent="0.25">
      <c r="A4886" s="1" t="s">
        <v>9776</v>
      </c>
      <c r="B4886" s="1" t="str">
        <f>"9780821387252"</f>
        <v>9780821387252</v>
      </c>
      <c r="C4886" s="1" t="s">
        <v>6702</v>
      </c>
      <c r="D4886" s="2">
        <v>40696</v>
      </c>
      <c r="E4886" s="1" t="s">
        <v>9777</v>
      </c>
      <c r="F4886" s="1" t="s">
        <v>3390</v>
      </c>
    </row>
    <row r="4887" spans="1:6" ht="30" customHeight="1" x14ac:dyDescent="0.25">
      <c r="A4887" s="1" t="s">
        <v>9778</v>
      </c>
      <c r="B4887" s="1" t="str">
        <f>"9780821387276"</f>
        <v>9780821387276</v>
      </c>
      <c r="C4887" s="1" t="s">
        <v>6702</v>
      </c>
      <c r="D4887" s="2">
        <v>40696</v>
      </c>
      <c r="E4887" s="1" t="s">
        <v>9779</v>
      </c>
      <c r="F4887" s="1" t="s">
        <v>70</v>
      </c>
    </row>
    <row r="4888" spans="1:6" ht="30" customHeight="1" x14ac:dyDescent="0.25">
      <c r="A4888" s="1" t="s">
        <v>9780</v>
      </c>
      <c r="B4888" s="1" t="str">
        <f>"9780821387702"</f>
        <v>9780821387702</v>
      </c>
      <c r="C4888" s="1" t="s">
        <v>6702</v>
      </c>
      <c r="D4888" s="2">
        <v>40682</v>
      </c>
      <c r="E4888" s="1" t="s">
        <v>9781</v>
      </c>
      <c r="F4888" s="1" t="s">
        <v>30</v>
      </c>
    </row>
    <row r="4889" spans="1:6" ht="30" customHeight="1" x14ac:dyDescent="0.25">
      <c r="A4889" s="1" t="s">
        <v>9782</v>
      </c>
      <c r="B4889" s="1" t="str">
        <f>"9780821387962"</f>
        <v>9780821387962</v>
      </c>
      <c r="C4889" s="1" t="s">
        <v>6702</v>
      </c>
      <c r="D4889" s="2">
        <v>40709</v>
      </c>
      <c r="E4889" s="1" t="s">
        <v>9783</v>
      </c>
      <c r="F4889" s="1" t="s">
        <v>33</v>
      </c>
    </row>
    <row r="4890" spans="1:6" ht="30" customHeight="1" x14ac:dyDescent="0.25">
      <c r="A4890" s="1" t="s">
        <v>9784</v>
      </c>
      <c r="B4890" s="1" t="str">
        <f>"9780821384732"</f>
        <v>9780821384732</v>
      </c>
      <c r="C4890" s="1" t="s">
        <v>6702</v>
      </c>
      <c r="D4890" s="2">
        <v>40709</v>
      </c>
      <c r="E4890" s="1" t="s">
        <v>6812</v>
      </c>
      <c r="F4890" s="1" t="s">
        <v>95</v>
      </c>
    </row>
    <row r="4891" spans="1:6" ht="30" customHeight="1" x14ac:dyDescent="0.25">
      <c r="A4891" s="1" t="s">
        <v>9785</v>
      </c>
      <c r="B4891" s="1" t="str">
        <f>"9781442208520"</f>
        <v>9781442208520</v>
      </c>
      <c r="C4891" s="1" t="s">
        <v>8723</v>
      </c>
      <c r="D4891" s="2">
        <v>40740</v>
      </c>
      <c r="E4891" s="1" t="s">
        <v>9786</v>
      </c>
      <c r="F4891" s="1" t="s">
        <v>13</v>
      </c>
    </row>
    <row r="4892" spans="1:6" ht="30" customHeight="1" x14ac:dyDescent="0.25">
      <c r="A4892" s="1" t="s">
        <v>9787</v>
      </c>
      <c r="B4892" s="1" t="str">
        <f>"9781617050053"</f>
        <v>9781617050053</v>
      </c>
      <c r="C4892" s="1" t="s">
        <v>2342</v>
      </c>
      <c r="D4892" s="2">
        <v>40570</v>
      </c>
      <c r="E4892" s="1" t="s">
        <v>9788</v>
      </c>
      <c r="F4892" s="1" t="s">
        <v>13</v>
      </c>
    </row>
    <row r="4893" spans="1:6" ht="30" customHeight="1" x14ac:dyDescent="0.25">
      <c r="A4893" s="1" t="s">
        <v>9789</v>
      </c>
      <c r="B4893" s="1" t="str">
        <f>"9781849409032"</f>
        <v>9781849409032</v>
      </c>
      <c r="C4893" s="1" t="s">
        <v>68</v>
      </c>
      <c r="D4893" s="2">
        <v>40908</v>
      </c>
      <c r="E4893" s="1" t="s">
        <v>9790</v>
      </c>
      <c r="F4893" s="1" t="s">
        <v>205</v>
      </c>
    </row>
    <row r="4894" spans="1:6" ht="30" customHeight="1" x14ac:dyDescent="0.25">
      <c r="A4894" s="1" t="s">
        <v>9791</v>
      </c>
      <c r="B4894" s="1" t="str">
        <f>"9780748643745"</f>
        <v>9780748643745</v>
      </c>
      <c r="C4894" s="1" t="s">
        <v>3978</v>
      </c>
      <c r="D4894" s="2">
        <v>40679</v>
      </c>
      <c r="E4894" s="1" t="s">
        <v>9792</v>
      </c>
      <c r="F4894" s="1" t="s">
        <v>13</v>
      </c>
    </row>
    <row r="4895" spans="1:6" ht="30" customHeight="1" x14ac:dyDescent="0.25">
      <c r="A4895" s="1" t="s">
        <v>9793</v>
      </c>
      <c r="B4895" s="1" t="str">
        <f>"9780199876815"</f>
        <v>9780199876815</v>
      </c>
      <c r="C4895" s="1" t="s">
        <v>1123</v>
      </c>
      <c r="D4895" s="2">
        <v>40676</v>
      </c>
      <c r="E4895" s="1" t="s">
        <v>9794</v>
      </c>
      <c r="F4895" s="1" t="s">
        <v>137</v>
      </c>
    </row>
    <row r="4896" spans="1:6" ht="30" customHeight="1" x14ac:dyDescent="0.25">
      <c r="A4896" s="1" t="s">
        <v>9795</v>
      </c>
      <c r="B4896" s="1" t="str">
        <f>"9780199780945"</f>
        <v>9780199780945</v>
      </c>
      <c r="C4896" s="1" t="s">
        <v>1123</v>
      </c>
      <c r="D4896" s="2">
        <v>40513</v>
      </c>
      <c r="E4896" s="1" t="s">
        <v>9796</v>
      </c>
      <c r="F4896" s="1" t="s">
        <v>13</v>
      </c>
    </row>
    <row r="4897" spans="1:6" ht="30" customHeight="1" x14ac:dyDescent="0.25">
      <c r="A4897" s="1" t="s">
        <v>9797</v>
      </c>
      <c r="B4897" s="1" t="str">
        <f>"9780826106544"</f>
        <v>9780826106544</v>
      </c>
      <c r="C4897" s="1" t="s">
        <v>2339</v>
      </c>
      <c r="D4897" s="2">
        <v>40506</v>
      </c>
      <c r="E4897" s="1" t="s">
        <v>9798</v>
      </c>
      <c r="F4897" s="1" t="s">
        <v>126</v>
      </c>
    </row>
    <row r="4898" spans="1:6" ht="30" customHeight="1" x14ac:dyDescent="0.25">
      <c r="A4898" s="1" t="s">
        <v>9799</v>
      </c>
      <c r="B4898" s="1" t="str">
        <f>"9780826105745"</f>
        <v>9780826105745</v>
      </c>
      <c r="C4898" s="1" t="s">
        <v>2339</v>
      </c>
      <c r="D4898" s="2">
        <v>40513</v>
      </c>
      <c r="E4898" s="1" t="s">
        <v>9800</v>
      </c>
      <c r="F4898" s="1" t="s">
        <v>82</v>
      </c>
    </row>
    <row r="4899" spans="1:6" ht="30" customHeight="1" x14ac:dyDescent="0.25">
      <c r="A4899" s="1" t="s">
        <v>9801</v>
      </c>
      <c r="B4899" s="1" t="str">
        <f>"9780826106889"</f>
        <v>9780826106889</v>
      </c>
      <c r="C4899" s="1" t="s">
        <v>2339</v>
      </c>
      <c r="D4899" s="2">
        <v>40695</v>
      </c>
      <c r="E4899" s="1" t="s">
        <v>9802</v>
      </c>
      <c r="F4899" s="1" t="s">
        <v>95</v>
      </c>
    </row>
    <row r="4900" spans="1:6" ht="30" customHeight="1" x14ac:dyDescent="0.25">
      <c r="A4900" s="1" t="s">
        <v>9803</v>
      </c>
      <c r="B4900" s="1" t="str">
        <f>"9780826106582"</f>
        <v>9780826106582</v>
      </c>
      <c r="C4900" s="1" t="s">
        <v>2339</v>
      </c>
      <c r="D4900" s="2">
        <v>40655</v>
      </c>
      <c r="E4900" s="1" t="s">
        <v>9804</v>
      </c>
      <c r="F4900" s="1" t="s">
        <v>13</v>
      </c>
    </row>
    <row r="4901" spans="1:6" ht="30" customHeight="1" x14ac:dyDescent="0.25">
      <c r="A4901" s="1" t="s">
        <v>9805</v>
      </c>
      <c r="B4901" s="1" t="str">
        <f>"9780826116352"</f>
        <v>9780826116352</v>
      </c>
      <c r="C4901" s="1" t="s">
        <v>2339</v>
      </c>
      <c r="D4901" s="2">
        <v>40483</v>
      </c>
      <c r="E4901" s="1" t="s">
        <v>9806</v>
      </c>
      <c r="F4901" s="1" t="s">
        <v>75</v>
      </c>
    </row>
    <row r="4902" spans="1:6" ht="30" customHeight="1" x14ac:dyDescent="0.25">
      <c r="A4902" s="1" t="s">
        <v>9807</v>
      </c>
      <c r="B4902" s="1" t="str">
        <f>"9780826125880"</f>
        <v>9780826125880</v>
      </c>
      <c r="C4902" s="1" t="s">
        <v>2339</v>
      </c>
      <c r="D4902" s="2">
        <v>40571</v>
      </c>
      <c r="E4902" s="1" t="s">
        <v>9808</v>
      </c>
      <c r="F4902" s="1" t="s">
        <v>126</v>
      </c>
    </row>
    <row r="4903" spans="1:6" ht="30" customHeight="1" x14ac:dyDescent="0.25">
      <c r="A4903" s="1" t="s">
        <v>9809</v>
      </c>
      <c r="B4903" s="1" t="str">
        <f>"9780826105905"</f>
        <v>9780826105905</v>
      </c>
      <c r="C4903" s="1" t="s">
        <v>2339</v>
      </c>
      <c r="D4903" s="2">
        <v>40648</v>
      </c>
      <c r="E4903" s="1" t="s">
        <v>9810</v>
      </c>
      <c r="F4903" s="1" t="s">
        <v>126</v>
      </c>
    </row>
    <row r="4904" spans="1:6" ht="30" customHeight="1" x14ac:dyDescent="0.25">
      <c r="A4904" s="1" t="s">
        <v>9811</v>
      </c>
      <c r="B4904" s="1" t="str">
        <f>"9780826108340"</f>
        <v>9780826108340</v>
      </c>
      <c r="C4904" s="1" t="s">
        <v>2339</v>
      </c>
      <c r="D4904" s="2">
        <v>40598</v>
      </c>
      <c r="E4904" s="1" t="s">
        <v>9812</v>
      </c>
      <c r="F4904" s="1" t="s">
        <v>13</v>
      </c>
    </row>
    <row r="4905" spans="1:6" ht="30" customHeight="1" x14ac:dyDescent="0.25">
      <c r="A4905" s="1" t="s">
        <v>9813</v>
      </c>
      <c r="B4905" s="1" t="str">
        <f>"9780826106223"</f>
        <v>9780826106223</v>
      </c>
      <c r="C4905" s="1" t="s">
        <v>2339</v>
      </c>
      <c r="D4905" s="2">
        <v>40704</v>
      </c>
      <c r="E4905" s="1" t="s">
        <v>9814</v>
      </c>
      <c r="F4905" s="1" t="s">
        <v>13</v>
      </c>
    </row>
    <row r="4906" spans="1:6" ht="30" customHeight="1" x14ac:dyDescent="0.25">
      <c r="A4906" s="1" t="s">
        <v>9815</v>
      </c>
      <c r="B4906" s="1" t="str">
        <f>"9780826107138"</f>
        <v>9780826107138</v>
      </c>
      <c r="C4906" s="1" t="s">
        <v>2339</v>
      </c>
      <c r="D4906" s="2">
        <v>40714</v>
      </c>
      <c r="E4906" s="1" t="s">
        <v>9816</v>
      </c>
      <c r="F4906" s="1" t="s">
        <v>126</v>
      </c>
    </row>
    <row r="4907" spans="1:6" ht="30" customHeight="1" x14ac:dyDescent="0.25">
      <c r="A4907" s="1" t="s">
        <v>9817</v>
      </c>
      <c r="B4907" s="1" t="str">
        <f>"9780826108326"</f>
        <v>9780826108326</v>
      </c>
      <c r="C4907" s="1" t="s">
        <v>2339</v>
      </c>
      <c r="D4907" s="2">
        <v>40714</v>
      </c>
      <c r="E4907" s="1" t="s">
        <v>9818</v>
      </c>
      <c r="F4907" s="1" t="s">
        <v>13</v>
      </c>
    </row>
    <row r="4908" spans="1:6" ht="30" customHeight="1" x14ac:dyDescent="0.25">
      <c r="A4908" s="1" t="s">
        <v>9819</v>
      </c>
      <c r="B4908" s="1" t="str">
        <f>"9780826104779"</f>
        <v>9780826104779</v>
      </c>
      <c r="C4908" s="1" t="s">
        <v>2339</v>
      </c>
      <c r="D4908" s="2">
        <v>40527</v>
      </c>
      <c r="E4908" s="1" t="s">
        <v>5922</v>
      </c>
      <c r="F4908" s="1" t="s">
        <v>13</v>
      </c>
    </row>
    <row r="4909" spans="1:6" ht="30" customHeight="1" x14ac:dyDescent="0.25">
      <c r="A4909" s="1" t="s">
        <v>9820</v>
      </c>
      <c r="B4909" s="1" t="str">
        <f>"9789004214835"</f>
        <v>9789004214835</v>
      </c>
      <c r="C4909" s="1" t="s">
        <v>906</v>
      </c>
      <c r="D4909" s="2">
        <v>40634</v>
      </c>
      <c r="E4909" s="1" t="s">
        <v>9821</v>
      </c>
      <c r="F4909" s="1" t="s">
        <v>30</v>
      </c>
    </row>
    <row r="4910" spans="1:6" ht="30" customHeight="1" x14ac:dyDescent="0.25">
      <c r="A4910" s="1" t="s">
        <v>9822</v>
      </c>
      <c r="B4910" s="1" t="str">
        <f>"9781608071098"</f>
        <v>9781608071098</v>
      </c>
      <c r="C4910" s="1" t="s">
        <v>4200</v>
      </c>
      <c r="D4910" s="2">
        <v>40664</v>
      </c>
      <c r="E4910" s="1" t="s">
        <v>9823</v>
      </c>
      <c r="F4910" s="1" t="s">
        <v>13</v>
      </c>
    </row>
    <row r="4911" spans="1:6" ht="30" customHeight="1" x14ac:dyDescent="0.25">
      <c r="A4911" s="1" t="s">
        <v>9824</v>
      </c>
      <c r="B4911" s="1" t="str">
        <f>"9781608070145"</f>
        <v>9781608070145</v>
      </c>
      <c r="C4911" s="1" t="s">
        <v>4200</v>
      </c>
      <c r="D4911" s="2">
        <v>40695</v>
      </c>
      <c r="E4911" s="1" t="s">
        <v>9825</v>
      </c>
      <c r="F4911" s="1" t="s">
        <v>9826</v>
      </c>
    </row>
    <row r="4912" spans="1:6" ht="30" customHeight="1" x14ac:dyDescent="0.25">
      <c r="A4912" s="1" t="s">
        <v>9827</v>
      </c>
      <c r="B4912" s="1" t="str">
        <f>"9780821381380"</f>
        <v>9780821381380</v>
      </c>
      <c r="C4912" s="1" t="s">
        <v>6702</v>
      </c>
      <c r="D4912" s="2">
        <v>40316</v>
      </c>
      <c r="E4912" s="1" t="s">
        <v>9828</v>
      </c>
      <c r="F4912" s="1" t="s">
        <v>214</v>
      </c>
    </row>
    <row r="4913" spans="1:6" ht="30" customHeight="1" x14ac:dyDescent="0.25">
      <c r="A4913" s="1" t="s">
        <v>9829</v>
      </c>
      <c r="B4913" s="1" t="str">
        <f>"9780821382998"</f>
        <v>9780821382998</v>
      </c>
      <c r="C4913" s="1" t="s">
        <v>6702</v>
      </c>
      <c r="D4913" s="2">
        <v>40274</v>
      </c>
      <c r="E4913" s="1" t="s">
        <v>9830</v>
      </c>
      <c r="F4913" s="1" t="s">
        <v>30</v>
      </c>
    </row>
    <row r="4914" spans="1:6" ht="30" customHeight="1" x14ac:dyDescent="0.25">
      <c r="A4914" s="1" t="s">
        <v>9831</v>
      </c>
      <c r="B4914" s="1" t="str">
        <f>"9781935281405"</f>
        <v>9781935281405</v>
      </c>
      <c r="C4914" s="1" t="s">
        <v>2342</v>
      </c>
      <c r="D4914" s="2">
        <v>40599</v>
      </c>
      <c r="E4914" s="1" t="s">
        <v>9832</v>
      </c>
      <c r="F4914" s="1" t="s">
        <v>13</v>
      </c>
    </row>
    <row r="4915" spans="1:6" ht="30" customHeight="1" x14ac:dyDescent="0.25">
      <c r="A4915" s="1" t="s">
        <v>9833</v>
      </c>
      <c r="B4915" s="1" t="str">
        <f>"9781581106244"</f>
        <v>9781581106244</v>
      </c>
      <c r="C4915" s="1" t="s">
        <v>9624</v>
      </c>
      <c r="D4915" s="2">
        <v>40434</v>
      </c>
      <c r="E4915" s="1" t="s">
        <v>9834</v>
      </c>
      <c r="F4915" s="1" t="s">
        <v>13</v>
      </c>
    </row>
    <row r="4916" spans="1:6" ht="30" customHeight="1" x14ac:dyDescent="0.25">
      <c r="A4916" s="1" t="s">
        <v>9833</v>
      </c>
      <c r="B4916" s="1" t="str">
        <f>"9781581106251"</f>
        <v>9781581106251</v>
      </c>
      <c r="C4916" s="1" t="s">
        <v>9624</v>
      </c>
      <c r="D4916" s="2">
        <v>40557</v>
      </c>
      <c r="E4916" s="1" t="s">
        <v>9835</v>
      </c>
      <c r="F4916" s="1" t="s">
        <v>356</v>
      </c>
    </row>
    <row r="4917" spans="1:6" ht="30" customHeight="1" x14ac:dyDescent="0.25">
      <c r="A4917" s="1" t="s">
        <v>9836</v>
      </c>
      <c r="B4917" s="1" t="str">
        <f>"9781581106220"</f>
        <v>9781581106220</v>
      </c>
      <c r="C4917" s="1" t="s">
        <v>9624</v>
      </c>
      <c r="D4917" s="2">
        <v>40238</v>
      </c>
      <c r="E4917" s="1" t="s">
        <v>9837</v>
      </c>
      <c r="F4917" s="1" t="s">
        <v>13</v>
      </c>
    </row>
    <row r="4918" spans="1:6" ht="30" customHeight="1" x14ac:dyDescent="0.25">
      <c r="A4918" s="1" t="s">
        <v>9838</v>
      </c>
      <c r="B4918" s="1" t="str">
        <f>"9780313379291"</f>
        <v>9780313379291</v>
      </c>
      <c r="C4918" s="1" t="s">
        <v>7550</v>
      </c>
      <c r="D4918" s="2">
        <v>40746</v>
      </c>
      <c r="E4918" s="1" t="s">
        <v>9839</v>
      </c>
      <c r="F4918" s="1" t="s">
        <v>13</v>
      </c>
    </row>
    <row r="4919" spans="1:6" ht="30" customHeight="1" x14ac:dyDescent="0.25">
      <c r="A4919" s="1" t="s">
        <v>9840</v>
      </c>
      <c r="B4919" s="1" t="str">
        <f>"9780739147276"</f>
        <v>9780739147276</v>
      </c>
      <c r="C4919" s="1" t="s">
        <v>9841</v>
      </c>
      <c r="D4919" s="2">
        <v>40740</v>
      </c>
      <c r="E4919" s="1" t="s">
        <v>9842</v>
      </c>
      <c r="F4919" s="1" t="s">
        <v>304</v>
      </c>
    </row>
    <row r="4920" spans="1:6" ht="30" customHeight="1" x14ac:dyDescent="0.25">
      <c r="A4920" s="1" t="s">
        <v>9843</v>
      </c>
      <c r="B4920" s="1" t="str">
        <f>"9780765707895"</f>
        <v>9780765707895</v>
      </c>
      <c r="C4920" s="1" t="s">
        <v>6903</v>
      </c>
      <c r="D4920" s="2">
        <v>40771</v>
      </c>
      <c r="E4920" s="1" t="s">
        <v>9844</v>
      </c>
      <c r="F4920" s="1" t="s">
        <v>13</v>
      </c>
    </row>
    <row r="4921" spans="1:6" ht="30" customHeight="1" x14ac:dyDescent="0.25">
      <c r="A4921" s="1" t="s">
        <v>9845</v>
      </c>
      <c r="B4921" s="1" t="str">
        <f>"9781906839727"</f>
        <v>9781906839727</v>
      </c>
      <c r="C4921" s="1" t="s">
        <v>9846</v>
      </c>
      <c r="D4921" s="2">
        <v>40238</v>
      </c>
      <c r="E4921" s="1" t="s">
        <v>9847</v>
      </c>
      <c r="F4921" s="1" t="s">
        <v>13</v>
      </c>
    </row>
    <row r="4922" spans="1:6" ht="30" customHeight="1" x14ac:dyDescent="0.25">
      <c r="A4922" s="1" t="s">
        <v>9848</v>
      </c>
      <c r="B4922" s="1" t="str">
        <f>"9781849409087"</f>
        <v>9781849409087</v>
      </c>
      <c r="C4922" s="1" t="s">
        <v>68</v>
      </c>
      <c r="D4922" s="2">
        <v>40908</v>
      </c>
      <c r="E4922" s="1" t="s">
        <v>9849</v>
      </c>
      <c r="F4922" s="1" t="s">
        <v>13</v>
      </c>
    </row>
    <row r="4923" spans="1:6" ht="30" customHeight="1" x14ac:dyDescent="0.25">
      <c r="A4923" s="1" t="s">
        <v>9850</v>
      </c>
      <c r="B4923" s="1" t="str">
        <f>"9781849409117"</f>
        <v>9781849409117</v>
      </c>
      <c r="C4923" s="1" t="s">
        <v>8994</v>
      </c>
      <c r="D4923" s="2">
        <v>40695</v>
      </c>
      <c r="E4923" s="1" t="s">
        <v>9851</v>
      </c>
      <c r="F4923" s="1" t="s">
        <v>13</v>
      </c>
    </row>
    <row r="4924" spans="1:6" ht="30" customHeight="1" x14ac:dyDescent="0.25">
      <c r="A4924" s="1" t="s">
        <v>9852</v>
      </c>
      <c r="B4924" s="1" t="str">
        <f>"9780313382994"</f>
        <v>9780313382994</v>
      </c>
      <c r="C4924" s="1" t="s">
        <v>7550</v>
      </c>
      <c r="D4924" s="2">
        <v>40730</v>
      </c>
      <c r="E4924" s="1" t="s">
        <v>9853</v>
      </c>
      <c r="F4924" s="1" t="s">
        <v>13</v>
      </c>
    </row>
    <row r="4925" spans="1:6" ht="30" customHeight="1" x14ac:dyDescent="0.25">
      <c r="A4925" s="1" t="s">
        <v>9854</v>
      </c>
      <c r="B4925" s="1" t="str">
        <f>"9789814346740"</f>
        <v>9789814346740</v>
      </c>
      <c r="C4925" s="1" t="s">
        <v>7211</v>
      </c>
      <c r="D4925" s="2">
        <v>40575</v>
      </c>
      <c r="E4925" s="1" t="s">
        <v>9855</v>
      </c>
      <c r="F4925" s="1" t="s">
        <v>104</v>
      </c>
    </row>
    <row r="4926" spans="1:6" ht="30" customHeight="1" x14ac:dyDescent="0.25">
      <c r="A4926" s="1" t="s">
        <v>9856</v>
      </c>
      <c r="B4926" s="1" t="str">
        <f>"9789280871401"</f>
        <v>9789280871401</v>
      </c>
      <c r="C4926" s="1" t="s">
        <v>9857</v>
      </c>
      <c r="D4926" s="2">
        <v>40026</v>
      </c>
      <c r="E4926" s="1" t="s">
        <v>9858</v>
      </c>
      <c r="F4926" s="1" t="s">
        <v>4434</v>
      </c>
    </row>
    <row r="4927" spans="1:6" ht="30" customHeight="1" x14ac:dyDescent="0.25">
      <c r="A4927" s="1" t="s">
        <v>9859</v>
      </c>
      <c r="B4927" s="1" t="str">
        <f>"9789280871548"</f>
        <v>9789280871548</v>
      </c>
      <c r="C4927" s="1" t="s">
        <v>9857</v>
      </c>
      <c r="D4927" s="2">
        <v>40148</v>
      </c>
      <c r="E4927" s="1" t="s">
        <v>9860</v>
      </c>
      <c r="F4927" s="1" t="s">
        <v>95</v>
      </c>
    </row>
    <row r="4928" spans="1:6" ht="30" customHeight="1" x14ac:dyDescent="0.25">
      <c r="A4928" s="1" t="s">
        <v>9861</v>
      </c>
      <c r="B4928" s="1" t="str">
        <f>"9781935281931"</f>
        <v>9781935281931</v>
      </c>
      <c r="C4928" s="1" t="s">
        <v>2342</v>
      </c>
      <c r="D4928" s="2">
        <v>40630</v>
      </c>
      <c r="E4928" s="1" t="s">
        <v>9862</v>
      </c>
      <c r="F4928" s="1" t="s">
        <v>13</v>
      </c>
    </row>
    <row r="4929" spans="1:6" ht="30" customHeight="1" x14ac:dyDescent="0.25">
      <c r="A4929" s="1" t="s">
        <v>9863</v>
      </c>
      <c r="B4929" s="1" t="str">
        <f>"9780199753253"</f>
        <v>9780199753253</v>
      </c>
      <c r="C4929" s="1" t="s">
        <v>1120</v>
      </c>
      <c r="D4929" s="2">
        <v>40695</v>
      </c>
      <c r="E4929" s="1" t="s">
        <v>9864</v>
      </c>
      <c r="F4929" s="1" t="s">
        <v>13</v>
      </c>
    </row>
    <row r="4930" spans="1:6" ht="30" customHeight="1" x14ac:dyDescent="0.25">
      <c r="A4930" s="1" t="s">
        <v>9865</v>
      </c>
      <c r="B4930" s="1" t="str">
        <f>"9780199719266"</f>
        <v>9780199719266</v>
      </c>
      <c r="C4930" s="1" t="s">
        <v>1120</v>
      </c>
      <c r="D4930" s="2">
        <v>39562</v>
      </c>
      <c r="E4930" s="1" t="s">
        <v>9866</v>
      </c>
      <c r="F4930" s="1" t="s">
        <v>13</v>
      </c>
    </row>
    <row r="4931" spans="1:6" ht="30" customHeight="1" x14ac:dyDescent="0.25">
      <c r="A4931" s="1" t="s">
        <v>9867</v>
      </c>
      <c r="B4931" s="1" t="str">
        <f>"9780191524479"</f>
        <v>9780191524479</v>
      </c>
      <c r="C4931" s="1" t="s">
        <v>1120</v>
      </c>
      <c r="D4931" s="2">
        <v>38421</v>
      </c>
      <c r="E4931" s="1" t="s">
        <v>9868</v>
      </c>
      <c r="F4931" s="1" t="s">
        <v>158</v>
      </c>
    </row>
    <row r="4932" spans="1:6" ht="30" customHeight="1" x14ac:dyDescent="0.25">
      <c r="A4932" s="1" t="s">
        <v>9869</v>
      </c>
      <c r="B4932" s="1" t="str">
        <f>"9780199705191"</f>
        <v>9780199705191</v>
      </c>
      <c r="C4932" s="1" t="s">
        <v>1123</v>
      </c>
      <c r="D4932" s="2">
        <v>39716</v>
      </c>
      <c r="E4932" s="1" t="s">
        <v>9870</v>
      </c>
      <c r="F4932" s="1" t="s">
        <v>75</v>
      </c>
    </row>
    <row r="4933" spans="1:6" ht="30" customHeight="1" x14ac:dyDescent="0.25">
      <c r="A4933" s="1" t="s">
        <v>9871</v>
      </c>
      <c r="B4933" s="1" t="str">
        <f>"9780199718993"</f>
        <v>9780199718993</v>
      </c>
      <c r="C4933" s="1" t="s">
        <v>1117</v>
      </c>
      <c r="D4933" s="2">
        <v>39783</v>
      </c>
      <c r="E4933" s="1" t="s">
        <v>9872</v>
      </c>
      <c r="F4933" s="1" t="s">
        <v>9873</v>
      </c>
    </row>
    <row r="4934" spans="1:6" ht="30" customHeight="1" x14ac:dyDescent="0.25">
      <c r="A4934" s="1" t="s">
        <v>9874</v>
      </c>
      <c r="B4934" s="1" t="str">
        <f>"9780335239153"</f>
        <v>9780335239153</v>
      </c>
      <c r="C4934" s="1" t="s">
        <v>2247</v>
      </c>
      <c r="D4934" s="2">
        <v>40603</v>
      </c>
      <c r="E4934" s="1" t="s">
        <v>9875</v>
      </c>
      <c r="F4934" s="1" t="s">
        <v>13</v>
      </c>
    </row>
    <row r="4935" spans="1:6" ht="30" customHeight="1" x14ac:dyDescent="0.25">
      <c r="A4935" s="1" t="s">
        <v>9876</v>
      </c>
      <c r="B4935" s="1" t="str">
        <f>"9780335238941"</f>
        <v>9780335238941</v>
      </c>
      <c r="C4935" s="1" t="s">
        <v>2247</v>
      </c>
      <c r="D4935" s="2">
        <v>40664</v>
      </c>
      <c r="E4935" s="1" t="s">
        <v>2905</v>
      </c>
      <c r="F4935" s="1" t="s">
        <v>304</v>
      </c>
    </row>
    <row r="4936" spans="1:6" ht="30" customHeight="1" x14ac:dyDescent="0.25">
      <c r="A4936" s="1" t="s">
        <v>9877</v>
      </c>
      <c r="B4936" s="1" t="str">
        <f>"9780335240524"</f>
        <v>9780335240524</v>
      </c>
      <c r="C4936" s="1" t="s">
        <v>2247</v>
      </c>
      <c r="D4936" s="2">
        <v>40695</v>
      </c>
      <c r="E4936" s="1" t="s">
        <v>9878</v>
      </c>
      <c r="F4936" s="1" t="s">
        <v>9879</v>
      </c>
    </row>
    <row r="4937" spans="1:6" ht="30" customHeight="1" x14ac:dyDescent="0.25">
      <c r="A4937" s="1" t="s">
        <v>9880</v>
      </c>
      <c r="B4937" s="1" t="str">
        <f>"9780826106827"</f>
        <v>9780826106827</v>
      </c>
      <c r="C4937" s="1" t="s">
        <v>2339</v>
      </c>
      <c r="D4937" s="2">
        <v>40717</v>
      </c>
      <c r="E4937" s="1" t="s">
        <v>9881</v>
      </c>
      <c r="F4937" s="1" t="s">
        <v>13</v>
      </c>
    </row>
    <row r="4938" spans="1:6" ht="30" customHeight="1" x14ac:dyDescent="0.25">
      <c r="A4938" s="1" t="s">
        <v>9882</v>
      </c>
      <c r="B4938" s="1" t="str">
        <f>"9780520949614"</f>
        <v>9780520949614</v>
      </c>
      <c r="C4938" s="1" t="s">
        <v>818</v>
      </c>
      <c r="D4938" s="2">
        <v>40798</v>
      </c>
      <c r="F4938" s="1" t="s">
        <v>95</v>
      </c>
    </row>
    <row r="4939" spans="1:6" ht="30" customHeight="1" x14ac:dyDescent="0.25">
      <c r="A4939" s="1" t="s">
        <v>9883</v>
      </c>
      <c r="B4939" s="1" t="str">
        <f>"9789814293594"</f>
        <v>9789814293594</v>
      </c>
      <c r="C4939" s="1" t="s">
        <v>881</v>
      </c>
      <c r="D4939" s="2">
        <v>40238</v>
      </c>
      <c r="E4939" s="1" t="s">
        <v>9884</v>
      </c>
      <c r="F4939" s="1" t="s">
        <v>1750</v>
      </c>
    </row>
    <row r="4940" spans="1:6" ht="30" customHeight="1" x14ac:dyDescent="0.25">
      <c r="A4940" s="1" t="s">
        <v>9885</v>
      </c>
      <c r="B4940" s="1" t="str">
        <f>"9789814295024"</f>
        <v>9789814295024</v>
      </c>
      <c r="C4940" s="1" t="s">
        <v>881</v>
      </c>
      <c r="D4940" s="2">
        <v>40238</v>
      </c>
      <c r="E4940" s="1" t="s">
        <v>9886</v>
      </c>
      <c r="F4940" s="1" t="s">
        <v>13</v>
      </c>
    </row>
    <row r="4941" spans="1:6" ht="30" customHeight="1" x14ac:dyDescent="0.25">
      <c r="A4941" s="1" t="s">
        <v>9887</v>
      </c>
      <c r="B4941" s="1" t="str">
        <f>"9789814280501"</f>
        <v>9789814280501</v>
      </c>
      <c r="C4941" s="1" t="s">
        <v>881</v>
      </c>
      <c r="D4941" s="2">
        <v>40238</v>
      </c>
      <c r="E4941" s="1" t="s">
        <v>9888</v>
      </c>
      <c r="F4941" s="1" t="s">
        <v>13</v>
      </c>
    </row>
    <row r="4942" spans="1:6" ht="30" customHeight="1" x14ac:dyDescent="0.25">
      <c r="A4942" s="1" t="s">
        <v>9889</v>
      </c>
      <c r="B4942" s="1" t="str">
        <f>"9789814299527"</f>
        <v>9789814299527</v>
      </c>
      <c r="C4942" s="1" t="s">
        <v>881</v>
      </c>
      <c r="D4942" s="2">
        <v>41773</v>
      </c>
      <c r="E4942" s="1" t="s">
        <v>9890</v>
      </c>
      <c r="F4942" s="1" t="s">
        <v>13</v>
      </c>
    </row>
    <row r="4943" spans="1:6" ht="30" customHeight="1" x14ac:dyDescent="0.25">
      <c r="A4943" s="1" t="s">
        <v>9891</v>
      </c>
      <c r="B4943" s="1" t="str">
        <f>"9789812832986"</f>
        <v>9789812832986</v>
      </c>
      <c r="C4943" s="1" t="s">
        <v>881</v>
      </c>
      <c r="D4943" s="2">
        <v>41773</v>
      </c>
      <c r="E4943" s="1" t="s">
        <v>9892</v>
      </c>
      <c r="F4943" s="1" t="s">
        <v>13</v>
      </c>
    </row>
    <row r="4944" spans="1:6" ht="30" customHeight="1" x14ac:dyDescent="0.25">
      <c r="A4944" s="1" t="s">
        <v>9893</v>
      </c>
      <c r="B4944" s="1" t="str">
        <f>"9789814277914"</f>
        <v>9789814277914</v>
      </c>
      <c r="C4944" s="1" t="s">
        <v>881</v>
      </c>
      <c r="D4944" s="2">
        <v>41773</v>
      </c>
      <c r="E4944" s="1" t="s">
        <v>9894</v>
      </c>
      <c r="F4944" s="1" t="s">
        <v>13</v>
      </c>
    </row>
    <row r="4945" spans="1:6" ht="30" customHeight="1" x14ac:dyDescent="0.25">
      <c r="A4945" s="1" t="s">
        <v>9895</v>
      </c>
      <c r="B4945" s="1" t="str">
        <f>"9789812839299"</f>
        <v>9789812839299</v>
      </c>
      <c r="C4945" s="1" t="s">
        <v>881</v>
      </c>
      <c r="D4945" s="2">
        <v>41773</v>
      </c>
      <c r="E4945" s="1" t="s">
        <v>9896</v>
      </c>
      <c r="F4945" s="1" t="s">
        <v>4696</v>
      </c>
    </row>
    <row r="4946" spans="1:6" ht="30" customHeight="1" x14ac:dyDescent="0.25">
      <c r="A4946" s="1" t="s">
        <v>9897</v>
      </c>
      <c r="B4946" s="1" t="str">
        <f>"9789814313568"</f>
        <v>9789814313568</v>
      </c>
      <c r="C4946" s="1" t="s">
        <v>881</v>
      </c>
      <c r="D4946" s="2">
        <v>40422</v>
      </c>
      <c r="E4946" s="1" t="s">
        <v>9898</v>
      </c>
      <c r="F4946" s="1" t="s">
        <v>13</v>
      </c>
    </row>
    <row r="4947" spans="1:6" ht="30" customHeight="1" x14ac:dyDescent="0.25">
      <c r="A4947" s="1" t="s">
        <v>9899</v>
      </c>
      <c r="B4947" s="1" t="str">
        <f>"9789814280051"</f>
        <v>9789814280051</v>
      </c>
      <c r="C4947" s="1" t="s">
        <v>881</v>
      </c>
      <c r="D4947" s="2">
        <v>41773</v>
      </c>
      <c r="E4947" s="1" t="s">
        <v>9900</v>
      </c>
      <c r="F4947" s="1" t="s">
        <v>13</v>
      </c>
    </row>
    <row r="4948" spans="1:6" ht="30" customHeight="1" x14ac:dyDescent="0.25">
      <c r="A4948" s="1" t="s">
        <v>9901</v>
      </c>
      <c r="B4948" s="1" t="str">
        <f>"9789814295680"</f>
        <v>9789814295680</v>
      </c>
      <c r="C4948" s="1" t="s">
        <v>881</v>
      </c>
      <c r="D4948" s="2">
        <v>40238</v>
      </c>
      <c r="E4948" s="1" t="s">
        <v>9902</v>
      </c>
      <c r="F4948" s="1" t="s">
        <v>13</v>
      </c>
    </row>
    <row r="4949" spans="1:6" ht="30" customHeight="1" x14ac:dyDescent="0.25">
      <c r="A4949" s="1" t="s">
        <v>9903</v>
      </c>
      <c r="B4949" s="1" t="str">
        <f>"9789814293365"</f>
        <v>9789814293365</v>
      </c>
      <c r="C4949" s="1" t="s">
        <v>881</v>
      </c>
      <c r="D4949" s="2">
        <v>41773</v>
      </c>
      <c r="E4949" s="1" t="s">
        <v>9904</v>
      </c>
      <c r="F4949" s="1" t="s">
        <v>9905</v>
      </c>
    </row>
    <row r="4950" spans="1:6" ht="30" customHeight="1" x14ac:dyDescent="0.25">
      <c r="A4950" s="1" t="s">
        <v>9906</v>
      </c>
      <c r="B4950" s="1" t="str">
        <f>"9789814280037"</f>
        <v>9789814280037</v>
      </c>
      <c r="C4950" s="1" t="s">
        <v>881</v>
      </c>
      <c r="D4950" s="2">
        <v>41773</v>
      </c>
      <c r="E4950" s="1" t="s">
        <v>9907</v>
      </c>
      <c r="F4950" s="1" t="s">
        <v>13</v>
      </c>
    </row>
    <row r="4951" spans="1:6" ht="30" customHeight="1" x14ac:dyDescent="0.25">
      <c r="A4951" s="1" t="s">
        <v>9908</v>
      </c>
      <c r="B4951" s="1" t="str">
        <f>"9789814271271"</f>
        <v>9789814271271</v>
      </c>
      <c r="C4951" s="1" t="s">
        <v>881</v>
      </c>
      <c r="D4951" s="2">
        <v>40238</v>
      </c>
      <c r="E4951" s="1" t="s">
        <v>9909</v>
      </c>
      <c r="F4951" s="1" t="s">
        <v>13</v>
      </c>
    </row>
    <row r="4952" spans="1:6" ht="30" customHeight="1" x14ac:dyDescent="0.25">
      <c r="A4952" s="1" t="s">
        <v>9910</v>
      </c>
      <c r="B4952" s="1" t="str">
        <f>"9781848164987"</f>
        <v>9781848164987</v>
      </c>
      <c r="C4952" s="1" t="s">
        <v>876</v>
      </c>
      <c r="D4952" s="2">
        <v>41773</v>
      </c>
      <c r="E4952" s="1" t="s">
        <v>9911</v>
      </c>
      <c r="F4952" s="1" t="s">
        <v>13</v>
      </c>
    </row>
    <row r="4953" spans="1:6" ht="30" customHeight="1" x14ac:dyDescent="0.25">
      <c r="A4953" s="1" t="s">
        <v>9912</v>
      </c>
      <c r="B4953" s="1" t="str">
        <f>"9789814282093"</f>
        <v>9789814282093</v>
      </c>
      <c r="C4953" s="1" t="s">
        <v>881</v>
      </c>
      <c r="D4953" s="2">
        <v>40210</v>
      </c>
      <c r="E4953" s="1" t="s">
        <v>9913</v>
      </c>
      <c r="F4953" s="1" t="s">
        <v>1750</v>
      </c>
    </row>
    <row r="4954" spans="1:6" ht="30" customHeight="1" x14ac:dyDescent="0.25">
      <c r="A4954" s="1" t="s">
        <v>9914</v>
      </c>
      <c r="B4954" s="1" t="str">
        <f>"9789814293297"</f>
        <v>9789814293297</v>
      </c>
      <c r="C4954" s="1" t="s">
        <v>881</v>
      </c>
      <c r="D4954" s="2">
        <v>41773</v>
      </c>
      <c r="E4954" s="1" t="s">
        <v>9915</v>
      </c>
      <c r="F4954" s="1" t="s">
        <v>1333</v>
      </c>
    </row>
    <row r="4955" spans="1:6" ht="30" customHeight="1" x14ac:dyDescent="0.25">
      <c r="A4955" s="1" t="s">
        <v>9916</v>
      </c>
      <c r="B4955" s="1" t="str">
        <f>"9789814280914"</f>
        <v>9789814280914</v>
      </c>
      <c r="C4955" s="1" t="s">
        <v>881</v>
      </c>
      <c r="D4955" s="2">
        <v>40209</v>
      </c>
      <c r="E4955" s="1" t="s">
        <v>9917</v>
      </c>
      <c r="F4955" s="1" t="s">
        <v>13</v>
      </c>
    </row>
    <row r="4956" spans="1:6" ht="30" customHeight="1" x14ac:dyDescent="0.25">
      <c r="A4956" s="1" t="s">
        <v>9918</v>
      </c>
      <c r="B4956" s="1" t="str">
        <f>"9789814277082"</f>
        <v>9789814277082</v>
      </c>
      <c r="C4956" s="1" t="s">
        <v>881</v>
      </c>
      <c r="D4956" s="2">
        <v>40268</v>
      </c>
      <c r="E4956" s="1" t="s">
        <v>9919</v>
      </c>
      <c r="F4956" s="1" t="s">
        <v>13</v>
      </c>
    </row>
    <row r="4957" spans="1:6" ht="30" customHeight="1" x14ac:dyDescent="0.25">
      <c r="A4957" s="1" t="s">
        <v>9920</v>
      </c>
      <c r="B4957" s="1" t="str">
        <f>"9789814304771"</f>
        <v>9789814304771</v>
      </c>
      <c r="C4957" s="1" t="s">
        <v>881</v>
      </c>
      <c r="D4957" s="2">
        <v>40210</v>
      </c>
      <c r="E4957" s="1" t="s">
        <v>9921</v>
      </c>
      <c r="F4957" s="1" t="s">
        <v>9922</v>
      </c>
    </row>
    <row r="4958" spans="1:6" ht="30" customHeight="1" x14ac:dyDescent="0.25">
      <c r="A4958" s="1" t="s">
        <v>9923</v>
      </c>
      <c r="B4958" s="1" t="str">
        <f>"9789814304443"</f>
        <v>9789814304443</v>
      </c>
      <c r="C4958" s="1" t="s">
        <v>881</v>
      </c>
      <c r="D4958" s="2">
        <v>41773</v>
      </c>
      <c r="E4958" s="1" t="s">
        <v>9924</v>
      </c>
      <c r="F4958" s="1" t="s">
        <v>13</v>
      </c>
    </row>
    <row r="4959" spans="1:6" ht="30" customHeight="1" x14ac:dyDescent="0.25">
      <c r="A4959" s="1" t="s">
        <v>9925</v>
      </c>
      <c r="B4959" s="1" t="str">
        <f>"9781848164178"</f>
        <v>9781848164178</v>
      </c>
      <c r="C4959" s="1" t="s">
        <v>876</v>
      </c>
      <c r="D4959" s="2">
        <v>40238</v>
      </c>
      <c r="E4959" s="1" t="s">
        <v>9926</v>
      </c>
      <c r="F4959" s="1" t="s">
        <v>9927</v>
      </c>
    </row>
    <row r="4960" spans="1:6" ht="30" customHeight="1" x14ac:dyDescent="0.25">
      <c r="A4960" s="1" t="s">
        <v>9928</v>
      </c>
      <c r="B4960" s="1" t="str">
        <f>"9789814295628"</f>
        <v>9789814295628</v>
      </c>
      <c r="C4960" s="1" t="s">
        <v>881</v>
      </c>
      <c r="D4960" s="2">
        <v>40310</v>
      </c>
      <c r="E4960" s="1" t="s">
        <v>9929</v>
      </c>
      <c r="F4960" s="1" t="s">
        <v>13</v>
      </c>
    </row>
    <row r="4961" spans="1:6" ht="30" customHeight="1" x14ac:dyDescent="0.25">
      <c r="A4961" s="1" t="s">
        <v>9930</v>
      </c>
      <c r="B4961" s="1" t="str">
        <f>"9789814317726"</f>
        <v>9789814317726</v>
      </c>
      <c r="C4961" s="1" t="s">
        <v>881</v>
      </c>
      <c r="D4961" s="2">
        <v>40458</v>
      </c>
      <c r="E4961" s="1" t="s">
        <v>9931</v>
      </c>
      <c r="F4961" s="1" t="s">
        <v>95</v>
      </c>
    </row>
    <row r="4962" spans="1:6" ht="30" customHeight="1" x14ac:dyDescent="0.25">
      <c r="A4962" s="1" t="s">
        <v>9932</v>
      </c>
      <c r="B4962" s="1" t="str">
        <f>"9789814271714"</f>
        <v>9789814271714</v>
      </c>
      <c r="C4962" s="1" t="s">
        <v>881</v>
      </c>
      <c r="D4962" s="2">
        <v>41773</v>
      </c>
      <c r="E4962" s="1" t="s">
        <v>9933</v>
      </c>
      <c r="F4962" s="1" t="s">
        <v>13</v>
      </c>
    </row>
    <row r="4963" spans="1:6" ht="30" customHeight="1" x14ac:dyDescent="0.25">
      <c r="A4963" s="1" t="s">
        <v>9934</v>
      </c>
      <c r="B4963" s="1" t="str">
        <f>"9789814307710"</f>
        <v>9789814307710</v>
      </c>
      <c r="C4963" s="1" t="s">
        <v>881</v>
      </c>
      <c r="D4963" s="2">
        <v>40421</v>
      </c>
      <c r="E4963" s="1" t="s">
        <v>9935</v>
      </c>
      <c r="F4963" s="1" t="s">
        <v>13</v>
      </c>
    </row>
    <row r="4964" spans="1:6" ht="30" customHeight="1" x14ac:dyDescent="0.25">
      <c r="A4964" s="1" t="s">
        <v>9936</v>
      </c>
      <c r="B4964" s="1" t="str">
        <f>"9781848163676"</f>
        <v>9781848163676</v>
      </c>
      <c r="C4964" s="1" t="s">
        <v>876</v>
      </c>
      <c r="D4964" s="2">
        <v>41773</v>
      </c>
      <c r="E4964" s="1" t="s">
        <v>9937</v>
      </c>
      <c r="F4964" s="1" t="s">
        <v>13</v>
      </c>
    </row>
    <row r="4965" spans="1:6" ht="30" customHeight="1" x14ac:dyDescent="0.25">
      <c r="A4965" s="1" t="s">
        <v>9938</v>
      </c>
      <c r="B4965" s="1" t="str">
        <f>"9789814293648"</f>
        <v>9789814293648</v>
      </c>
      <c r="C4965" s="1" t="s">
        <v>881</v>
      </c>
      <c r="D4965" s="2">
        <v>41773</v>
      </c>
      <c r="E4965" s="1" t="s">
        <v>9939</v>
      </c>
      <c r="F4965" s="1" t="s">
        <v>13</v>
      </c>
    </row>
    <row r="4966" spans="1:6" ht="30" customHeight="1" x14ac:dyDescent="0.25">
      <c r="A4966" s="1" t="s">
        <v>9940</v>
      </c>
      <c r="B4966" s="1" t="str">
        <f>"9789814299848"</f>
        <v>9789814299848</v>
      </c>
      <c r="C4966" s="1" t="s">
        <v>881</v>
      </c>
      <c r="D4966" s="2">
        <v>41773</v>
      </c>
      <c r="E4966" s="1" t="s">
        <v>9941</v>
      </c>
      <c r="F4966" s="1" t="s">
        <v>1078</v>
      </c>
    </row>
    <row r="4967" spans="1:6" ht="30" customHeight="1" x14ac:dyDescent="0.25">
      <c r="A4967" s="1" t="s">
        <v>9942</v>
      </c>
      <c r="B4967" s="1" t="str">
        <f>"9781742245614"</f>
        <v>9781742245614</v>
      </c>
      <c r="C4967" s="1" t="s">
        <v>9943</v>
      </c>
      <c r="D4967" s="2">
        <v>40725</v>
      </c>
      <c r="E4967" s="1" t="s">
        <v>9944</v>
      </c>
      <c r="F4967" s="1" t="s">
        <v>114</v>
      </c>
    </row>
    <row r="4968" spans="1:6" ht="30" customHeight="1" x14ac:dyDescent="0.25">
      <c r="A4968" s="1" t="s">
        <v>9945</v>
      </c>
      <c r="B4968" s="1" t="str">
        <f>"9789027283375"</f>
        <v>9789027283375</v>
      </c>
      <c r="C4968" s="1" t="s">
        <v>8479</v>
      </c>
      <c r="D4968" s="2">
        <v>32509</v>
      </c>
      <c r="E4968" s="1" t="s">
        <v>9946</v>
      </c>
      <c r="F4968" s="1" t="s">
        <v>13</v>
      </c>
    </row>
    <row r="4969" spans="1:6" ht="30" customHeight="1" x14ac:dyDescent="0.25">
      <c r="A4969" s="1" t="s">
        <v>9947</v>
      </c>
      <c r="B4969" s="1" t="str">
        <f>"9780520943339"</f>
        <v>9780520943339</v>
      </c>
      <c r="C4969" s="1" t="s">
        <v>818</v>
      </c>
      <c r="D4969" s="2">
        <v>39909</v>
      </c>
      <c r="E4969" s="1" t="s">
        <v>9948</v>
      </c>
      <c r="F4969" s="1" t="s">
        <v>13</v>
      </c>
    </row>
    <row r="4970" spans="1:6" ht="30" customHeight="1" x14ac:dyDescent="0.25">
      <c r="A4970" s="1" t="s">
        <v>9949</v>
      </c>
      <c r="B4970" s="1" t="str">
        <f>"9783110239034"</f>
        <v>9783110239034</v>
      </c>
      <c r="C4970" s="1" t="s">
        <v>1848</v>
      </c>
      <c r="D4970" s="2">
        <v>40724</v>
      </c>
      <c r="E4970" s="1" t="s">
        <v>9950</v>
      </c>
      <c r="F4970" s="1" t="s">
        <v>1795</v>
      </c>
    </row>
    <row r="4971" spans="1:6" ht="30" customHeight="1" x14ac:dyDescent="0.25">
      <c r="A4971" s="1" t="s">
        <v>9951</v>
      </c>
      <c r="B4971" s="1" t="str">
        <f>"9781617050121"</f>
        <v>9781617050121</v>
      </c>
      <c r="C4971" s="1" t="s">
        <v>2342</v>
      </c>
      <c r="D4971" s="2">
        <v>40505</v>
      </c>
      <c r="E4971" s="1" t="s">
        <v>9952</v>
      </c>
      <c r="F4971" s="1" t="s">
        <v>13</v>
      </c>
    </row>
    <row r="4972" spans="1:6" ht="30" customHeight="1" x14ac:dyDescent="0.25">
      <c r="A4972" s="1" t="s">
        <v>9953</v>
      </c>
      <c r="B4972" s="1" t="str">
        <f>"9780199876020"</f>
        <v>9780199876020</v>
      </c>
      <c r="C4972" s="1" t="s">
        <v>1123</v>
      </c>
      <c r="D4972" s="2">
        <v>40787</v>
      </c>
      <c r="E4972" s="1" t="s">
        <v>9954</v>
      </c>
      <c r="F4972" s="1" t="s">
        <v>13</v>
      </c>
    </row>
    <row r="4973" spans="1:6" ht="30" customHeight="1" x14ac:dyDescent="0.25">
      <c r="A4973" s="1" t="s">
        <v>9955</v>
      </c>
      <c r="B4973" s="1" t="str">
        <f>"9780199718849"</f>
        <v>9780199718849</v>
      </c>
      <c r="C4973" s="1" t="s">
        <v>1123</v>
      </c>
      <c r="D4973" s="2">
        <v>39755</v>
      </c>
      <c r="E4973" s="1" t="s">
        <v>9956</v>
      </c>
      <c r="F4973" s="1" t="s">
        <v>13</v>
      </c>
    </row>
    <row r="4974" spans="1:6" ht="30" customHeight="1" x14ac:dyDescent="0.25">
      <c r="A4974" s="1" t="s">
        <v>9957</v>
      </c>
      <c r="B4974" s="1" t="str">
        <f>"9780191530890"</f>
        <v>9780191530890</v>
      </c>
      <c r="C4974" s="1" t="s">
        <v>1120</v>
      </c>
      <c r="D4974" s="2">
        <v>38022</v>
      </c>
      <c r="E4974" s="1" t="s">
        <v>9958</v>
      </c>
      <c r="F4974" s="1" t="s">
        <v>87</v>
      </c>
    </row>
    <row r="4975" spans="1:6" ht="30" customHeight="1" x14ac:dyDescent="0.25">
      <c r="A4975" s="1" t="s">
        <v>9959</v>
      </c>
      <c r="B4975" s="1" t="str">
        <f>"9780199719761"</f>
        <v>9780199719761</v>
      </c>
      <c r="C4975" s="1" t="s">
        <v>1123</v>
      </c>
      <c r="D4975" s="2">
        <v>39561</v>
      </c>
      <c r="E4975" s="1" t="s">
        <v>9960</v>
      </c>
      <c r="F4975" s="1" t="s">
        <v>70</v>
      </c>
    </row>
    <row r="4976" spans="1:6" ht="30" customHeight="1" x14ac:dyDescent="0.25">
      <c r="A4976" s="1" t="s">
        <v>9961</v>
      </c>
      <c r="B4976" s="1" t="str">
        <f>"9789814317061"</f>
        <v>9789814317061</v>
      </c>
      <c r="C4976" s="1" t="s">
        <v>881</v>
      </c>
      <c r="D4976" s="2">
        <v>40557</v>
      </c>
      <c r="E4976" s="1" t="s">
        <v>9962</v>
      </c>
      <c r="F4976" s="1" t="s">
        <v>1948</v>
      </c>
    </row>
    <row r="4977" spans="1:6" ht="30" customHeight="1" x14ac:dyDescent="0.25">
      <c r="A4977" s="1" t="s">
        <v>9963</v>
      </c>
      <c r="B4977" s="1" t="str">
        <f>"9789814313988"</f>
        <v>9789814313988</v>
      </c>
      <c r="C4977" s="1" t="s">
        <v>881</v>
      </c>
      <c r="D4977" s="2">
        <v>41773</v>
      </c>
      <c r="E4977" s="1" t="s">
        <v>9964</v>
      </c>
      <c r="F4977" s="1" t="s">
        <v>95</v>
      </c>
    </row>
    <row r="4978" spans="1:6" ht="30" customHeight="1" x14ac:dyDescent="0.25">
      <c r="A4978" s="1" t="s">
        <v>9965</v>
      </c>
      <c r="B4978" s="1" t="str">
        <f>"9781848165892"</f>
        <v>9781848165892</v>
      </c>
      <c r="C4978" s="1" t="s">
        <v>876</v>
      </c>
      <c r="D4978" s="2">
        <v>40595</v>
      </c>
      <c r="E4978" s="1" t="s">
        <v>9966</v>
      </c>
      <c r="F4978" s="1" t="s">
        <v>13</v>
      </c>
    </row>
    <row r="4979" spans="1:6" ht="30" customHeight="1" x14ac:dyDescent="0.25">
      <c r="A4979" s="1" t="s">
        <v>9967</v>
      </c>
      <c r="B4979" s="1" t="str">
        <f>"9789814317085"</f>
        <v>9789814317085</v>
      </c>
      <c r="C4979" s="1" t="s">
        <v>881</v>
      </c>
      <c r="D4979" s="2">
        <v>40517</v>
      </c>
      <c r="E4979" s="1" t="s">
        <v>9968</v>
      </c>
      <c r="F4979" s="1" t="s">
        <v>13</v>
      </c>
    </row>
    <row r="4980" spans="1:6" ht="30" customHeight="1" x14ac:dyDescent="0.25">
      <c r="A4980" s="1" t="s">
        <v>9969</v>
      </c>
      <c r="B4980" s="1" t="str">
        <f>"9789814299633"</f>
        <v>9789814299633</v>
      </c>
      <c r="C4980" s="1" t="s">
        <v>881</v>
      </c>
      <c r="D4980" s="2">
        <v>41773</v>
      </c>
      <c r="E4980" s="1" t="s">
        <v>9970</v>
      </c>
      <c r="F4980" s="1" t="s">
        <v>13</v>
      </c>
    </row>
    <row r="4981" spans="1:6" ht="30" customHeight="1" x14ac:dyDescent="0.25">
      <c r="A4981" s="1" t="s">
        <v>9971</v>
      </c>
      <c r="B4981" s="1" t="str">
        <f>"9789814317993"</f>
        <v>9789814317993</v>
      </c>
      <c r="C4981" s="1" t="s">
        <v>881</v>
      </c>
      <c r="D4981" s="2">
        <v>40602</v>
      </c>
      <c r="E4981" s="1" t="s">
        <v>9972</v>
      </c>
      <c r="F4981" s="1" t="s">
        <v>13</v>
      </c>
    </row>
    <row r="4982" spans="1:6" ht="30" customHeight="1" x14ac:dyDescent="0.25">
      <c r="A4982" s="1" t="s">
        <v>9973</v>
      </c>
      <c r="B4982" s="1" t="str">
        <f>"9780470090855"</f>
        <v>9780470090855</v>
      </c>
      <c r="C4982" s="1" t="s">
        <v>65</v>
      </c>
      <c r="D4982" s="2">
        <v>38023</v>
      </c>
      <c r="E4982" s="1" t="s">
        <v>9974</v>
      </c>
      <c r="F4982" s="1" t="s">
        <v>13</v>
      </c>
    </row>
    <row r="4983" spans="1:6" ht="30" customHeight="1" x14ac:dyDescent="0.25">
      <c r="A4983" s="1" t="s">
        <v>9975</v>
      </c>
      <c r="B4983" s="1" t="str">
        <f>"9780470905197"</f>
        <v>9780470905197</v>
      </c>
      <c r="C4983" s="1" t="s">
        <v>11</v>
      </c>
      <c r="D4983" s="2">
        <v>40549</v>
      </c>
      <c r="E4983" s="1" t="s">
        <v>9976</v>
      </c>
      <c r="F4983" s="1" t="s">
        <v>13</v>
      </c>
    </row>
    <row r="4984" spans="1:6" ht="30" customHeight="1" x14ac:dyDescent="0.25">
      <c r="A4984" s="1" t="s">
        <v>9977</v>
      </c>
      <c r="B4984" s="1" t="str">
        <f>"9780470906507"</f>
        <v>9780470906507</v>
      </c>
      <c r="C4984" s="1" t="s">
        <v>11</v>
      </c>
      <c r="D4984" s="2">
        <v>40625</v>
      </c>
      <c r="E4984" s="1" t="s">
        <v>9978</v>
      </c>
      <c r="F4984" s="1" t="s">
        <v>13</v>
      </c>
    </row>
    <row r="4985" spans="1:6" ht="30" customHeight="1" x14ac:dyDescent="0.25">
      <c r="A4985" s="1" t="s">
        <v>9979</v>
      </c>
      <c r="B4985" s="1" t="str">
        <f>"9780470907405"</f>
        <v>9780470907405</v>
      </c>
      <c r="C4985" s="1" t="s">
        <v>11</v>
      </c>
      <c r="D4985" s="2">
        <v>40568</v>
      </c>
      <c r="E4985" s="1" t="s">
        <v>9980</v>
      </c>
      <c r="F4985" s="1" t="s">
        <v>158</v>
      </c>
    </row>
    <row r="4986" spans="1:6" ht="30" customHeight="1" x14ac:dyDescent="0.25">
      <c r="A4986" s="1" t="s">
        <v>9981</v>
      </c>
      <c r="B4986" s="1" t="str">
        <f>"9781845937775"</f>
        <v>9781845937775</v>
      </c>
      <c r="C4986" s="1" t="s">
        <v>2321</v>
      </c>
      <c r="D4986" s="2">
        <v>40544</v>
      </c>
      <c r="E4986" s="1" t="s">
        <v>9982</v>
      </c>
      <c r="F4986" s="1" t="s">
        <v>1948</v>
      </c>
    </row>
    <row r="4987" spans="1:6" ht="30" customHeight="1" x14ac:dyDescent="0.25">
      <c r="A4987" s="1" t="s">
        <v>9983</v>
      </c>
      <c r="B4987" s="1" t="str">
        <f>"9781599473710"</f>
        <v>9781599473710</v>
      </c>
      <c r="C4987" s="1" t="s">
        <v>9984</v>
      </c>
      <c r="D4987" s="2">
        <v>41871</v>
      </c>
      <c r="E4987" s="1" t="s">
        <v>9985</v>
      </c>
      <c r="F4987" s="1" t="s">
        <v>13</v>
      </c>
    </row>
    <row r="4988" spans="1:6" ht="30" customHeight="1" x14ac:dyDescent="0.25">
      <c r="A4988" s="1" t="s">
        <v>9986</v>
      </c>
      <c r="B4988" s="1" t="str">
        <f>"9780123878236"</f>
        <v>9780123878236</v>
      </c>
      <c r="C4988" s="1" t="s">
        <v>900</v>
      </c>
      <c r="D4988" s="2">
        <v>40751</v>
      </c>
      <c r="E4988" s="1" t="s">
        <v>2184</v>
      </c>
      <c r="F4988" s="1" t="s">
        <v>158</v>
      </c>
    </row>
    <row r="4989" spans="1:6" ht="30" customHeight="1" x14ac:dyDescent="0.25">
      <c r="A4989" s="1" t="s">
        <v>9987</v>
      </c>
      <c r="B4989" s="1" t="str">
        <f>"9781442212091"</f>
        <v>9781442212091</v>
      </c>
      <c r="C4989" s="1" t="s">
        <v>8723</v>
      </c>
      <c r="D4989" s="2">
        <v>40832</v>
      </c>
      <c r="E4989" s="1" t="s">
        <v>9988</v>
      </c>
      <c r="F4989" s="1" t="s">
        <v>13</v>
      </c>
    </row>
    <row r="4990" spans="1:6" ht="30" customHeight="1" x14ac:dyDescent="0.25">
      <c r="A4990" s="1" t="s">
        <v>9989</v>
      </c>
      <c r="B4990" s="1" t="str">
        <f>"9780739164426"</f>
        <v>9780739164426</v>
      </c>
      <c r="C4990" s="1" t="s">
        <v>9841</v>
      </c>
      <c r="D4990" s="2">
        <v>40802</v>
      </c>
      <c r="E4990" s="1" t="s">
        <v>9990</v>
      </c>
      <c r="F4990" s="1" t="s">
        <v>214</v>
      </c>
    </row>
    <row r="4991" spans="1:6" ht="30" customHeight="1" x14ac:dyDescent="0.25">
      <c r="A4991" s="1" t="s">
        <v>9991</v>
      </c>
      <c r="B4991" s="1" t="str">
        <f>"9780520949683"</f>
        <v>9780520949683</v>
      </c>
      <c r="C4991" s="1" t="s">
        <v>818</v>
      </c>
      <c r="D4991" s="2">
        <v>40836</v>
      </c>
      <c r="E4991" s="1" t="s">
        <v>9992</v>
      </c>
      <c r="F4991" s="1" t="s">
        <v>95</v>
      </c>
    </row>
    <row r="4992" spans="1:6" ht="30" customHeight="1" x14ac:dyDescent="0.25">
      <c r="A4992" s="1" t="s">
        <v>9993</v>
      </c>
      <c r="B4992" s="1" t="str">
        <f>"9780821387368"</f>
        <v>9780821387368</v>
      </c>
      <c r="C4992" s="1" t="s">
        <v>6702</v>
      </c>
      <c r="D4992" s="2">
        <v>40544</v>
      </c>
      <c r="E4992" s="1" t="s">
        <v>9994</v>
      </c>
      <c r="F4992" s="1" t="s">
        <v>6795</v>
      </c>
    </row>
    <row r="4993" spans="1:6" ht="30" customHeight="1" x14ac:dyDescent="0.25">
      <c r="A4993" s="1" t="s">
        <v>9995</v>
      </c>
      <c r="B4993" s="1" t="str">
        <f>"9780821387955"</f>
        <v>9780821387955</v>
      </c>
      <c r="C4993" s="1" t="s">
        <v>6702</v>
      </c>
      <c r="D4993" s="2">
        <v>40544</v>
      </c>
      <c r="E4993" s="1" t="s">
        <v>9996</v>
      </c>
      <c r="F4993" s="1" t="s">
        <v>95</v>
      </c>
    </row>
    <row r="4994" spans="1:6" ht="30" customHeight="1" x14ac:dyDescent="0.25">
      <c r="A4994" s="1" t="s">
        <v>9997</v>
      </c>
      <c r="B4994" s="1" t="str">
        <f>"9780335240852"</f>
        <v>9780335240852</v>
      </c>
      <c r="C4994" s="1" t="s">
        <v>2247</v>
      </c>
      <c r="D4994" s="2">
        <v>40544</v>
      </c>
      <c r="E4994" s="1" t="s">
        <v>9998</v>
      </c>
      <c r="F4994" s="1" t="s">
        <v>13</v>
      </c>
    </row>
    <row r="4995" spans="1:6" ht="30" customHeight="1" x14ac:dyDescent="0.25">
      <c r="A4995" s="1" t="s">
        <v>9999</v>
      </c>
      <c r="B4995" s="1" t="str">
        <f>"9780335242245"</f>
        <v>9780335242245</v>
      </c>
      <c r="C4995" s="1" t="s">
        <v>2247</v>
      </c>
      <c r="D4995" s="2">
        <v>40544</v>
      </c>
      <c r="E4995" s="1" t="s">
        <v>9769</v>
      </c>
      <c r="F4995" s="1" t="s">
        <v>13</v>
      </c>
    </row>
    <row r="4996" spans="1:6" ht="30" customHeight="1" x14ac:dyDescent="0.25">
      <c r="A4996" s="1" t="s">
        <v>10000</v>
      </c>
      <c r="B4996" s="1" t="str">
        <f>"9780826107794"</f>
        <v>9780826107794</v>
      </c>
      <c r="C4996" s="1" t="s">
        <v>2339</v>
      </c>
      <c r="D4996" s="2">
        <v>40683</v>
      </c>
      <c r="E4996" s="1" t="s">
        <v>10001</v>
      </c>
      <c r="F4996" s="1" t="s">
        <v>283</v>
      </c>
    </row>
    <row r="4997" spans="1:6" ht="30" customHeight="1" x14ac:dyDescent="0.25">
      <c r="A4997" s="1" t="s">
        <v>10002</v>
      </c>
      <c r="B4997" s="1" t="str">
        <f>"9780520934382"</f>
        <v>9780520934382</v>
      </c>
      <c r="C4997" s="1" t="s">
        <v>818</v>
      </c>
      <c r="D4997" s="2">
        <v>39722</v>
      </c>
      <c r="E4997" s="1" t="s">
        <v>5215</v>
      </c>
      <c r="F4997" s="1" t="s">
        <v>3261</v>
      </c>
    </row>
    <row r="4998" spans="1:6" ht="30" customHeight="1" x14ac:dyDescent="0.25">
      <c r="A4998" s="1" t="s">
        <v>10003</v>
      </c>
      <c r="B4998" s="1" t="str">
        <f>"9781845402761"</f>
        <v>9781845402761</v>
      </c>
      <c r="C4998" s="1" t="s">
        <v>9846</v>
      </c>
      <c r="D4998" s="2">
        <v>39407</v>
      </c>
      <c r="E4998" s="1" t="s">
        <v>10004</v>
      </c>
      <c r="F4998" s="1" t="s">
        <v>95</v>
      </c>
    </row>
    <row r="4999" spans="1:6" ht="30" customHeight="1" x14ac:dyDescent="0.25">
      <c r="A4999" s="1" t="s">
        <v>10005</v>
      </c>
      <c r="B4999" s="1" t="str">
        <f>"9781905832484"</f>
        <v>9781905832484</v>
      </c>
      <c r="C4999" s="1" t="s">
        <v>10006</v>
      </c>
      <c r="D4999" s="2">
        <v>39722</v>
      </c>
      <c r="E4999" s="1" t="s">
        <v>10007</v>
      </c>
      <c r="F4999" s="1" t="s">
        <v>13</v>
      </c>
    </row>
    <row r="5000" spans="1:6" ht="30" customHeight="1" x14ac:dyDescent="0.25">
      <c r="A5000" s="1" t="s">
        <v>10008</v>
      </c>
      <c r="B5000" s="1" t="str">
        <f>"9781905832279"</f>
        <v>9781905832279</v>
      </c>
      <c r="C5000" s="1" t="s">
        <v>10006</v>
      </c>
      <c r="D5000" s="2">
        <v>38961</v>
      </c>
      <c r="E5000" s="1" t="s">
        <v>10009</v>
      </c>
      <c r="F5000" s="1" t="s">
        <v>13</v>
      </c>
    </row>
    <row r="5001" spans="1:6" ht="30" customHeight="1" x14ac:dyDescent="0.25">
      <c r="A5001" s="1" t="s">
        <v>10010</v>
      </c>
      <c r="B5001" s="1" t="str">
        <f>"9781905832941"</f>
        <v>9781905832941</v>
      </c>
      <c r="C5001" s="1" t="s">
        <v>10006</v>
      </c>
      <c r="D5001" s="2">
        <v>40634</v>
      </c>
      <c r="E5001" s="1" t="s">
        <v>10011</v>
      </c>
      <c r="F5001" s="1" t="s">
        <v>13</v>
      </c>
    </row>
    <row r="5002" spans="1:6" ht="30" customHeight="1" x14ac:dyDescent="0.25">
      <c r="A5002" s="1" t="s">
        <v>10012</v>
      </c>
      <c r="B5002" s="1" t="str">
        <f>"9781905832439"</f>
        <v>9781905832439</v>
      </c>
      <c r="C5002" s="1" t="s">
        <v>10006</v>
      </c>
      <c r="D5002" s="2">
        <v>39539</v>
      </c>
      <c r="E5002" s="1" t="s">
        <v>10013</v>
      </c>
      <c r="F5002" s="1" t="s">
        <v>13</v>
      </c>
    </row>
    <row r="5003" spans="1:6" ht="30" customHeight="1" x14ac:dyDescent="0.25">
      <c r="A5003" s="1" t="s">
        <v>10014</v>
      </c>
      <c r="B5003" s="1" t="str">
        <f>"9781905832316"</f>
        <v>9781905832316</v>
      </c>
      <c r="C5003" s="1" t="s">
        <v>10006</v>
      </c>
      <c r="D5003" s="2">
        <v>39142</v>
      </c>
      <c r="E5003" s="1" t="s">
        <v>10015</v>
      </c>
      <c r="F5003" s="1" t="s">
        <v>13</v>
      </c>
    </row>
    <row r="5004" spans="1:6" ht="30" customHeight="1" x14ac:dyDescent="0.25">
      <c r="A5004" s="1" t="s">
        <v>10016</v>
      </c>
      <c r="B5004" s="1" t="str">
        <f>"9781905832712"</f>
        <v>9781905832712</v>
      </c>
      <c r="C5004" s="1" t="s">
        <v>10006</v>
      </c>
      <c r="D5004" s="2">
        <v>40118</v>
      </c>
      <c r="E5004" s="1" t="s">
        <v>10017</v>
      </c>
      <c r="F5004" s="1" t="s">
        <v>13</v>
      </c>
    </row>
    <row r="5005" spans="1:6" ht="30" customHeight="1" x14ac:dyDescent="0.25">
      <c r="A5005" s="1" t="s">
        <v>10018</v>
      </c>
      <c r="B5005" s="1" t="str">
        <f>"9781905832255"</f>
        <v>9781905832255</v>
      </c>
      <c r="C5005" s="1" t="s">
        <v>10006</v>
      </c>
      <c r="D5005" s="2">
        <v>38869</v>
      </c>
      <c r="E5005" s="1" t="s">
        <v>10019</v>
      </c>
      <c r="F5005" s="1" t="s">
        <v>13</v>
      </c>
    </row>
    <row r="5006" spans="1:6" ht="30" customHeight="1" x14ac:dyDescent="0.25">
      <c r="A5006" s="1" t="s">
        <v>10020</v>
      </c>
      <c r="B5006" s="1" t="str">
        <f>"9781905832354"</f>
        <v>9781905832354</v>
      </c>
      <c r="C5006" s="1" t="s">
        <v>10006</v>
      </c>
      <c r="D5006" s="2">
        <v>39083</v>
      </c>
      <c r="E5006" s="1" t="s">
        <v>10021</v>
      </c>
      <c r="F5006" s="1" t="s">
        <v>13</v>
      </c>
    </row>
    <row r="5007" spans="1:6" ht="30" customHeight="1" x14ac:dyDescent="0.25">
      <c r="A5007" s="1" t="s">
        <v>10022</v>
      </c>
      <c r="B5007" s="1" t="str">
        <f>"9781905832958"</f>
        <v>9781905832958</v>
      </c>
      <c r="C5007" s="1" t="s">
        <v>10006</v>
      </c>
      <c r="D5007" s="2">
        <v>40603</v>
      </c>
      <c r="E5007" s="1" t="s">
        <v>10023</v>
      </c>
      <c r="F5007" s="1" t="s">
        <v>13</v>
      </c>
    </row>
    <row r="5008" spans="1:6" ht="30" customHeight="1" x14ac:dyDescent="0.25">
      <c r="A5008" s="1" t="s">
        <v>10024</v>
      </c>
      <c r="B5008" s="1" t="str">
        <f>"9781905832330"</f>
        <v>9781905832330</v>
      </c>
      <c r="C5008" s="1" t="s">
        <v>10006</v>
      </c>
      <c r="D5008" s="2">
        <v>39083</v>
      </c>
      <c r="E5008" s="1" t="s">
        <v>10025</v>
      </c>
      <c r="F5008" s="1" t="s">
        <v>13</v>
      </c>
    </row>
    <row r="5009" spans="1:6" ht="30" customHeight="1" x14ac:dyDescent="0.25">
      <c r="A5009" s="1" t="s">
        <v>10026</v>
      </c>
      <c r="B5009" s="1" t="str">
        <f>"9781903734971"</f>
        <v>9781903734971</v>
      </c>
      <c r="C5009" s="1" t="s">
        <v>10006</v>
      </c>
      <c r="D5009" s="2">
        <v>39600</v>
      </c>
      <c r="E5009" s="1" t="s">
        <v>10027</v>
      </c>
      <c r="F5009" s="1" t="s">
        <v>13</v>
      </c>
    </row>
    <row r="5010" spans="1:6" ht="30" customHeight="1" x14ac:dyDescent="0.25">
      <c r="A5010" s="1" t="s">
        <v>10028</v>
      </c>
      <c r="B5010" s="1" t="str">
        <f>"9781905832231"</f>
        <v>9781905832231</v>
      </c>
      <c r="C5010" s="1" t="s">
        <v>10006</v>
      </c>
      <c r="D5010" s="2">
        <v>38838</v>
      </c>
      <c r="E5010" s="1" t="s">
        <v>10029</v>
      </c>
      <c r="F5010" s="1" t="s">
        <v>13</v>
      </c>
    </row>
    <row r="5011" spans="1:6" ht="30" customHeight="1" x14ac:dyDescent="0.25">
      <c r="A5011" s="1" t="s">
        <v>10030</v>
      </c>
      <c r="B5011" s="1" t="str">
        <f>"9781905832729"</f>
        <v>9781905832729</v>
      </c>
      <c r="C5011" s="1" t="s">
        <v>10006</v>
      </c>
      <c r="D5011" s="2">
        <v>40179</v>
      </c>
      <c r="E5011" s="1" t="s">
        <v>10031</v>
      </c>
      <c r="F5011" s="1" t="s">
        <v>13</v>
      </c>
    </row>
    <row r="5012" spans="1:6" ht="30" customHeight="1" x14ac:dyDescent="0.25">
      <c r="A5012" s="1" t="s">
        <v>10032</v>
      </c>
      <c r="B5012" s="1" t="str">
        <f>"9781905832477"</f>
        <v>9781905832477</v>
      </c>
      <c r="C5012" s="1" t="s">
        <v>10006</v>
      </c>
      <c r="D5012" s="2">
        <v>39692</v>
      </c>
      <c r="E5012" s="1" t="s">
        <v>10033</v>
      </c>
      <c r="F5012" s="1" t="s">
        <v>13</v>
      </c>
    </row>
    <row r="5013" spans="1:6" ht="30" customHeight="1" x14ac:dyDescent="0.25">
      <c r="A5013" s="1" t="s">
        <v>10034</v>
      </c>
      <c r="B5013" s="1" t="str">
        <f>"9781905832248"</f>
        <v>9781905832248</v>
      </c>
      <c r="C5013" s="1" t="s">
        <v>10006</v>
      </c>
      <c r="D5013" s="2">
        <v>38838</v>
      </c>
      <c r="E5013" s="1" t="s">
        <v>10035</v>
      </c>
      <c r="F5013" s="1" t="s">
        <v>13</v>
      </c>
    </row>
    <row r="5014" spans="1:6" ht="30" customHeight="1" x14ac:dyDescent="0.25">
      <c r="A5014" s="1" t="s">
        <v>10036</v>
      </c>
      <c r="B5014" s="1" t="str">
        <f>"9781905832361"</f>
        <v>9781905832361</v>
      </c>
      <c r="C5014" s="1" t="s">
        <v>10006</v>
      </c>
      <c r="D5014" s="2">
        <v>39448</v>
      </c>
      <c r="E5014" s="1" t="s">
        <v>10037</v>
      </c>
      <c r="F5014" s="1" t="s">
        <v>13</v>
      </c>
    </row>
    <row r="5015" spans="1:6" ht="30" customHeight="1" x14ac:dyDescent="0.25">
      <c r="A5015" s="1" t="s">
        <v>10038</v>
      </c>
      <c r="B5015" s="1" t="str">
        <f>"9781905832262"</f>
        <v>9781905832262</v>
      </c>
      <c r="C5015" s="1" t="s">
        <v>10006</v>
      </c>
      <c r="D5015" s="2">
        <v>38718</v>
      </c>
      <c r="E5015" s="1" t="s">
        <v>10039</v>
      </c>
      <c r="F5015" s="1" t="s">
        <v>13</v>
      </c>
    </row>
    <row r="5016" spans="1:6" ht="30" customHeight="1" x14ac:dyDescent="0.25">
      <c r="A5016" s="1" t="s">
        <v>10040</v>
      </c>
      <c r="B5016" s="1" t="str">
        <f>"9781847429438"</f>
        <v>9781847429438</v>
      </c>
      <c r="C5016" s="1" t="s">
        <v>5446</v>
      </c>
      <c r="D5016" s="2">
        <v>40709</v>
      </c>
      <c r="E5016" s="1" t="s">
        <v>10041</v>
      </c>
      <c r="F5016" s="1" t="s">
        <v>30</v>
      </c>
    </row>
    <row r="5017" spans="1:6" ht="30" customHeight="1" x14ac:dyDescent="0.25">
      <c r="A5017" s="1" t="s">
        <v>10042</v>
      </c>
      <c r="B5017" s="1" t="str">
        <f>"9781442203051"</f>
        <v>9781442203051</v>
      </c>
      <c r="C5017" s="1" t="s">
        <v>8723</v>
      </c>
      <c r="D5017" s="2">
        <v>40832</v>
      </c>
      <c r="E5017" s="1" t="s">
        <v>10043</v>
      </c>
      <c r="F5017" s="1" t="s">
        <v>13</v>
      </c>
    </row>
    <row r="5018" spans="1:6" ht="30" customHeight="1" x14ac:dyDescent="0.25">
      <c r="A5018" s="1" t="s">
        <v>10044</v>
      </c>
      <c r="B5018" s="1" t="str">
        <f>"9780199719808"</f>
        <v>9780199719808</v>
      </c>
      <c r="C5018" s="1" t="s">
        <v>1123</v>
      </c>
      <c r="D5018" s="2">
        <v>39563</v>
      </c>
      <c r="E5018" s="1" t="s">
        <v>10045</v>
      </c>
      <c r="F5018" s="1" t="s">
        <v>268</v>
      </c>
    </row>
    <row r="5019" spans="1:6" ht="30" customHeight="1" x14ac:dyDescent="0.25">
      <c r="A5019" s="1" t="s">
        <v>10046</v>
      </c>
      <c r="B5019" s="1" t="str">
        <f>"9780199887835"</f>
        <v>9780199887835</v>
      </c>
      <c r="C5019" s="1" t="s">
        <v>1123</v>
      </c>
      <c r="D5019" s="2">
        <v>39623</v>
      </c>
      <c r="E5019" s="1" t="s">
        <v>10047</v>
      </c>
      <c r="F5019" s="1" t="s">
        <v>21</v>
      </c>
    </row>
    <row r="5020" spans="1:6" ht="30" customHeight="1" x14ac:dyDescent="0.25">
      <c r="A5020" s="1" t="s">
        <v>10048</v>
      </c>
      <c r="B5020" s="1" t="str">
        <f>"9781849409223"</f>
        <v>9781849409223</v>
      </c>
      <c r="C5020" s="1" t="s">
        <v>68</v>
      </c>
      <c r="D5020" s="2">
        <v>40908</v>
      </c>
      <c r="E5020" s="1" t="s">
        <v>10049</v>
      </c>
      <c r="F5020" s="1" t="s">
        <v>13</v>
      </c>
    </row>
    <row r="5021" spans="1:6" ht="30" customHeight="1" x14ac:dyDescent="0.25">
      <c r="A5021" s="1" t="s">
        <v>10050</v>
      </c>
      <c r="B5021" s="1" t="str">
        <f>"9781849409247"</f>
        <v>9781849409247</v>
      </c>
      <c r="C5021" s="1" t="s">
        <v>68</v>
      </c>
      <c r="D5021" s="2">
        <v>40908</v>
      </c>
      <c r="E5021" s="1" t="s">
        <v>10051</v>
      </c>
      <c r="F5021" s="1" t="s">
        <v>13</v>
      </c>
    </row>
    <row r="5022" spans="1:6" ht="30" customHeight="1" x14ac:dyDescent="0.25">
      <c r="A5022" s="1" t="s">
        <v>10052</v>
      </c>
      <c r="B5022" s="1" t="str">
        <f>"9781849409278"</f>
        <v>9781849409278</v>
      </c>
      <c r="C5022" s="1" t="s">
        <v>8994</v>
      </c>
      <c r="D5022" s="2">
        <v>40765</v>
      </c>
      <c r="E5022" s="1" t="s">
        <v>10053</v>
      </c>
      <c r="F5022" s="1" t="s">
        <v>13</v>
      </c>
    </row>
    <row r="5023" spans="1:6" ht="30" customHeight="1" x14ac:dyDescent="0.25">
      <c r="A5023" s="1" t="s">
        <v>10054</v>
      </c>
      <c r="B5023" s="1" t="str">
        <f>"9781905832989"</f>
        <v>9781905832989</v>
      </c>
      <c r="C5023" s="1" t="s">
        <v>10006</v>
      </c>
      <c r="D5023" s="2">
        <v>40756</v>
      </c>
      <c r="E5023" s="1" t="s">
        <v>10055</v>
      </c>
      <c r="F5023" s="1" t="s">
        <v>13</v>
      </c>
    </row>
    <row r="5024" spans="1:6" ht="30" customHeight="1" x14ac:dyDescent="0.25">
      <c r="A5024" s="1" t="s">
        <v>10056</v>
      </c>
      <c r="B5024" s="1" t="str">
        <f>"9781905832972"</f>
        <v>9781905832972</v>
      </c>
      <c r="C5024" s="1" t="s">
        <v>10006</v>
      </c>
      <c r="D5024" s="2">
        <v>40756</v>
      </c>
      <c r="E5024" s="1" t="s">
        <v>10057</v>
      </c>
      <c r="F5024" s="1" t="s">
        <v>13</v>
      </c>
    </row>
    <row r="5025" spans="1:6" ht="30" customHeight="1" x14ac:dyDescent="0.25">
      <c r="A5025" s="1" t="s">
        <v>10058</v>
      </c>
      <c r="B5025" s="1" t="str">
        <f>"9789240687479"</f>
        <v>9789240687479</v>
      </c>
      <c r="C5025" s="1" t="s">
        <v>1981</v>
      </c>
      <c r="D5025" s="2">
        <v>36526</v>
      </c>
      <c r="E5025" s="1" t="s">
        <v>10059</v>
      </c>
      <c r="F5025" s="1" t="s">
        <v>13</v>
      </c>
    </row>
    <row r="5026" spans="1:6" ht="30" customHeight="1" x14ac:dyDescent="0.25">
      <c r="A5026" s="1" t="s">
        <v>10060</v>
      </c>
      <c r="B5026" s="1" t="str">
        <f>"9789240687301"</f>
        <v>9789240687301</v>
      </c>
      <c r="C5026" s="1" t="s">
        <v>1981</v>
      </c>
      <c r="D5026" s="2">
        <v>37727</v>
      </c>
      <c r="E5026" s="1" t="s">
        <v>10061</v>
      </c>
      <c r="F5026" s="1" t="s">
        <v>30</v>
      </c>
    </row>
    <row r="5027" spans="1:6" ht="30" customHeight="1" x14ac:dyDescent="0.25">
      <c r="A5027" s="1" t="s">
        <v>10062</v>
      </c>
      <c r="B5027" s="1" t="str">
        <f>"9789240686496"</f>
        <v>9789240686496</v>
      </c>
      <c r="C5027" s="1" t="s">
        <v>1981</v>
      </c>
      <c r="D5027" s="2">
        <v>36861</v>
      </c>
      <c r="E5027" s="1" t="s">
        <v>1981</v>
      </c>
      <c r="F5027" s="1" t="s">
        <v>95</v>
      </c>
    </row>
    <row r="5028" spans="1:6" ht="30" customHeight="1" x14ac:dyDescent="0.25">
      <c r="A5028" s="1" t="s">
        <v>10063</v>
      </c>
      <c r="B5028" s="1" t="str">
        <f>"9789240686489"</f>
        <v>9789240686489</v>
      </c>
      <c r="C5028" s="1" t="s">
        <v>1981</v>
      </c>
      <c r="D5028" s="2">
        <v>36647</v>
      </c>
      <c r="E5028" s="1" t="s">
        <v>1981</v>
      </c>
      <c r="F5028" s="1" t="s">
        <v>70</v>
      </c>
    </row>
    <row r="5029" spans="1:6" ht="30" customHeight="1" x14ac:dyDescent="0.25">
      <c r="A5029" s="1" t="s">
        <v>10064</v>
      </c>
      <c r="B5029" s="1" t="str">
        <f>"9789240687097"</f>
        <v>9789240687097</v>
      </c>
      <c r="C5029" s="1" t="s">
        <v>1981</v>
      </c>
      <c r="D5029" s="2">
        <v>37805</v>
      </c>
      <c r="E5029" s="1" t="s">
        <v>1981</v>
      </c>
      <c r="F5029" s="1" t="s">
        <v>158</v>
      </c>
    </row>
    <row r="5030" spans="1:6" ht="30" customHeight="1" x14ac:dyDescent="0.25">
      <c r="A5030" s="1" t="s">
        <v>10065</v>
      </c>
      <c r="B5030" s="1" t="str">
        <f>"9780199876228"</f>
        <v>9780199876228</v>
      </c>
      <c r="C5030" s="1" t="s">
        <v>1123</v>
      </c>
      <c r="D5030" s="2">
        <v>40786</v>
      </c>
      <c r="E5030" s="1" t="s">
        <v>10066</v>
      </c>
      <c r="F5030" s="1" t="s">
        <v>13</v>
      </c>
    </row>
    <row r="5031" spans="1:6" ht="30" customHeight="1" x14ac:dyDescent="0.25">
      <c r="A5031" s="1" t="s">
        <v>10067</v>
      </c>
      <c r="B5031" s="1" t="str">
        <f>"9780199792153"</f>
        <v>9780199792153</v>
      </c>
      <c r="C5031" s="1" t="s">
        <v>1123</v>
      </c>
      <c r="D5031" s="2">
        <v>40695</v>
      </c>
      <c r="E5031" s="1" t="s">
        <v>10068</v>
      </c>
      <c r="F5031" s="1" t="s">
        <v>13</v>
      </c>
    </row>
    <row r="5032" spans="1:6" ht="30" customHeight="1" x14ac:dyDescent="0.25">
      <c r="A5032" s="1" t="s">
        <v>10069</v>
      </c>
      <c r="B5032" s="1" t="str">
        <f>"9780826104755"</f>
        <v>9780826104755</v>
      </c>
      <c r="C5032" s="1" t="s">
        <v>2339</v>
      </c>
      <c r="D5032" s="2">
        <v>40532</v>
      </c>
      <c r="E5032" s="1" t="s">
        <v>10070</v>
      </c>
      <c r="F5032" s="1" t="s">
        <v>13</v>
      </c>
    </row>
    <row r="5033" spans="1:6" ht="30" customHeight="1" x14ac:dyDescent="0.25">
      <c r="A5033" s="1" t="s">
        <v>10071</v>
      </c>
      <c r="B5033" s="1" t="str">
        <f>"9789240687141"</f>
        <v>9789240687141</v>
      </c>
      <c r="C5033" s="1" t="s">
        <v>1981</v>
      </c>
      <c r="D5033" s="2">
        <v>39364</v>
      </c>
      <c r="E5033" s="1" t="s">
        <v>10072</v>
      </c>
      <c r="F5033" s="1" t="s">
        <v>1349</v>
      </c>
    </row>
    <row r="5034" spans="1:6" ht="30" customHeight="1" x14ac:dyDescent="0.25">
      <c r="A5034" s="1" t="s">
        <v>10073</v>
      </c>
      <c r="B5034" s="1" t="str">
        <f>"9789240684782"</f>
        <v>9789240684782</v>
      </c>
      <c r="C5034" s="1" t="s">
        <v>1981</v>
      </c>
      <c r="D5034" s="2">
        <v>40290</v>
      </c>
      <c r="E5034" s="1" t="s">
        <v>1981</v>
      </c>
      <c r="F5034" s="1" t="s">
        <v>30</v>
      </c>
    </row>
    <row r="5035" spans="1:6" ht="30" customHeight="1" x14ac:dyDescent="0.25">
      <c r="A5035" s="1" t="s">
        <v>10074</v>
      </c>
      <c r="B5035" s="1" t="str">
        <f>"9781613741481"</f>
        <v>9781613741481</v>
      </c>
      <c r="C5035" s="1" t="s">
        <v>7396</v>
      </c>
      <c r="D5035" s="2">
        <v>38231</v>
      </c>
      <c r="E5035" s="1" t="s">
        <v>7397</v>
      </c>
      <c r="F5035" s="1" t="s">
        <v>126</v>
      </c>
    </row>
    <row r="5036" spans="1:6" ht="30" customHeight="1" x14ac:dyDescent="0.25">
      <c r="A5036" s="1" t="s">
        <v>10075</v>
      </c>
      <c r="B5036" s="1" t="str">
        <f>"9781849405232"</f>
        <v>9781849405232</v>
      </c>
      <c r="C5036" s="1" t="s">
        <v>8994</v>
      </c>
      <c r="D5036" s="2">
        <v>39082</v>
      </c>
      <c r="E5036" s="1" t="s">
        <v>10076</v>
      </c>
      <c r="F5036" s="1" t="s">
        <v>304</v>
      </c>
    </row>
    <row r="5037" spans="1:6" ht="30" customHeight="1" x14ac:dyDescent="0.25">
      <c r="A5037" s="1" t="s">
        <v>10077</v>
      </c>
      <c r="B5037" s="1" t="str">
        <f>"9781849405331"</f>
        <v>9781849405331</v>
      </c>
      <c r="C5037" s="1" t="s">
        <v>8994</v>
      </c>
      <c r="D5037" s="2">
        <v>39036</v>
      </c>
      <c r="E5037" s="1" t="s">
        <v>10078</v>
      </c>
      <c r="F5037" s="1" t="s">
        <v>13</v>
      </c>
    </row>
    <row r="5038" spans="1:6" ht="30" customHeight="1" x14ac:dyDescent="0.25">
      <c r="A5038" s="1" t="s">
        <v>10079</v>
      </c>
      <c r="B5038" s="1" t="str">
        <f>"9781849404792"</f>
        <v>9781849404792</v>
      </c>
      <c r="C5038" s="1" t="s">
        <v>8994</v>
      </c>
      <c r="D5038" s="2">
        <v>38717</v>
      </c>
      <c r="E5038" s="1" t="s">
        <v>10080</v>
      </c>
      <c r="F5038" s="1" t="s">
        <v>13</v>
      </c>
    </row>
    <row r="5039" spans="1:6" ht="30" customHeight="1" x14ac:dyDescent="0.25">
      <c r="A5039" s="1" t="s">
        <v>10081</v>
      </c>
      <c r="B5039" s="1" t="str">
        <f>"9781849404150"</f>
        <v>9781849404150</v>
      </c>
      <c r="C5039" s="1" t="s">
        <v>8994</v>
      </c>
      <c r="D5039" s="2">
        <v>37965</v>
      </c>
      <c r="E5039" s="1" t="s">
        <v>10082</v>
      </c>
      <c r="F5039" s="1" t="s">
        <v>13</v>
      </c>
    </row>
    <row r="5040" spans="1:6" ht="30" customHeight="1" x14ac:dyDescent="0.25">
      <c r="A5040" s="1" t="s">
        <v>10083</v>
      </c>
      <c r="B5040" s="1" t="str">
        <f>"9781849406482"</f>
        <v>9781849406482</v>
      </c>
      <c r="C5040" s="1" t="s">
        <v>8994</v>
      </c>
      <c r="D5040" s="2">
        <v>39478</v>
      </c>
      <c r="E5040" s="1" t="s">
        <v>10084</v>
      </c>
      <c r="F5040" s="1" t="s">
        <v>104</v>
      </c>
    </row>
    <row r="5041" spans="1:6" ht="30" customHeight="1" x14ac:dyDescent="0.25">
      <c r="A5041" s="1" t="s">
        <v>10085</v>
      </c>
      <c r="B5041" s="1" t="str">
        <f>"9781849405393"</f>
        <v>9781849405393</v>
      </c>
      <c r="C5041" s="1" t="s">
        <v>68</v>
      </c>
      <c r="D5041" s="2">
        <v>38870</v>
      </c>
      <c r="E5041" s="1" t="s">
        <v>10086</v>
      </c>
      <c r="F5041" s="1" t="s">
        <v>13</v>
      </c>
    </row>
    <row r="5042" spans="1:6" ht="30" customHeight="1" x14ac:dyDescent="0.25">
      <c r="A5042" s="1" t="s">
        <v>10087</v>
      </c>
      <c r="B5042" s="1" t="str">
        <f>"9781849405287"</f>
        <v>9781849405287</v>
      </c>
      <c r="C5042" s="1" t="s">
        <v>8994</v>
      </c>
      <c r="D5042" s="2">
        <v>38877</v>
      </c>
      <c r="E5042" s="1" t="s">
        <v>10088</v>
      </c>
      <c r="F5042" s="1" t="s">
        <v>104</v>
      </c>
    </row>
    <row r="5043" spans="1:6" ht="30" customHeight="1" x14ac:dyDescent="0.25">
      <c r="A5043" s="1" t="s">
        <v>10089</v>
      </c>
      <c r="B5043" s="1" t="str">
        <f>"9781849404198"</f>
        <v>9781849404198</v>
      </c>
      <c r="C5043" s="1" t="s">
        <v>8994</v>
      </c>
      <c r="D5043" s="2">
        <v>38352</v>
      </c>
      <c r="E5043" s="1" t="s">
        <v>10090</v>
      </c>
      <c r="F5043" s="1" t="s">
        <v>13</v>
      </c>
    </row>
    <row r="5044" spans="1:6" ht="30" customHeight="1" x14ac:dyDescent="0.25">
      <c r="A5044" s="1" t="s">
        <v>10091</v>
      </c>
      <c r="B5044" s="1" t="str">
        <f>"9781849408721"</f>
        <v>9781849408721</v>
      </c>
      <c r="C5044" s="1" t="s">
        <v>8994</v>
      </c>
      <c r="D5044" s="2">
        <v>40596</v>
      </c>
      <c r="E5044" s="1" t="s">
        <v>10092</v>
      </c>
      <c r="F5044" s="1" t="s">
        <v>13</v>
      </c>
    </row>
    <row r="5045" spans="1:6" ht="30" customHeight="1" x14ac:dyDescent="0.25">
      <c r="A5045" s="1" t="s">
        <v>10093</v>
      </c>
      <c r="B5045" s="1" t="str">
        <f>"9781849403795"</f>
        <v>9781849403795</v>
      </c>
      <c r="C5045" s="1" t="s">
        <v>68</v>
      </c>
      <c r="D5045" s="2">
        <v>37986</v>
      </c>
      <c r="E5045" s="1" t="s">
        <v>10094</v>
      </c>
      <c r="F5045" s="1" t="s">
        <v>13</v>
      </c>
    </row>
    <row r="5046" spans="1:6" ht="30" customHeight="1" x14ac:dyDescent="0.25">
      <c r="A5046" s="1" t="s">
        <v>10095</v>
      </c>
      <c r="B5046" s="1" t="str">
        <f>"9781849409919"</f>
        <v>9781849409919</v>
      </c>
      <c r="C5046" s="1" t="s">
        <v>8994</v>
      </c>
      <c r="D5046" s="2">
        <v>37621</v>
      </c>
      <c r="E5046" s="1" t="s">
        <v>10096</v>
      </c>
      <c r="F5046" s="1" t="s">
        <v>291</v>
      </c>
    </row>
    <row r="5047" spans="1:6" ht="30" customHeight="1" x14ac:dyDescent="0.25">
      <c r="A5047" s="1" t="s">
        <v>10097</v>
      </c>
      <c r="B5047" s="1" t="str">
        <f>"9781849405386"</f>
        <v>9781849405386</v>
      </c>
      <c r="C5047" s="1" t="s">
        <v>8994</v>
      </c>
      <c r="D5047" s="2">
        <v>39082</v>
      </c>
      <c r="E5047" s="1" t="s">
        <v>10098</v>
      </c>
      <c r="F5047" s="1" t="s">
        <v>13</v>
      </c>
    </row>
    <row r="5048" spans="1:6" ht="30" customHeight="1" x14ac:dyDescent="0.25">
      <c r="A5048" s="1" t="s">
        <v>10099</v>
      </c>
      <c r="B5048" s="1" t="str">
        <f>"9781849404921"</f>
        <v>9781849404921</v>
      </c>
      <c r="C5048" s="1" t="s">
        <v>68</v>
      </c>
      <c r="D5048" s="2">
        <v>38717</v>
      </c>
      <c r="E5048" s="1" t="s">
        <v>10100</v>
      </c>
      <c r="F5048" s="1" t="s">
        <v>13</v>
      </c>
    </row>
    <row r="5049" spans="1:6" ht="30" customHeight="1" x14ac:dyDescent="0.25">
      <c r="A5049" s="1" t="s">
        <v>10101</v>
      </c>
      <c r="B5049" s="1" t="str">
        <f>"9781849404907"</f>
        <v>9781849404907</v>
      </c>
      <c r="C5049" s="1" t="s">
        <v>8994</v>
      </c>
      <c r="D5049" s="2">
        <v>38650</v>
      </c>
      <c r="E5049" s="1" t="s">
        <v>10102</v>
      </c>
      <c r="F5049" s="1" t="s">
        <v>13</v>
      </c>
    </row>
    <row r="5050" spans="1:6" ht="30" customHeight="1" x14ac:dyDescent="0.25">
      <c r="A5050" s="1" t="s">
        <v>10103</v>
      </c>
      <c r="B5050" s="1" t="str">
        <f>"9781849404709"</f>
        <v>9781849404709</v>
      </c>
      <c r="C5050" s="1" t="s">
        <v>68</v>
      </c>
      <c r="D5050" s="2">
        <v>38717</v>
      </c>
      <c r="E5050" s="1" t="s">
        <v>10104</v>
      </c>
      <c r="F5050" s="1" t="s">
        <v>13</v>
      </c>
    </row>
    <row r="5051" spans="1:6" ht="30" customHeight="1" x14ac:dyDescent="0.25">
      <c r="A5051" s="1" t="s">
        <v>10105</v>
      </c>
      <c r="B5051" s="1" t="str">
        <f>"9781849404143"</f>
        <v>9781849404143</v>
      </c>
      <c r="C5051" s="1" t="s">
        <v>68</v>
      </c>
      <c r="D5051" s="2">
        <v>37965</v>
      </c>
      <c r="E5051" s="1" t="s">
        <v>10082</v>
      </c>
      <c r="F5051" s="1" t="s">
        <v>13</v>
      </c>
    </row>
    <row r="5052" spans="1:6" ht="30" customHeight="1" x14ac:dyDescent="0.25">
      <c r="A5052" s="1" t="s">
        <v>10106</v>
      </c>
      <c r="B5052" s="1" t="str">
        <f>"9781849404754"</f>
        <v>9781849404754</v>
      </c>
      <c r="C5052" s="1" t="s">
        <v>8994</v>
      </c>
      <c r="D5052" s="2">
        <v>38617</v>
      </c>
      <c r="E5052" s="1" t="s">
        <v>10107</v>
      </c>
      <c r="F5052" s="1" t="s">
        <v>13</v>
      </c>
    </row>
    <row r="5053" spans="1:6" ht="30" customHeight="1" x14ac:dyDescent="0.25">
      <c r="A5053" s="1" t="s">
        <v>10108</v>
      </c>
      <c r="B5053" s="1" t="str">
        <f>"9781849405362"</f>
        <v>9781849405362</v>
      </c>
      <c r="C5053" s="1" t="s">
        <v>68</v>
      </c>
      <c r="D5053" s="2">
        <v>38902</v>
      </c>
      <c r="E5053" s="1" t="s">
        <v>10109</v>
      </c>
      <c r="F5053" s="1" t="s">
        <v>13</v>
      </c>
    </row>
    <row r="5054" spans="1:6" ht="30" customHeight="1" x14ac:dyDescent="0.25">
      <c r="A5054" s="1" t="s">
        <v>10110</v>
      </c>
      <c r="B5054" s="1" t="str">
        <f>"9781849404600"</f>
        <v>9781849404600</v>
      </c>
      <c r="C5054" s="1" t="s">
        <v>8994</v>
      </c>
      <c r="D5054" s="2">
        <v>38512</v>
      </c>
      <c r="E5054" s="1" t="s">
        <v>9208</v>
      </c>
      <c r="F5054" s="1" t="s">
        <v>362</v>
      </c>
    </row>
    <row r="5055" spans="1:6" ht="30" customHeight="1" x14ac:dyDescent="0.25">
      <c r="A5055" s="1" t="s">
        <v>10111</v>
      </c>
      <c r="B5055" s="1" t="str">
        <f>"9781849405201"</f>
        <v>9781849405201</v>
      </c>
      <c r="C5055" s="1" t="s">
        <v>8994</v>
      </c>
      <c r="D5055" s="2">
        <v>39082</v>
      </c>
      <c r="E5055" s="1" t="s">
        <v>10112</v>
      </c>
      <c r="F5055" s="1" t="s">
        <v>13</v>
      </c>
    </row>
    <row r="5056" spans="1:6" ht="30" customHeight="1" x14ac:dyDescent="0.25">
      <c r="A5056" s="1" t="s">
        <v>10113</v>
      </c>
      <c r="B5056" s="1" t="str">
        <f>"9781849405430"</f>
        <v>9781849405430</v>
      </c>
      <c r="C5056" s="1" t="s">
        <v>68</v>
      </c>
      <c r="D5056" s="2">
        <v>38905</v>
      </c>
      <c r="E5056" s="1" t="s">
        <v>10114</v>
      </c>
      <c r="F5056" s="1" t="s">
        <v>13</v>
      </c>
    </row>
    <row r="5057" spans="1:6" ht="30" customHeight="1" x14ac:dyDescent="0.25">
      <c r="A5057" s="1" t="s">
        <v>10115</v>
      </c>
      <c r="B5057" s="1" t="str">
        <f>"9781849404259"</f>
        <v>9781849404259</v>
      </c>
      <c r="C5057" s="1" t="s">
        <v>68</v>
      </c>
      <c r="D5057" s="2">
        <v>38141</v>
      </c>
      <c r="E5057" s="1" t="s">
        <v>10116</v>
      </c>
      <c r="F5057" s="1" t="s">
        <v>13</v>
      </c>
    </row>
    <row r="5058" spans="1:6" ht="30" customHeight="1" x14ac:dyDescent="0.25">
      <c r="A5058" s="1" t="s">
        <v>10117</v>
      </c>
      <c r="B5058" s="1" t="str">
        <f>"9781849404495"</f>
        <v>9781849404495</v>
      </c>
      <c r="C5058" s="1" t="s">
        <v>8994</v>
      </c>
      <c r="D5058" s="2">
        <v>38352</v>
      </c>
      <c r="E5058" s="1" t="s">
        <v>10118</v>
      </c>
      <c r="F5058" s="1" t="s">
        <v>13</v>
      </c>
    </row>
    <row r="5059" spans="1:6" ht="30" customHeight="1" x14ac:dyDescent="0.25">
      <c r="A5059" s="1" t="s">
        <v>10119</v>
      </c>
      <c r="B5059" s="1" t="str">
        <f>"9781849404006"</f>
        <v>9781849404006</v>
      </c>
      <c r="C5059" s="1" t="s">
        <v>8994</v>
      </c>
      <c r="D5059" s="2">
        <v>37693</v>
      </c>
      <c r="E5059" s="1" t="s">
        <v>10120</v>
      </c>
      <c r="F5059" s="1" t="s">
        <v>291</v>
      </c>
    </row>
    <row r="5060" spans="1:6" ht="30" customHeight="1" x14ac:dyDescent="0.25">
      <c r="A5060" s="1" t="s">
        <v>10121</v>
      </c>
      <c r="B5060" s="1" t="str">
        <f>"9781849400268"</f>
        <v>9781849400268</v>
      </c>
      <c r="C5060" s="1" t="s">
        <v>68</v>
      </c>
      <c r="D5060" s="2">
        <v>31047</v>
      </c>
      <c r="E5060" s="1" t="s">
        <v>9181</v>
      </c>
      <c r="F5060" s="1" t="s">
        <v>104</v>
      </c>
    </row>
    <row r="5061" spans="1:6" ht="30" customHeight="1" x14ac:dyDescent="0.25">
      <c r="A5061" s="1" t="s">
        <v>10122</v>
      </c>
      <c r="B5061" s="1" t="str">
        <f>"9781849403818"</f>
        <v>9781849403818</v>
      </c>
      <c r="C5061" s="1" t="s">
        <v>68</v>
      </c>
      <c r="D5061" s="2">
        <v>37889</v>
      </c>
      <c r="E5061" s="1" t="s">
        <v>10123</v>
      </c>
      <c r="F5061" s="1" t="s">
        <v>599</v>
      </c>
    </row>
    <row r="5062" spans="1:6" ht="30" customHeight="1" x14ac:dyDescent="0.25">
      <c r="A5062" s="1" t="s">
        <v>10124</v>
      </c>
      <c r="B5062" s="1" t="str">
        <f>"9781849404877"</f>
        <v>9781849404877</v>
      </c>
      <c r="C5062" s="1" t="s">
        <v>8994</v>
      </c>
      <c r="D5062" s="2">
        <v>38717</v>
      </c>
      <c r="E5062" s="1" t="s">
        <v>10125</v>
      </c>
      <c r="F5062" s="1" t="s">
        <v>304</v>
      </c>
    </row>
    <row r="5063" spans="1:6" ht="30" customHeight="1" x14ac:dyDescent="0.25">
      <c r="A5063" s="1" t="s">
        <v>10126</v>
      </c>
      <c r="B5063" s="1" t="str">
        <f>"9781849405218"</f>
        <v>9781849405218</v>
      </c>
      <c r="C5063" s="1" t="s">
        <v>68</v>
      </c>
      <c r="D5063" s="2">
        <v>39082</v>
      </c>
      <c r="E5063" s="1" t="s">
        <v>10127</v>
      </c>
      <c r="F5063" s="1" t="s">
        <v>291</v>
      </c>
    </row>
    <row r="5064" spans="1:6" ht="30" customHeight="1" x14ac:dyDescent="0.25">
      <c r="A5064" s="1" t="s">
        <v>10128</v>
      </c>
      <c r="B5064" s="1" t="str">
        <f>"9781849405379"</f>
        <v>9781849405379</v>
      </c>
      <c r="C5064" s="1" t="s">
        <v>8994</v>
      </c>
      <c r="D5064" s="2">
        <v>39003</v>
      </c>
      <c r="E5064" s="1" t="s">
        <v>9611</v>
      </c>
      <c r="F5064" s="1" t="s">
        <v>13</v>
      </c>
    </row>
    <row r="5065" spans="1:6" ht="30" customHeight="1" x14ac:dyDescent="0.25">
      <c r="A5065" s="1" t="s">
        <v>10129</v>
      </c>
      <c r="B5065" s="1" t="str">
        <f>"9781849404167"</f>
        <v>9781849404167</v>
      </c>
      <c r="C5065" s="1" t="s">
        <v>8994</v>
      </c>
      <c r="D5065" s="2">
        <v>38352</v>
      </c>
      <c r="E5065" s="1" t="s">
        <v>9246</v>
      </c>
      <c r="F5065" s="1" t="s">
        <v>13</v>
      </c>
    </row>
    <row r="5066" spans="1:6" ht="30" customHeight="1" x14ac:dyDescent="0.25">
      <c r="A5066" s="1" t="s">
        <v>10130</v>
      </c>
      <c r="B5066" s="1" t="str">
        <f>"9781849404501"</f>
        <v>9781849404501</v>
      </c>
      <c r="C5066" s="1" t="s">
        <v>8994</v>
      </c>
      <c r="D5066" s="2">
        <v>38352</v>
      </c>
      <c r="E5066" s="1" t="s">
        <v>10131</v>
      </c>
      <c r="F5066" s="1" t="s">
        <v>13</v>
      </c>
    </row>
    <row r="5067" spans="1:6" ht="30" customHeight="1" x14ac:dyDescent="0.25">
      <c r="A5067" s="1" t="s">
        <v>10132</v>
      </c>
      <c r="B5067" s="1" t="str">
        <f>"9781849403597"</f>
        <v>9781849403597</v>
      </c>
      <c r="C5067" s="1" t="s">
        <v>8994</v>
      </c>
      <c r="D5067" s="2">
        <v>37392</v>
      </c>
      <c r="E5067" s="1" t="s">
        <v>10133</v>
      </c>
      <c r="F5067" s="1" t="s">
        <v>291</v>
      </c>
    </row>
    <row r="5068" spans="1:6" ht="30" customHeight="1" x14ac:dyDescent="0.25">
      <c r="A5068" s="1" t="s">
        <v>10134</v>
      </c>
      <c r="B5068" s="1" t="str">
        <f>"9781849403504"</f>
        <v>9781849403504</v>
      </c>
      <c r="C5068" s="1" t="s">
        <v>8994</v>
      </c>
      <c r="D5068" s="2">
        <v>37621</v>
      </c>
      <c r="E5068" s="1" t="s">
        <v>10135</v>
      </c>
      <c r="F5068" s="1" t="s">
        <v>13</v>
      </c>
    </row>
    <row r="5069" spans="1:6" ht="30" customHeight="1" x14ac:dyDescent="0.25">
      <c r="A5069" s="1" t="s">
        <v>10136</v>
      </c>
      <c r="B5069" s="1" t="str">
        <f>"9781849400404"</f>
        <v>9781849400404</v>
      </c>
      <c r="C5069" s="1" t="s">
        <v>8994</v>
      </c>
      <c r="D5069" s="2">
        <v>31777</v>
      </c>
      <c r="E5069" s="1" t="s">
        <v>10137</v>
      </c>
      <c r="F5069" s="1" t="s">
        <v>291</v>
      </c>
    </row>
    <row r="5070" spans="1:6" ht="30" customHeight="1" x14ac:dyDescent="0.25">
      <c r="A5070" s="1" t="s">
        <v>10138</v>
      </c>
      <c r="B5070" s="1" t="str">
        <f>"9781849400107"</f>
        <v>9781849400107</v>
      </c>
      <c r="C5070" s="1" t="s">
        <v>8994</v>
      </c>
      <c r="D5070" s="2">
        <v>29220</v>
      </c>
      <c r="E5070" s="1" t="s">
        <v>10139</v>
      </c>
      <c r="F5070" s="1" t="s">
        <v>21</v>
      </c>
    </row>
    <row r="5071" spans="1:6" ht="30" customHeight="1" x14ac:dyDescent="0.25">
      <c r="A5071" s="1" t="s">
        <v>10140</v>
      </c>
      <c r="B5071" s="1" t="str">
        <f>"9781849404211"</f>
        <v>9781849404211</v>
      </c>
      <c r="C5071" s="1" t="s">
        <v>8994</v>
      </c>
      <c r="D5071" s="2">
        <v>38352</v>
      </c>
      <c r="E5071" s="1" t="s">
        <v>10141</v>
      </c>
      <c r="F5071" s="1" t="s">
        <v>291</v>
      </c>
    </row>
    <row r="5072" spans="1:6" ht="30" customHeight="1" x14ac:dyDescent="0.25">
      <c r="A5072" s="1" t="s">
        <v>10142</v>
      </c>
      <c r="B5072" s="1" t="str">
        <f>"9781849400312"</f>
        <v>9781849400312</v>
      </c>
      <c r="C5072" s="1" t="s">
        <v>68</v>
      </c>
      <c r="D5072" s="2">
        <v>31412</v>
      </c>
      <c r="E5072" s="1" t="s">
        <v>10143</v>
      </c>
      <c r="F5072" s="1" t="s">
        <v>104</v>
      </c>
    </row>
    <row r="5073" spans="1:6" ht="30" customHeight="1" x14ac:dyDescent="0.25">
      <c r="A5073" s="1" t="s">
        <v>10144</v>
      </c>
      <c r="B5073" s="1" t="str">
        <f>"9781849404464"</f>
        <v>9781849404464</v>
      </c>
      <c r="C5073" s="1" t="s">
        <v>68</v>
      </c>
      <c r="D5073" s="2">
        <v>38315</v>
      </c>
      <c r="E5073" s="1" t="s">
        <v>9151</v>
      </c>
      <c r="F5073" s="1" t="s">
        <v>13</v>
      </c>
    </row>
    <row r="5074" spans="1:6" ht="30" customHeight="1" x14ac:dyDescent="0.25">
      <c r="A5074" s="1" t="s">
        <v>10145</v>
      </c>
      <c r="B5074" s="1" t="str">
        <f>"9781849405355"</f>
        <v>9781849405355</v>
      </c>
      <c r="C5074" s="1" t="s">
        <v>68</v>
      </c>
      <c r="D5074" s="2">
        <v>38943</v>
      </c>
      <c r="E5074" s="1" t="s">
        <v>10146</v>
      </c>
      <c r="F5074" s="1" t="s">
        <v>13</v>
      </c>
    </row>
    <row r="5075" spans="1:6" ht="30" customHeight="1" x14ac:dyDescent="0.25">
      <c r="A5075" s="1" t="s">
        <v>10147</v>
      </c>
      <c r="B5075" s="1" t="str">
        <f>"9781849404778"</f>
        <v>9781849404778</v>
      </c>
      <c r="C5075" s="1" t="s">
        <v>8994</v>
      </c>
      <c r="D5075" s="2">
        <v>38455</v>
      </c>
      <c r="E5075" s="1" t="s">
        <v>10148</v>
      </c>
      <c r="F5075" s="1" t="s">
        <v>13</v>
      </c>
    </row>
    <row r="5076" spans="1:6" ht="30" customHeight="1" x14ac:dyDescent="0.25">
      <c r="A5076" s="1" t="s">
        <v>10149</v>
      </c>
      <c r="B5076" s="1" t="str">
        <f>"9781849402392"</f>
        <v>9781849402392</v>
      </c>
      <c r="C5076" s="1" t="s">
        <v>8994</v>
      </c>
      <c r="D5076" s="2">
        <v>35500</v>
      </c>
      <c r="E5076" s="1" t="s">
        <v>10150</v>
      </c>
      <c r="F5076" s="1" t="s">
        <v>13</v>
      </c>
    </row>
    <row r="5077" spans="1:6" ht="30" customHeight="1" x14ac:dyDescent="0.25">
      <c r="A5077" s="1" t="s">
        <v>10151</v>
      </c>
      <c r="B5077" s="1" t="str">
        <f>"9781849405263"</f>
        <v>9781849405263</v>
      </c>
      <c r="C5077" s="1" t="s">
        <v>8994</v>
      </c>
      <c r="D5077" s="2">
        <v>39082</v>
      </c>
      <c r="E5077" s="1" t="s">
        <v>10152</v>
      </c>
      <c r="F5077" s="1" t="s">
        <v>13</v>
      </c>
    </row>
    <row r="5078" spans="1:6" ht="30" customHeight="1" x14ac:dyDescent="0.25">
      <c r="A5078" s="1" t="s">
        <v>10153</v>
      </c>
      <c r="B5078" s="1" t="str">
        <f>"9781849404747"</f>
        <v>9781849404747</v>
      </c>
      <c r="C5078" s="1" t="s">
        <v>8994</v>
      </c>
      <c r="D5078" s="2">
        <v>38616</v>
      </c>
      <c r="E5078" s="1" t="s">
        <v>10154</v>
      </c>
      <c r="F5078" s="1" t="s">
        <v>291</v>
      </c>
    </row>
    <row r="5079" spans="1:6" ht="30" customHeight="1" x14ac:dyDescent="0.25">
      <c r="A5079" s="1" t="s">
        <v>10155</v>
      </c>
      <c r="B5079" s="1" t="str">
        <f>"9781849404853"</f>
        <v>9781849404853</v>
      </c>
      <c r="C5079" s="1" t="s">
        <v>8994</v>
      </c>
      <c r="D5079" s="2">
        <v>38356</v>
      </c>
      <c r="E5079" s="1" t="s">
        <v>10156</v>
      </c>
      <c r="F5079" s="1" t="s">
        <v>3888</v>
      </c>
    </row>
    <row r="5080" spans="1:6" ht="30" customHeight="1" x14ac:dyDescent="0.25">
      <c r="A5080" s="1" t="s">
        <v>10157</v>
      </c>
      <c r="B5080" s="1" t="str">
        <f>"9781849404860"</f>
        <v>9781849404860</v>
      </c>
      <c r="C5080" s="1" t="s">
        <v>68</v>
      </c>
      <c r="D5080" s="2">
        <v>38429</v>
      </c>
      <c r="E5080" s="1" t="s">
        <v>10158</v>
      </c>
      <c r="F5080" s="1" t="s">
        <v>13</v>
      </c>
    </row>
    <row r="5081" spans="1:6" ht="30" customHeight="1" x14ac:dyDescent="0.25">
      <c r="A5081" s="1" t="s">
        <v>10159</v>
      </c>
      <c r="B5081" s="1" t="str">
        <f>"9781849407076"</f>
        <v>9781849407076</v>
      </c>
      <c r="C5081" s="1" t="s">
        <v>8994</v>
      </c>
      <c r="D5081" s="2">
        <v>40178</v>
      </c>
      <c r="E5081" s="1" t="s">
        <v>10160</v>
      </c>
      <c r="F5081" s="1" t="s">
        <v>13</v>
      </c>
    </row>
    <row r="5082" spans="1:6" ht="30" customHeight="1" x14ac:dyDescent="0.25">
      <c r="A5082" s="1" t="s">
        <v>10161</v>
      </c>
      <c r="B5082" s="1" t="str">
        <f>"9781849403986"</f>
        <v>9781849403986</v>
      </c>
      <c r="C5082" s="1" t="s">
        <v>8994</v>
      </c>
      <c r="D5082" s="2">
        <v>37986</v>
      </c>
      <c r="E5082" s="1" t="s">
        <v>10162</v>
      </c>
      <c r="F5082" s="1" t="s">
        <v>13</v>
      </c>
    </row>
    <row r="5083" spans="1:6" ht="30" customHeight="1" x14ac:dyDescent="0.25">
      <c r="A5083" s="1" t="s">
        <v>10163</v>
      </c>
      <c r="B5083" s="1" t="str">
        <f>"9781849404372"</f>
        <v>9781849404372</v>
      </c>
      <c r="C5083" s="1" t="s">
        <v>8994</v>
      </c>
      <c r="D5083" s="2">
        <v>38352</v>
      </c>
      <c r="E5083" s="1" t="s">
        <v>9744</v>
      </c>
      <c r="F5083" s="1" t="s">
        <v>104</v>
      </c>
    </row>
    <row r="5084" spans="1:6" ht="30" customHeight="1" x14ac:dyDescent="0.25">
      <c r="A5084" s="1" t="s">
        <v>10164</v>
      </c>
      <c r="B5084" s="1" t="str">
        <f>"9781849404563"</f>
        <v>9781849404563</v>
      </c>
      <c r="C5084" s="1" t="s">
        <v>8994</v>
      </c>
      <c r="D5084" s="2">
        <v>38056</v>
      </c>
      <c r="E5084" s="1" t="s">
        <v>9295</v>
      </c>
      <c r="F5084" s="1" t="s">
        <v>104</v>
      </c>
    </row>
    <row r="5085" spans="1:6" ht="30" customHeight="1" x14ac:dyDescent="0.25">
      <c r="A5085" s="1" t="s">
        <v>10165</v>
      </c>
      <c r="B5085" s="1" t="str">
        <f>"9781849404815"</f>
        <v>9781849404815</v>
      </c>
      <c r="C5085" s="1" t="s">
        <v>68</v>
      </c>
      <c r="D5085" s="2">
        <v>37986</v>
      </c>
      <c r="E5085" s="1" t="s">
        <v>10166</v>
      </c>
      <c r="F5085" s="1" t="s">
        <v>104</v>
      </c>
    </row>
    <row r="5086" spans="1:6" ht="30" customHeight="1" x14ac:dyDescent="0.25">
      <c r="A5086" s="1" t="s">
        <v>10167</v>
      </c>
      <c r="B5086" s="1" t="str">
        <f>"9781849404334"</f>
        <v>9781849404334</v>
      </c>
      <c r="C5086" s="1" t="s">
        <v>68</v>
      </c>
      <c r="D5086" s="2">
        <v>38187</v>
      </c>
      <c r="E5086" s="1" t="s">
        <v>10168</v>
      </c>
      <c r="F5086" s="1" t="s">
        <v>13</v>
      </c>
    </row>
    <row r="5087" spans="1:6" ht="30" customHeight="1" x14ac:dyDescent="0.25">
      <c r="A5087" s="1" t="s">
        <v>10169</v>
      </c>
      <c r="B5087" s="1" t="str">
        <f>"9781849404686"</f>
        <v>9781849404686</v>
      </c>
      <c r="C5087" s="1" t="s">
        <v>8994</v>
      </c>
      <c r="D5087" s="2">
        <v>38630</v>
      </c>
      <c r="E5087" s="1" t="s">
        <v>10170</v>
      </c>
      <c r="F5087" s="1" t="s">
        <v>10171</v>
      </c>
    </row>
    <row r="5088" spans="1:6" ht="30" customHeight="1" x14ac:dyDescent="0.25">
      <c r="A5088" s="1" t="s">
        <v>10172</v>
      </c>
      <c r="B5088" s="1" t="str">
        <f>"9781849403948"</f>
        <v>9781849403948</v>
      </c>
      <c r="C5088" s="1" t="s">
        <v>8994</v>
      </c>
      <c r="D5088" s="2">
        <v>37986</v>
      </c>
      <c r="E5088" s="1" t="s">
        <v>10173</v>
      </c>
      <c r="F5088" s="1" t="s">
        <v>10174</v>
      </c>
    </row>
    <row r="5089" spans="1:6" ht="30" customHeight="1" x14ac:dyDescent="0.25">
      <c r="A5089" s="1" t="s">
        <v>10175</v>
      </c>
      <c r="B5089" s="1" t="str">
        <f>"9781849404549"</f>
        <v>9781849404549</v>
      </c>
      <c r="C5089" s="1" t="s">
        <v>68</v>
      </c>
      <c r="D5089" s="2">
        <v>38352</v>
      </c>
      <c r="E5089" s="1" t="s">
        <v>10176</v>
      </c>
      <c r="F5089" s="1" t="s">
        <v>13</v>
      </c>
    </row>
    <row r="5090" spans="1:6" ht="30" customHeight="1" x14ac:dyDescent="0.25">
      <c r="A5090" s="1" t="s">
        <v>10177</v>
      </c>
      <c r="B5090" s="1" t="str">
        <f>"9781849403498"</f>
        <v>9781849403498</v>
      </c>
      <c r="C5090" s="1" t="s">
        <v>68</v>
      </c>
      <c r="D5090" s="2">
        <v>37621</v>
      </c>
      <c r="E5090" s="1" t="s">
        <v>10178</v>
      </c>
      <c r="F5090" s="1" t="s">
        <v>13</v>
      </c>
    </row>
    <row r="5091" spans="1:6" ht="30" customHeight="1" x14ac:dyDescent="0.25">
      <c r="A5091" s="1" t="s">
        <v>10179</v>
      </c>
      <c r="B5091" s="1" t="str">
        <f>"9781849404914"</f>
        <v>9781849404914</v>
      </c>
      <c r="C5091" s="1" t="s">
        <v>68</v>
      </c>
      <c r="D5091" s="2">
        <v>38548</v>
      </c>
      <c r="E5091" s="1" t="s">
        <v>10180</v>
      </c>
      <c r="F5091" s="1" t="s">
        <v>13</v>
      </c>
    </row>
    <row r="5092" spans="1:6" ht="30" customHeight="1" x14ac:dyDescent="0.25">
      <c r="A5092" s="1" t="s">
        <v>10181</v>
      </c>
      <c r="B5092" s="1" t="str">
        <f>"9781849403788"</f>
        <v>9781849403788</v>
      </c>
      <c r="C5092" s="1" t="s">
        <v>68</v>
      </c>
      <c r="D5092" s="2">
        <v>37986</v>
      </c>
      <c r="E5092" s="1" t="s">
        <v>10182</v>
      </c>
      <c r="F5092" s="1" t="s">
        <v>13</v>
      </c>
    </row>
    <row r="5093" spans="1:6" ht="30" customHeight="1" x14ac:dyDescent="0.25">
      <c r="A5093" s="1" t="s">
        <v>10183</v>
      </c>
      <c r="B5093" s="1" t="str">
        <f>"9781849405348"</f>
        <v>9781849405348</v>
      </c>
      <c r="C5093" s="1" t="s">
        <v>68</v>
      </c>
      <c r="D5093" s="2">
        <v>38929</v>
      </c>
      <c r="E5093" s="1" t="s">
        <v>9071</v>
      </c>
      <c r="F5093" s="1" t="s">
        <v>104</v>
      </c>
    </row>
    <row r="5094" spans="1:6" ht="30" customHeight="1" x14ac:dyDescent="0.25">
      <c r="A5094" s="1" t="s">
        <v>10184</v>
      </c>
      <c r="B5094" s="1" t="str">
        <f>"9781849400367"</f>
        <v>9781849400367</v>
      </c>
      <c r="C5094" s="1" t="s">
        <v>8994</v>
      </c>
      <c r="D5094" s="2">
        <v>31777</v>
      </c>
      <c r="E5094" s="1" t="s">
        <v>9205</v>
      </c>
      <c r="F5094" s="1" t="s">
        <v>13</v>
      </c>
    </row>
    <row r="5095" spans="1:6" ht="30" customHeight="1" x14ac:dyDescent="0.25">
      <c r="A5095" s="1" t="s">
        <v>10185</v>
      </c>
      <c r="B5095" s="1" t="str">
        <f>"9781849404013"</f>
        <v>9781849404013</v>
      </c>
      <c r="C5095" s="1" t="s">
        <v>8994</v>
      </c>
      <c r="D5095" s="2">
        <v>37721</v>
      </c>
      <c r="E5095" s="1" t="s">
        <v>10186</v>
      </c>
      <c r="F5095" s="1" t="s">
        <v>13</v>
      </c>
    </row>
    <row r="5096" spans="1:6" ht="30" customHeight="1" x14ac:dyDescent="0.25">
      <c r="A5096" s="1" t="s">
        <v>10187</v>
      </c>
      <c r="B5096" s="1" t="str">
        <f>"9781849405270"</f>
        <v>9781849405270</v>
      </c>
      <c r="C5096" s="1" t="s">
        <v>68</v>
      </c>
      <c r="D5096" s="2">
        <v>39003</v>
      </c>
      <c r="E5096" s="1" t="s">
        <v>10166</v>
      </c>
      <c r="F5096" s="1" t="s">
        <v>13</v>
      </c>
    </row>
    <row r="5097" spans="1:6" ht="30" customHeight="1" x14ac:dyDescent="0.25">
      <c r="A5097" s="1" t="s">
        <v>10188</v>
      </c>
      <c r="B5097" s="1" t="str">
        <f>"9781849404723"</f>
        <v>9781849404723</v>
      </c>
      <c r="C5097" s="1" t="s">
        <v>68</v>
      </c>
      <c r="D5097" s="2">
        <v>38510</v>
      </c>
      <c r="E5097" s="1" t="s">
        <v>10189</v>
      </c>
      <c r="F5097" s="1" t="s">
        <v>13</v>
      </c>
    </row>
    <row r="5098" spans="1:6" ht="30" customHeight="1" x14ac:dyDescent="0.25">
      <c r="A5098" s="1" t="s">
        <v>10190</v>
      </c>
      <c r="B5098" s="1" t="str">
        <f>"9781849405423"</f>
        <v>9781849405423</v>
      </c>
      <c r="C5098" s="1" t="s">
        <v>8994</v>
      </c>
      <c r="D5098" s="2">
        <v>38842</v>
      </c>
      <c r="E5098" s="1" t="s">
        <v>9235</v>
      </c>
      <c r="F5098" s="1" t="s">
        <v>13</v>
      </c>
    </row>
    <row r="5099" spans="1:6" ht="30" customHeight="1" x14ac:dyDescent="0.25">
      <c r="A5099" s="1" t="s">
        <v>10191</v>
      </c>
      <c r="B5099" s="1" t="str">
        <f>"9781849404594"</f>
        <v>9781849404594</v>
      </c>
      <c r="C5099" s="1" t="s">
        <v>68</v>
      </c>
      <c r="D5099" s="2">
        <v>38717</v>
      </c>
      <c r="E5099" s="1" t="s">
        <v>10192</v>
      </c>
      <c r="F5099" s="1" t="s">
        <v>291</v>
      </c>
    </row>
    <row r="5100" spans="1:6" ht="30" customHeight="1" x14ac:dyDescent="0.25">
      <c r="A5100" s="1" t="s">
        <v>10193</v>
      </c>
      <c r="B5100" s="1" t="str">
        <f>"9781849404242"</f>
        <v>9781849404242</v>
      </c>
      <c r="C5100" s="1" t="s">
        <v>8994</v>
      </c>
      <c r="D5100" s="2">
        <v>38182</v>
      </c>
      <c r="E5100" s="1" t="s">
        <v>10194</v>
      </c>
      <c r="F5100" s="1" t="s">
        <v>291</v>
      </c>
    </row>
    <row r="5101" spans="1:6" ht="30" customHeight="1" x14ac:dyDescent="0.25">
      <c r="A5101" s="1" t="s">
        <v>10195</v>
      </c>
      <c r="B5101" s="1" t="str">
        <f>"9781849404440"</f>
        <v>9781849404440</v>
      </c>
      <c r="C5101" s="1" t="s">
        <v>8994</v>
      </c>
      <c r="D5101" s="2">
        <v>38078</v>
      </c>
      <c r="E5101" s="1" t="s">
        <v>10196</v>
      </c>
      <c r="F5101" s="1" t="s">
        <v>13</v>
      </c>
    </row>
    <row r="5102" spans="1:6" ht="30" customHeight="1" x14ac:dyDescent="0.25">
      <c r="A5102" s="1" t="s">
        <v>10197</v>
      </c>
      <c r="B5102" s="1" t="str">
        <f>"9781849402231"</f>
        <v>9781849402231</v>
      </c>
      <c r="C5102" s="1" t="s">
        <v>68</v>
      </c>
      <c r="D5102" s="2">
        <v>35795</v>
      </c>
      <c r="E5102" s="1" t="s">
        <v>10198</v>
      </c>
      <c r="F5102" s="1" t="s">
        <v>13</v>
      </c>
    </row>
    <row r="5103" spans="1:6" ht="30" customHeight="1" x14ac:dyDescent="0.25">
      <c r="A5103" s="1" t="s">
        <v>10199</v>
      </c>
      <c r="B5103" s="1" t="str">
        <f>"9781849404136"</f>
        <v>9781849404136</v>
      </c>
      <c r="C5103" s="1" t="s">
        <v>68</v>
      </c>
      <c r="D5103" s="2">
        <v>37922</v>
      </c>
      <c r="E5103" s="1" t="s">
        <v>2276</v>
      </c>
      <c r="F5103" s="1" t="s">
        <v>158</v>
      </c>
    </row>
    <row r="5104" spans="1:6" ht="30" customHeight="1" x14ac:dyDescent="0.25">
      <c r="A5104" s="1" t="s">
        <v>10200</v>
      </c>
      <c r="B5104" s="1" t="str">
        <f>"9781849404327"</f>
        <v>9781849404327</v>
      </c>
      <c r="C5104" s="1" t="s">
        <v>68</v>
      </c>
      <c r="D5104" s="2">
        <v>38119</v>
      </c>
      <c r="E5104" s="1" t="s">
        <v>10201</v>
      </c>
      <c r="F5104" s="1" t="s">
        <v>13</v>
      </c>
    </row>
    <row r="5105" spans="1:6" ht="30" customHeight="1" x14ac:dyDescent="0.25">
      <c r="A5105" s="1" t="s">
        <v>10202</v>
      </c>
      <c r="B5105" s="1" t="str">
        <f>"9781849404693"</f>
        <v>9781849404693</v>
      </c>
      <c r="C5105" s="1" t="s">
        <v>8994</v>
      </c>
      <c r="D5105" s="2">
        <v>38717</v>
      </c>
      <c r="E5105" s="1" t="s">
        <v>9109</v>
      </c>
      <c r="F5105" s="1" t="s">
        <v>291</v>
      </c>
    </row>
    <row r="5106" spans="1:6" ht="30" customHeight="1" x14ac:dyDescent="0.25">
      <c r="A5106" s="1" t="s">
        <v>10203</v>
      </c>
      <c r="B5106" s="1" t="str">
        <f>"9781849404976"</f>
        <v>9781849404976</v>
      </c>
      <c r="C5106" s="1" t="s">
        <v>8994</v>
      </c>
      <c r="D5106" s="2">
        <v>38631</v>
      </c>
      <c r="E5106" s="1" t="s">
        <v>10204</v>
      </c>
      <c r="F5106" s="1" t="s">
        <v>13</v>
      </c>
    </row>
    <row r="5107" spans="1:6" ht="30" customHeight="1" x14ac:dyDescent="0.25">
      <c r="A5107" s="1" t="s">
        <v>10205</v>
      </c>
      <c r="B5107" s="1" t="str">
        <f>"9781849406789"</f>
        <v>9781849406789</v>
      </c>
      <c r="C5107" s="1" t="s">
        <v>8994</v>
      </c>
      <c r="D5107" s="2">
        <v>39813</v>
      </c>
      <c r="E5107" s="1" t="s">
        <v>10160</v>
      </c>
      <c r="F5107" s="1" t="s">
        <v>104</v>
      </c>
    </row>
    <row r="5108" spans="1:6" ht="30" customHeight="1" x14ac:dyDescent="0.25">
      <c r="A5108" s="1" t="s">
        <v>10206</v>
      </c>
      <c r="B5108" s="1" t="str">
        <f>"9781849404204"</f>
        <v>9781849404204</v>
      </c>
      <c r="C5108" s="1" t="s">
        <v>8994</v>
      </c>
      <c r="D5108" s="2">
        <v>38352</v>
      </c>
      <c r="E5108" s="1" t="s">
        <v>9303</v>
      </c>
      <c r="F5108" s="1" t="s">
        <v>13</v>
      </c>
    </row>
    <row r="5109" spans="1:6" ht="30" customHeight="1" x14ac:dyDescent="0.25">
      <c r="A5109" s="1" t="s">
        <v>10207</v>
      </c>
      <c r="B5109" s="1" t="str">
        <f>"9781849403962"</f>
        <v>9781849403962</v>
      </c>
      <c r="C5109" s="1" t="s">
        <v>8994</v>
      </c>
      <c r="D5109" s="2">
        <v>37684</v>
      </c>
      <c r="E5109" s="1" t="s">
        <v>10208</v>
      </c>
      <c r="F5109" s="1" t="s">
        <v>148</v>
      </c>
    </row>
    <row r="5110" spans="1:6" ht="30" customHeight="1" x14ac:dyDescent="0.25">
      <c r="A5110" s="1" t="s">
        <v>10209</v>
      </c>
      <c r="B5110" s="1" t="str">
        <f>"9781849404662"</f>
        <v>9781849404662</v>
      </c>
      <c r="C5110" s="1" t="s">
        <v>68</v>
      </c>
      <c r="D5110" s="2">
        <v>38476</v>
      </c>
      <c r="E5110" s="1" t="s">
        <v>10210</v>
      </c>
      <c r="F5110" s="1" t="s">
        <v>104</v>
      </c>
    </row>
    <row r="5111" spans="1:6" ht="30" customHeight="1" x14ac:dyDescent="0.25">
      <c r="A5111" s="1" t="s">
        <v>10211</v>
      </c>
      <c r="B5111" s="1" t="str">
        <f>"9781849403580"</f>
        <v>9781849403580</v>
      </c>
      <c r="C5111" s="1" t="s">
        <v>8994</v>
      </c>
      <c r="D5111" s="2">
        <v>37488</v>
      </c>
      <c r="E5111" s="1" t="s">
        <v>10102</v>
      </c>
      <c r="F5111" s="1" t="s">
        <v>13</v>
      </c>
    </row>
    <row r="5112" spans="1:6" ht="30" customHeight="1" x14ac:dyDescent="0.25">
      <c r="A5112" s="1" t="s">
        <v>10212</v>
      </c>
      <c r="B5112" s="1" t="str">
        <f>"9781849403436"</f>
        <v>9781849403436</v>
      </c>
      <c r="C5112" s="1" t="s">
        <v>8994</v>
      </c>
      <c r="D5112" s="2">
        <v>39813</v>
      </c>
      <c r="E5112" s="1" t="s">
        <v>10213</v>
      </c>
      <c r="F5112" s="1" t="s">
        <v>13</v>
      </c>
    </row>
    <row r="5113" spans="1:6" ht="30" customHeight="1" x14ac:dyDescent="0.25">
      <c r="A5113" s="1" t="s">
        <v>10214</v>
      </c>
      <c r="B5113" s="1" t="str">
        <f>"9781780493466"</f>
        <v>9781780493466</v>
      </c>
      <c r="C5113" s="1" t="s">
        <v>8994</v>
      </c>
      <c r="D5113" s="2">
        <v>40093</v>
      </c>
      <c r="E5113" s="1" t="s">
        <v>10215</v>
      </c>
      <c r="F5113" s="1" t="s">
        <v>13</v>
      </c>
    </row>
    <row r="5114" spans="1:6" ht="30" customHeight="1" x14ac:dyDescent="0.25">
      <c r="A5114" s="1" t="s">
        <v>10216</v>
      </c>
      <c r="B5114" s="1" t="str">
        <f>"9781780492032"</f>
        <v>9781780492032</v>
      </c>
      <c r="C5114" s="1" t="s">
        <v>8994</v>
      </c>
      <c r="D5114" s="2">
        <v>41214</v>
      </c>
      <c r="E5114" s="1" t="s">
        <v>10217</v>
      </c>
      <c r="F5114" s="1" t="s">
        <v>104</v>
      </c>
    </row>
    <row r="5115" spans="1:6" ht="30" customHeight="1" x14ac:dyDescent="0.25">
      <c r="A5115" s="1" t="s">
        <v>10218</v>
      </c>
      <c r="B5115" s="1" t="str">
        <f>"9781780497600"</f>
        <v>9781780497600</v>
      </c>
      <c r="C5115" s="1" t="s">
        <v>68</v>
      </c>
      <c r="D5115" s="2">
        <v>36891</v>
      </c>
      <c r="E5115" s="1" t="s">
        <v>10219</v>
      </c>
      <c r="F5115" s="1" t="s">
        <v>13</v>
      </c>
    </row>
    <row r="5116" spans="1:6" ht="30" customHeight="1" x14ac:dyDescent="0.25">
      <c r="A5116" s="1" t="s">
        <v>10220</v>
      </c>
      <c r="B5116" s="1" t="str">
        <f>"9781780494234"</f>
        <v>9781780494234</v>
      </c>
      <c r="C5116" s="1" t="s">
        <v>8994</v>
      </c>
      <c r="D5116" s="2">
        <v>39661</v>
      </c>
      <c r="E5116" s="1" t="s">
        <v>10160</v>
      </c>
      <c r="F5116" s="1" t="s">
        <v>291</v>
      </c>
    </row>
    <row r="5117" spans="1:6" ht="30" customHeight="1" x14ac:dyDescent="0.25">
      <c r="A5117" s="1" t="s">
        <v>10221</v>
      </c>
      <c r="B5117" s="1" t="str">
        <f>"9781780497617"</f>
        <v>9781780497617</v>
      </c>
      <c r="C5117" s="1" t="s">
        <v>8994</v>
      </c>
      <c r="D5117" s="2">
        <v>36891</v>
      </c>
      <c r="E5117" s="1" t="s">
        <v>10222</v>
      </c>
      <c r="F5117" s="1" t="s">
        <v>104</v>
      </c>
    </row>
    <row r="5118" spans="1:6" ht="30" customHeight="1" x14ac:dyDescent="0.25">
      <c r="A5118" s="1" t="s">
        <v>10223</v>
      </c>
      <c r="B5118" s="1" t="str">
        <f>"9780816678518"</f>
        <v>9780816678518</v>
      </c>
      <c r="C5118" s="1" t="s">
        <v>3458</v>
      </c>
      <c r="D5118" s="2">
        <v>40752</v>
      </c>
      <c r="E5118" s="1" t="s">
        <v>10224</v>
      </c>
      <c r="F5118" s="1" t="s">
        <v>13</v>
      </c>
    </row>
    <row r="5119" spans="1:6" ht="30" customHeight="1" x14ac:dyDescent="0.25">
      <c r="A5119" s="1" t="s">
        <v>10225</v>
      </c>
      <c r="B5119" s="1" t="str">
        <f>"9781934078679"</f>
        <v>9781934078679</v>
      </c>
      <c r="C5119" s="1" t="s">
        <v>1848</v>
      </c>
      <c r="D5119" s="2">
        <v>40751</v>
      </c>
      <c r="E5119" s="1" t="s">
        <v>10226</v>
      </c>
      <c r="F5119" s="1" t="s">
        <v>13</v>
      </c>
    </row>
    <row r="5120" spans="1:6" ht="30" customHeight="1" x14ac:dyDescent="0.25">
      <c r="A5120" s="1" t="s">
        <v>10227</v>
      </c>
      <c r="B5120" s="1" t="str">
        <f>"9781441154118"</f>
        <v>9781441154118</v>
      </c>
      <c r="C5120" s="1" t="s">
        <v>3759</v>
      </c>
      <c r="D5120" s="2">
        <v>39483</v>
      </c>
      <c r="E5120" s="1" t="s">
        <v>10228</v>
      </c>
      <c r="F5120" s="1" t="s">
        <v>158</v>
      </c>
    </row>
    <row r="5121" spans="1:6" ht="30" customHeight="1" x14ac:dyDescent="0.25">
      <c r="A5121" s="1" t="s">
        <v>10229</v>
      </c>
      <c r="B5121" s="1" t="str">
        <f>"9781846422195"</f>
        <v>9781846422195</v>
      </c>
      <c r="C5121" s="1" t="s">
        <v>2387</v>
      </c>
      <c r="D5121" s="2">
        <v>36965</v>
      </c>
      <c r="E5121" s="1" t="s">
        <v>10230</v>
      </c>
      <c r="F5121" s="1" t="s">
        <v>13</v>
      </c>
    </row>
    <row r="5122" spans="1:6" ht="30" customHeight="1" x14ac:dyDescent="0.25">
      <c r="A5122" s="1" t="s">
        <v>10231</v>
      </c>
      <c r="B5122" s="1" t="str">
        <f>"9781599472577"</f>
        <v>9781599472577</v>
      </c>
      <c r="C5122" s="1" t="s">
        <v>9984</v>
      </c>
      <c r="D5122" s="2">
        <v>41871</v>
      </c>
      <c r="E5122" s="1" t="s">
        <v>10232</v>
      </c>
      <c r="F5122" s="1" t="s">
        <v>126</v>
      </c>
    </row>
    <row r="5123" spans="1:6" ht="30" customHeight="1" x14ac:dyDescent="0.25">
      <c r="A5123" s="1" t="s">
        <v>10233</v>
      </c>
      <c r="B5123" s="1" t="str">
        <f>"9781599473888"</f>
        <v>9781599473888</v>
      </c>
      <c r="C5123" s="1" t="s">
        <v>9984</v>
      </c>
      <c r="D5123" s="2">
        <v>40787</v>
      </c>
      <c r="E5123" s="1" t="s">
        <v>10232</v>
      </c>
      <c r="F5123" s="1" t="s">
        <v>126</v>
      </c>
    </row>
    <row r="5124" spans="1:6" ht="30" customHeight="1" x14ac:dyDescent="0.25">
      <c r="A5124" s="1" t="s">
        <v>10234</v>
      </c>
      <c r="B5124" s="1" t="str">
        <f>"9781847354792"</f>
        <v>9781847354792</v>
      </c>
      <c r="C5124" s="1" t="s">
        <v>7299</v>
      </c>
      <c r="D5124" s="2">
        <v>40755</v>
      </c>
      <c r="E5124" s="1" t="s">
        <v>10235</v>
      </c>
      <c r="F5124" s="1" t="s">
        <v>10236</v>
      </c>
    </row>
    <row r="5125" spans="1:6" ht="30" customHeight="1" x14ac:dyDescent="0.25">
      <c r="A5125" s="1" t="s">
        <v>10237</v>
      </c>
      <c r="B5125" s="1" t="str">
        <f>"9780826163523"</f>
        <v>9780826163523</v>
      </c>
      <c r="C5125" s="1" t="s">
        <v>2339</v>
      </c>
      <c r="D5125" s="2">
        <v>40779</v>
      </c>
      <c r="E5125" s="1" t="s">
        <v>10238</v>
      </c>
      <c r="F5125" s="1" t="s">
        <v>126</v>
      </c>
    </row>
    <row r="5126" spans="1:6" ht="30" customHeight="1" x14ac:dyDescent="0.25">
      <c r="A5126" s="1" t="s">
        <v>10239</v>
      </c>
      <c r="B5126" s="1" t="str">
        <f>"9789048521289"</f>
        <v>9789048521289</v>
      </c>
      <c r="C5126" s="1" t="s">
        <v>5455</v>
      </c>
      <c r="D5126" s="2">
        <v>40143</v>
      </c>
      <c r="E5126" s="1" t="s">
        <v>10240</v>
      </c>
      <c r="F5126" s="1" t="s">
        <v>10241</v>
      </c>
    </row>
    <row r="5127" spans="1:6" ht="30" customHeight="1" x14ac:dyDescent="0.25">
      <c r="A5127" s="1" t="s">
        <v>10242</v>
      </c>
      <c r="B5127" s="1" t="str">
        <f>"9789048521180"</f>
        <v>9789048521180</v>
      </c>
      <c r="C5127" s="1" t="s">
        <v>5455</v>
      </c>
      <c r="D5127" s="2">
        <v>39814</v>
      </c>
      <c r="E5127" s="1" t="s">
        <v>10243</v>
      </c>
      <c r="F5127" s="1" t="s">
        <v>8963</v>
      </c>
    </row>
    <row r="5128" spans="1:6" ht="30" customHeight="1" x14ac:dyDescent="0.25">
      <c r="A5128" s="1" t="s">
        <v>10244</v>
      </c>
      <c r="B5128" s="1" t="str">
        <f>"9781409419938"</f>
        <v>9781409419938</v>
      </c>
      <c r="C5128" s="1" t="s">
        <v>68</v>
      </c>
      <c r="D5128" s="2">
        <v>40817</v>
      </c>
      <c r="E5128" s="1" t="s">
        <v>10245</v>
      </c>
      <c r="F5128" s="1" t="s">
        <v>70</v>
      </c>
    </row>
    <row r="5129" spans="1:6" ht="30" customHeight="1" x14ac:dyDescent="0.25">
      <c r="A5129" s="1" t="s">
        <v>10246</v>
      </c>
      <c r="B5129" s="1" t="str">
        <f>"9783110240214"</f>
        <v>9783110240214</v>
      </c>
      <c r="C5129" s="1" t="s">
        <v>1848</v>
      </c>
      <c r="D5129" s="2">
        <v>40784</v>
      </c>
      <c r="E5129" s="1" t="s">
        <v>10247</v>
      </c>
      <c r="F5129" s="1" t="s">
        <v>21</v>
      </c>
    </row>
    <row r="5130" spans="1:6" ht="30" customHeight="1" x14ac:dyDescent="0.25">
      <c r="A5130" s="1" t="s">
        <v>10248</v>
      </c>
      <c r="B5130" s="1" t="str">
        <f>"9780335239061"</f>
        <v>9780335239061</v>
      </c>
      <c r="C5130" s="1" t="s">
        <v>2247</v>
      </c>
      <c r="D5130" s="2">
        <v>40391</v>
      </c>
      <c r="E5130" s="1" t="s">
        <v>10249</v>
      </c>
      <c r="F5130" s="1" t="s">
        <v>126</v>
      </c>
    </row>
    <row r="5131" spans="1:6" ht="30" customHeight="1" x14ac:dyDescent="0.25">
      <c r="A5131" s="1" t="s">
        <v>10250</v>
      </c>
      <c r="B5131" s="1" t="str">
        <f>"9780335241217"</f>
        <v>9780335241217</v>
      </c>
      <c r="C5131" s="1" t="s">
        <v>2247</v>
      </c>
      <c r="D5131" s="2">
        <v>40330</v>
      </c>
      <c r="E5131" s="1" t="s">
        <v>10251</v>
      </c>
      <c r="F5131" s="1" t="s">
        <v>126</v>
      </c>
    </row>
    <row r="5132" spans="1:6" ht="30" customHeight="1" x14ac:dyDescent="0.25">
      <c r="A5132" s="1" t="s">
        <v>10252</v>
      </c>
      <c r="B5132" s="1" t="str">
        <f>"9780335240654"</f>
        <v>9780335240654</v>
      </c>
      <c r="C5132" s="1" t="s">
        <v>2247</v>
      </c>
      <c r="D5132" s="2">
        <v>40360</v>
      </c>
      <c r="E5132" s="1" t="s">
        <v>10253</v>
      </c>
      <c r="F5132" s="1" t="s">
        <v>10254</v>
      </c>
    </row>
    <row r="5133" spans="1:6" ht="30" customHeight="1" x14ac:dyDescent="0.25">
      <c r="A5133" s="1" t="s">
        <v>10255</v>
      </c>
      <c r="B5133" s="1" t="str">
        <f>"9780335238316"</f>
        <v>9780335238316</v>
      </c>
      <c r="C5133" s="1" t="s">
        <v>2247</v>
      </c>
      <c r="D5133" s="2">
        <v>40330</v>
      </c>
      <c r="E5133" s="1" t="s">
        <v>10256</v>
      </c>
      <c r="F5133" s="1" t="s">
        <v>13</v>
      </c>
    </row>
    <row r="5134" spans="1:6" ht="30" customHeight="1" x14ac:dyDescent="0.25">
      <c r="A5134" s="1" t="s">
        <v>10257</v>
      </c>
      <c r="B5134" s="1" t="str">
        <f>"9780335240043"</f>
        <v>9780335240043</v>
      </c>
      <c r="C5134" s="1" t="s">
        <v>2247</v>
      </c>
      <c r="D5134" s="2">
        <v>40360</v>
      </c>
      <c r="E5134" s="1" t="s">
        <v>4849</v>
      </c>
      <c r="F5134" s="1" t="s">
        <v>30</v>
      </c>
    </row>
    <row r="5135" spans="1:6" ht="30" customHeight="1" x14ac:dyDescent="0.25">
      <c r="A5135" s="1" t="s">
        <v>10258</v>
      </c>
      <c r="B5135" s="1" t="str">
        <f>"9780335238866"</f>
        <v>9780335238866</v>
      </c>
      <c r="C5135" s="1" t="s">
        <v>2247</v>
      </c>
      <c r="D5135" s="2">
        <v>40299</v>
      </c>
      <c r="E5135" s="1" t="s">
        <v>10259</v>
      </c>
      <c r="F5135" s="1" t="s">
        <v>95</v>
      </c>
    </row>
    <row r="5136" spans="1:6" ht="30" customHeight="1" x14ac:dyDescent="0.25">
      <c r="A5136" s="1" t="s">
        <v>10260</v>
      </c>
      <c r="B5136" s="1" t="str">
        <f>"9780335242726"</f>
        <v>9780335242726</v>
      </c>
      <c r="C5136" s="1" t="s">
        <v>2247</v>
      </c>
      <c r="D5136" s="2">
        <v>40787</v>
      </c>
      <c r="E5136" s="1" t="s">
        <v>10261</v>
      </c>
      <c r="F5136" s="1" t="s">
        <v>148</v>
      </c>
    </row>
    <row r="5137" spans="1:6" ht="30" customHeight="1" x14ac:dyDescent="0.25">
      <c r="A5137" s="1" t="s">
        <v>10262</v>
      </c>
      <c r="B5137" s="1" t="str">
        <f>"9780335240135"</f>
        <v>9780335240135</v>
      </c>
      <c r="C5137" s="1" t="s">
        <v>2247</v>
      </c>
      <c r="D5137" s="2">
        <v>40179</v>
      </c>
      <c r="E5137" s="1" t="s">
        <v>10263</v>
      </c>
      <c r="F5137" s="1" t="s">
        <v>13</v>
      </c>
    </row>
    <row r="5138" spans="1:6" ht="30" customHeight="1" x14ac:dyDescent="0.25">
      <c r="A5138" s="1" t="s">
        <v>10264</v>
      </c>
      <c r="B5138" s="1" t="str">
        <f>"9780335240500"</f>
        <v>9780335240500</v>
      </c>
      <c r="C5138" s="1" t="s">
        <v>2247</v>
      </c>
      <c r="D5138" s="2">
        <v>40391</v>
      </c>
      <c r="E5138" s="1" t="s">
        <v>10265</v>
      </c>
      <c r="F5138" s="1" t="s">
        <v>126</v>
      </c>
    </row>
    <row r="5139" spans="1:6" ht="30" customHeight="1" x14ac:dyDescent="0.25">
      <c r="A5139" s="1" t="s">
        <v>10266</v>
      </c>
      <c r="B5139" s="1" t="str">
        <f>"9780335238361"</f>
        <v>9780335238361</v>
      </c>
      <c r="C5139" s="1" t="s">
        <v>2247</v>
      </c>
      <c r="D5139" s="2">
        <v>40299</v>
      </c>
      <c r="E5139" s="1" t="s">
        <v>10267</v>
      </c>
      <c r="F5139" s="1" t="s">
        <v>126</v>
      </c>
    </row>
    <row r="5140" spans="1:6" ht="30" customHeight="1" x14ac:dyDescent="0.25">
      <c r="A5140" s="1" t="s">
        <v>10268</v>
      </c>
      <c r="B5140" s="1" t="str">
        <f>"9781845938925"</f>
        <v>9781845938925</v>
      </c>
      <c r="C5140" s="1" t="s">
        <v>2321</v>
      </c>
      <c r="D5140" s="2">
        <v>40544</v>
      </c>
      <c r="E5140" s="1" t="s">
        <v>10269</v>
      </c>
      <c r="F5140" s="1" t="s">
        <v>13</v>
      </c>
    </row>
    <row r="5141" spans="1:6" ht="30" customHeight="1" x14ac:dyDescent="0.25">
      <c r="A5141" s="1" t="s">
        <v>10270</v>
      </c>
      <c r="B5141" s="1" t="str">
        <f>"9781611460865"</f>
        <v>9781611460865</v>
      </c>
      <c r="C5141" s="1" t="s">
        <v>10271</v>
      </c>
      <c r="D5141" s="2">
        <v>40832</v>
      </c>
      <c r="E5141" s="1" t="s">
        <v>10272</v>
      </c>
      <c r="F5141" s="1" t="s">
        <v>13</v>
      </c>
    </row>
    <row r="5142" spans="1:6" ht="30" customHeight="1" x14ac:dyDescent="0.25">
      <c r="A5142" s="1" t="s">
        <v>10273</v>
      </c>
      <c r="B5142" s="1" t="str">
        <f>"9781849409308"</f>
        <v>9781849409308</v>
      </c>
      <c r="C5142" s="1" t="s">
        <v>68</v>
      </c>
      <c r="D5142" s="2">
        <v>40800</v>
      </c>
      <c r="E5142" s="1" t="s">
        <v>10274</v>
      </c>
      <c r="F5142" s="1" t="s">
        <v>13</v>
      </c>
    </row>
    <row r="5143" spans="1:6" ht="30" customHeight="1" x14ac:dyDescent="0.25">
      <c r="A5143" s="1" t="s">
        <v>10275</v>
      </c>
      <c r="B5143" s="1" t="str">
        <f>"9781849409315"</f>
        <v>9781849409315</v>
      </c>
      <c r="C5143" s="1" t="s">
        <v>8994</v>
      </c>
      <c r="D5143" s="2">
        <v>40802</v>
      </c>
      <c r="E5143" s="1" t="s">
        <v>10276</v>
      </c>
      <c r="F5143" s="1" t="s">
        <v>13</v>
      </c>
    </row>
    <row r="5144" spans="1:6" ht="30" customHeight="1" x14ac:dyDescent="0.25">
      <c r="A5144" s="1" t="s">
        <v>10277</v>
      </c>
      <c r="B5144" s="1" t="str">
        <f>"9783863415181"</f>
        <v>9783863415181</v>
      </c>
      <c r="C5144" s="1" t="s">
        <v>8346</v>
      </c>
      <c r="D5144" s="2">
        <v>40725</v>
      </c>
      <c r="E5144" s="1" t="s">
        <v>10278</v>
      </c>
      <c r="F5144" s="1" t="s">
        <v>95</v>
      </c>
    </row>
    <row r="5145" spans="1:6" ht="30" customHeight="1" x14ac:dyDescent="0.25">
      <c r="A5145" s="1" t="s">
        <v>10279</v>
      </c>
      <c r="B5145" s="1" t="str">
        <f>"9781317186731"</f>
        <v>9781317186731</v>
      </c>
      <c r="C5145" s="1" t="s">
        <v>99</v>
      </c>
      <c r="D5145" s="2">
        <v>43040</v>
      </c>
      <c r="E5145" s="1" t="s">
        <v>10280</v>
      </c>
      <c r="F5145" s="1" t="s">
        <v>13</v>
      </c>
    </row>
    <row r="5146" spans="1:6" ht="30" customHeight="1" x14ac:dyDescent="0.25">
      <c r="A5146" s="1" t="s">
        <v>10281</v>
      </c>
      <c r="B5146" s="1" t="str">
        <f>"9780807869239"</f>
        <v>9780807869239</v>
      </c>
      <c r="C5146" s="1" t="s">
        <v>4843</v>
      </c>
      <c r="D5146" s="2">
        <v>40798</v>
      </c>
      <c r="E5146" s="1" t="s">
        <v>4844</v>
      </c>
      <c r="F5146" s="1" t="s">
        <v>95</v>
      </c>
    </row>
    <row r="5147" spans="1:6" ht="30" customHeight="1" x14ac:dyDescent="0.25">
      <c r="A5147" s="1" t="s">
        <v>10282</v>
      </c>
      <c r="B5147" s="1" t="str">
        <f>"9780826107497"</f>
        <v>9780826107497</v>
      </c>
      <c r="C5147" s="1" t="s">
        <v>2339</v>
      </c>
      <c r="D5147" s="2">
        <v>40764</v>
      </c>
      <c r="E5147" s="1" t="s">
        <v>10283</v>
      </c>
      <c r="F5147" s="1" t="s">
        <v>126</v>
      </c>
    </row>
    <row r="5148" spans="1:6" ht="30" customHeight="1" x14ac:dyDescent="0.25">
      <c r="A5148" s="1" t="s">
        <v>10284</v>
      </c>
      <c r="B5148" s="1" t="str">
        <f>"9780826124166"</f>
        <v>9780826124166</v>
      </c>
      <c r="C5148" s="1" t="s">
        <v>2339</v>
      </c>
      <c r="D5148" s="2">
        <v>40798</v>
      </c>
      <c r="E5148" s="1" t="s">
        <v>10285</v>
      </c>
      <c r="F5148" s="1" t="s">
        <v>13</v>
      </c>
    </row>
    <row r="5149" spans="1:6" ht="30" customHeight="1" x14ac:dyDescent="0.25">
      <c r="A5149" s="1" t="s">
        <v>10286</v>
      </c>
      <c r="B5149" s="1" t="str">
        <f>"9780826129635"</f>
        <v>9780826129635</v>
      </c>
      <c r="C5149" s="1" t="s">
        <v>2339</v>
      </c>
      <c r="D5149" s="2">
        <v>40787</v>
      </c>
      <c r="E5149" s="1" t="s">
        <v>10287</v>
      </c>
      <c r="F5149" s="1" t="s">
        <v>13</v>
      </c>
    </row>
    <row r="5150" spans="1:6" ht="30" customHeight="1" x14ac:dyDescent="0.25">
      <c r="A5150" s="1" t="s">
        <v>10288</v>
      </c>
      <c r="B5150" s="1" t="str">
        <f>"9781608822638"</f>
        <v>9781608822638</v>
      </c>
      <c r="C5150" s="1" t="s">
        <v>10289</v>
      </c>
      <c r="D5150" s="2">
        <v>40299</v>
      </c>
      <c r="E5150" s="1" t="s">
        <v>10290</v>
      </c>
      <c r="F5150" s="1" t="s">
        <v>13</v>
      </c>
    </row>
    <row r="5151" spans="1:6" ht="30" customHeight="1" x14ac:dyDescent="0.25">
      <c r="A5151" s="1" t="s">
        <v>10291</v>
      </c>
      <c r="B5151" s="1" t="str">
        <f>"9781608824366"</f>
        <v>9781608824366</v>
      </c>
      <c r="C5151" s="1" t="s">
        <v>10289</v>
      </c>
      <c r="D5151" s="2">
        <v>40725</v>
      </c>
      <c r="E5151" s="1" t="s">
        <v>10292</v>
      </c>
      <c r="F5151" s="1" t="s">
        <v>13</v>
      </c>
    </row>
    <row r="5152" spans="1:6" ht="30" customHeight="1" x14ac:dyDescent="0.25">
      <c r="A5152" s="1" t="s">
        <v>10293</v>
      </c>
      <c r="B5152" s="1" t="str">
        <f>"9781608821747"</f>
        <v>9781608821747</v>
      </c>
      <c r="C5152" s="1" t="s">
        <v>10294</v>
      </c>
      <c r="D5152" s="2">
        <v>40118</v>
      </c>
      <c r="E5152" s="1" t="s">
        <v>10295</v>
      </c>
      <c r="F5152" s="1" t="s">
        <v>13</v>
      </c>
    </row>
    <row r="5153" spans="1:6" ht="30" customHeight="1" x14ac:dyDescent="0.25">
      <c r="A5153" s="1" t="s">
        <v>10296</v>
      </c>
      <c r="B5153" s="1" t="str">
        <f>"9781608824175"</f>
        <v>9781608824175</v>
      </c>
      <c r="C5153" s="1" t="s">
        <v>10294</v>
      </c>
      <c r="D5153" s="2">
        <v>39022</v>
      </c>
      <c r="E5153" s="1" t="s">
        <v>10297</v>
      </c>
      <c r="F5153" s="1" t="s">
        <v>13</v>
      </c>
    </row>
    <row r="5154" spans="1:6" ht="30" customHeight="1" x14ac:dyDescent="0.25">
      <c r="A5154" s="1" t="s">
        <v>10298</v>
      </c>
      <c r="B5154" s="1" t="str">
        <f>"9781608820504"</f>
        <v>9781608820504</v>
      </c>
      <c r="C5154" s="1" t="s">
        <v>10294</v>
      </c>
      <c r="D5154" s="2">
        <v>39264</v>
      </c>
      <c r="E5154" s="1" t="s">
        <v>10299</v>
      </c>
      <c r="F5154" s="1" t="s">
        <v>13</v>
      </c>
    </row>
    <row r="5155" spans="1:6" ht="30" customHeight="1" x14ac:dyDescent="0.25">
      <c r="A5155" s="1" t="s">
        <v>10300</v>
      </c>
      <c r="B5155" s="1" t="str">
        <f>"9781608821433"</f>
        <v>9781608821433</v>
      </c>
      <c r="C5155" s="1" t="s">
        <v>10294</v>
      </c>
      <c r="D5155" s="2">
        <v>38657</v>
      </c>
      <c r="E5155" s="1" t="s">
        <v>10301</v>
      </c>
      <c r="F5155" s="1" t="s">
        <v>13</v>
      </c>
    </row>
    <row r="5156" spans="1:6" ht="30" customHeight="1" x14ac:dyDescent="0.25">
      <c r="A5156" s="1" t="s">
        <v>10302</v>
      </c>
      <c r="B5156" s="1" t="str">
        <f>"9781608825882"</f>
        <v>9781608825882</v>
      </c>
      <c r="C5156" s="1" t="s">
        <v>10289</v>
      </c>
      <c r="D5156" s="2">
        <v>36982</v>
      </c>
      <c r="E5156" s="1" t="s">
        <v>10303</v>
      </c>
      <c r="F5156" s="1" t="s">
        <v>13</v>
      </c>
    </row>
    <row r="5157" spans="1:6" ht="30" customHeight="1" x14ac:dyDescent="0.25">
      <c r="A5157" s="1" t="s">
        <v>10304</v>
      </c>
      <c r="B5157" s="1" t="str">
        <f>"9780199748501"</f>
        <v>9780199748501</v>
      </c>
      <c r="C5157" s="1" t="s">
        <v>1120</v>
      </c>
      <c r="D5157" s="2">
        <v>40056</v>
      </c>
      <c r="E5157" s="1" t="s">
        <v>10305</v>
      </c>
      <c r="F5157" s="1" t="s">
        <v>13</v>
      </c>
    </row>
    <row r="5158" spans="1:6" ht="30" customHeight="1" x14ac:dyDescent="0.25">
      <c r="A5158" s="1" t="s">
        <v>10306</v>
      </c>
      <c r="B5158" s="1" t="str">
        <f>"9780826106162"</f>
        <v>9780826106162</v>
      </c>
      <c r="C5158" s="1" t="s">
        <v>2339</v>
      </c>
      <c r="D5158" s="2">
        <v>40779</v>
      </c>
      <c r="E5158" s="1" t="s">
        <v>10307</v>
      </c>
      <c r="F5158" s="1" t="s">
        <v>8958</v>
      </c>
    </row>
    <row r="5159" spans="1:6" ht="30" customHeight="1" x14ac:dyDescent="0.25">
      <c r="A5159" s="1" t="s">
        <v>10308</v>
      </c>
      <c r="B5159" s="1" t="str">
        <f>"9781400840397"</f>
        <v>9781400840397</v>
      </c>
      <c r="C5159" s="1" t="s">
        <v>6462</v>
      </c>
      <c r="D5159" s="2">
        <v>40854</v>
      </c>
      <c r="E5159" s="1" t="s">
        <v>10309</v>
      </c>
      <c r="F5159" s="1" t="s">
        <v>13</v>
      </c>
    </row>
    <row r="5160" spans="1:6" ht="30" customHeight="1" x14ac:dyDescent="0.25">
      <c r="A5160" s="1" t="s">
        <v>10310</v>
      </c>
      <c r="B5160" s="1" t="str">
        <f>"9781935281429"</f>
        <v>9781935281429</v>
      </c>
      <c r="C5160" s="1" t="s">
        <v>2342</v>
      </c>
      <c r="D5160" s="2">
        <v>40784</v>
      </c>
      <c r="E5160" s="1" t="s">
        <v>10311</v>
      </c>
      <c r="F5160" s="1" t="s">
        <v>13</v>
      </c>
    </row>
    <row r="5161" spans="1:6" ht="30" customHeight="1" x14ac:dyDescent="0.25">
      <c r="A5161" s="1" t="s">
        <v>10312</v>
      </c>
      <c r="B5161" s="1" t="str">
        <f>"9781617050718"</f>
        <v>9781617050718</v>
      </c>
      <c r="C5161" s="1" t="s">
        <v>2342</v>
      </c>
      <c r="D5161" s="2">
        <v>40784</v>
      </c>
      <c r="E5161" s="1" t="s">
        <v>10313</v>
      </c>
      <c r="F5161" s="1" t="s">
        <v>13</v>
      </c>
    </row>
    <row r="5162" spans="1:6" ht="30" customHeight="1" x14ac:dyDescent="0.25">
      <c r="A5162" s="1" t="s">
        <v>10314</v>
      </c>
      <c r="B5162" s="1" t="str">
        <f>"9780813347011"</f>
        <v>9780813347011</v>
      </c>
      <c r="C5162" s="1" t="s">
        <v>10315</v>
      </c>
      <c r="D5162" s="2">
        <v>36280</v>
      </c>
      <c r="E5162" s="1" t="s">
        <v>10316</v>
      </c>
      <c r="F5162" s="1" t="s">
        <v>95</v>
      </c>
    </row>
    <row r="5163" spans="1:6" ht="30" customHeight="1" x14ac:dyDescent="0.25">
      <c r="A5163" s="1" t="s">
        <v>10317</v>
      </c>
      <c r="B5163" s="1" t="str">
        <f>"9780821387719"</f>
        <v>9780821387719</v>
      </c>
      <c r="C5163" s="1" t="s">
        <v>6702</v>
      </c>
      <c r="D5163" s="2">
        <v>40772</v>
      </c>
      <c r="E5163" s="1" t="s">
        <v>10318</v>
      </c>
      <c r="F5163" s="1" t="s">
        <v>4011</v>
      </c>
    </row>
    <row r="5164" spans="1:6" ht="30" customHeight="1" x14ac:dyDescent="0.25">
      <c r="A5164" s="1" t="s">
        <v>10319</v>
      </c>
      <c r="B5164" s="1" t="str">
        <f>"9781409423140"</f>
        <v>9781409423140</v>
      </c>
      <c r="C5164" s="1" t="s">
        <v>68</v>
      </c>
      <c r="D5164" s="2">
        <v>40848</v>
      </c>
      <c r="E5164" s="1" t="s">
        <v>10320</v>
      </c>
      <c r="F5164" s="1" t="s">
        <v>126</v>
      </c>
    </row>
    <row r="5165" spans="1:6" ht="30" customHeight="1" x14ac:dyDescent="0.25">
      <c r="A5165" s="1" t="s">
        <v>10321</v>
      </c>
      <c r="B5165" s="1" t="str">
        <f>"9780833041135"</f>
        <v>9780833041135</v>
      </c>
      <c r="C5165" s="1" t="s">
        <v>516</v>
      </c>
      <c r="D5165" s="2">
        <v>38579</v>
      </c>
      <c r="E5165" s="1" t="s">
        <v>10322</v>
      </c>
      <c r="F5165" s="1" t="s">
        <v>95</v>
      </c>
    </row>
    <row r="5166" spans="1:6" ht="30" customHeight="1" x14ac:dyDescent="0.25">
      <c r="A5166" s="1" t="s">
        <v>10323</v>
      </c>
      <c r="B5166" s="1" t="str">
        <f>"9780833040978"</f>
        <v>9780833040978</v>
      </c>
      <c r="C5166" s="1" t="s">
        <v>516</v>
      </c>
      <c r="D5166" s="2">
        <v>38657</v>
      </c>
      <c r="E5166" s="1" t="s">
        <v>10324</v>
      </c>
      <c r="F5166" s="1" t="s">
        <v>148</v>
      </c>
    </row>
    <row r="5167" spans="1:6" ht="30" customHeight="1" x14ac:dyDescent="0.25">
      <c r="A5167" s="1" t="s">
        <v>10325</v>
      </c>
      <c r="B5167" s="1" t="str">
        <f>"9780833040725"</f>
        <v>9780833040725</v>
      </c>
      <c r="C5167" s="1" t="s">
        <v>516</v>
      </c>
      <c r="D5167" s="2">
        <v>38443</v>
      </c>
      <c r="E5167" s="1" t="s">
        <v>10326</v>
      </c>
      <c r="F5167" s="1" t="s">
        <v>95</v>
      </c>
    </row>
    <row r="5168" spans="1:6" ht="30" customHeight="1" x14ac:dyDescent="0.25">
      <c r="A5168" s="1" t="s">
        <v>10327</v>
      </c>
      <c r="B5168" s="1" t="str">
        <f>"9780833040565"</f>
        <v>9780833040565</v>
      </c>
      <c r="C5168" s="1" t="s">
        <v>516</v>
      </c>
      <c r="D5168" s="2">
        <v>38473</v>
      </c>
      <c r="E5168" s="1" t="s">
        <v>10328</v>
      </c>
      <c r="F5168" s="1" t="s">
        <v>13</v>
      </c>
    </row>
    <row r="5169" spans="1:6" ht="30" customHeight="1" x14ac:dyDescent="0.25">
      <c r="A5169" s="1" t="s">
        <v>10329</v>
      </c>
      <c r="B5169" s="1" t="str">
        <f>"9780833041166"</f>
        <v>9780833041166</v>
      </c>
      <c r="C5169" s="1" t="s">
        <v>516</v>
      </c>
      <c r="D5169" s="2">
        <v>38718</v>
      </c>
      <c r="E5169" s="1" t="s">
        <v>10330</v>
      </c>
      <c r="F5169" s="1" t="s">
        <v>30</v>
      </c>
    </row>
    <row r="5170" spans="1:6" ht="30" customHeight="1" x14ac:dyDescent="0.25">
      <c r="A5170" s="1" t="s">
        <v>10331</v>
      </c>
      <c r="B5170" s="1" t="str">
        <f>"9780833040985"</f>
        <v>9780833040985</v>
      </c>
      <c r="C5170" s="1" t="s">
        <v>516</v>
      </c>
      <c r="D5170" s="2">
        <v>38626</v>
      </c>
      <c r="E5170" s="1" t="s">
        <v>10332</v>
      </c>
      <c r="F5170" s="1" t="s">
        <v>95</v>
      </c>
    </row>
    <row r="5171" spans="1:6" ht="30" customHeight="1" x14ac:dyDescent="0.25">
      <c r="A5171" s="1" t="s">
        <v>10333</v>
      </c>
      <c r="B5171" s="1" t="str">
        <f>"9780833044303"</f>
        <v>9780833044303</v>
      </c>
      <c r="C5171" s="1" t="s">
        <v>516</v>
      </c>
      <c r="D5171" s="2">
        <v>39545</v>
      </c>
      <c r="E5171" s="1" t="s">
        <v>10334</v>
      </c>
      <c r="F5171" s="1" t="s">
        <v>10335</v>
      </c>
    </row>
    <row r="5172" spans="1:6" ht="30" customHeight="1" x14ac:dyDescent="0.25">
      <c r="A5172" s="1" t="s">
        <v>10336</v>
      </c>
      <c r="B5172" s="1" t="str">
        <f>"9781400840410"</f>
        <v>9781400840410</v>
      </c>
      <c r="C5172" s="1" t="s">
        <v>6462</v>
      </c>
      <c r="D5172" s="2">
        <v>40854</v>
      </c>
      <c r="E5172" s="1" t="s">
        <v>10337</v>
      </c>
      <c r="F5172" s="1" t="s">
        <v>95</v>
      </c>
    </row>
    <row r="5173" spans="1:6" ht="30" customHeight="1" x14ac:dyDescent="0.25">
      <c r="A5173" s="1" t="s">
        <v>10338</v>
      </c>
      <c r="B5173" s="1" t="str">
        <f>"9780520948181"</f>
        <v>9780520948181</v>
      </c>
      <c r="C5173" s="1" t="s">
        <v>818</v>
      </c>
      <c r="D5173" s="2">
        <v>40752</v>
      </c>
      <c r="E5173" s="1" t="s">
        <v>10339</v>
      </c>
      <c r="F5173" s="1" t="s">
        <v>13</v>
      </c>
    </row>
    <row r="5174" spans="1:6" ht="30" customHeight="1" x14ac:dyDescent="0.25">
      <c r="A5174" s="1" t="s">
        <v>10340</v>
      </c>
      <c r="B5174" s="1" t="str">
        <f>"9781607507932"</f>
        <v>9781607507932</v>
      </c>
      <c r="C5174" s="1" t="s">
        <v>1390</v>
      </c>
      <c r="D5174" s="2">
        <v>40749</v>
      </c>
      <c r="E5174" s="1" t="s">
        <v>10341</v>
      </c>
      <c r="F5174" s="1" t="s">
        <v>13</v>
      </c>
    </row>
    <row r="5175" spans="1:6" ht="30" customHeight="1" x14ac:dyDescent="0.25">
      <c r="A5175" s="1" t="s">
        <v>10342</v>
      </c>
      <c r="B5175" s="1" t="str">
        <f>"9781607508069"</f>
        <v>9781607508069</v>
      </c>
      <c r="C5175" s="1" t="s">
        <v>1390</v>
      </c>
      <c r="D5175" s="2">
        <v>40756</v>
      </c>
      <c r="E5175" s="1" t="s">
        <v>10343</v>
      </c>
      <c r="F5175" s="1" t="s">
        <v>10344</v>
      </c>
    </row>
    <row r="5176" spans="1:6" ht="30" customHeight="1" x14ac:dyDescent="0.25">
      <c r="A5176" s="1" t="s">
        <v>10345</v>
      </c>
      <c r="B5176" s="1" t="str">
        <f>"9781607507406"</f>
        <v>9781607507406</v>
      </c>
      <c r="C5176" s="1" t="s">
        <v>1390</v>
      </c>
      <c r="D5176" s="2">
        <v>40664</v>
      </c>
      <c r="E5176" s="1" t="s">
        <v>10346</v>
      </c>
      <c r="F5176" s="1" t="s">
        <v>13</v>
      </c>
    </row>
    <row r="5177" spans="1:6" ht="30" customHeight="1" x14ac:dyDescent="0.25">
      <c r="A5177" s="1" t="s">
        <v>10347</v>
      </c>
      <c r="B5177" s="1" t="str">
        <f>"9781607507581"</f>
        <v>9781607507581</v>
      </c>
      <c r="C5177" s="1" t="s">
        <v>1390</v>
      </c>
      <c r="D5177" s="2">
        <v>40689</v>
      </c>
      <c r="E5177" s="1" t="s">
        <v>10348</v>
      </c>
      <c r="F5177" s="1" t="s">
        <v>304</v>
      </c>
    </row>
    <row r="5178" spans="1:6" ht="30" customHeight="1" x14ac:dyDescent="0.25">
      <c r="A5178" s="1" t="s">
        <v>10349</v>
      </c>
      <c r="B5178" s="1" t="str">
        <f>"9781607507352"</f>
        <v>9781607507352</v>
      </c>
      <c r="C5178" s="1" t="s">
        <v>1390</v>
      </c>
      <c r="D5178" s="2">
        <v>40637</v>
      </c>
      <c r="E5178" s="1" t="s">
        <v>10350</v>
      </c>
      <c r="F5178" s="1" t="s">
        <v>13</v>
      </c>
    </row>
    <row r="5179" spans="1:6" ht="30" customHeight="1" x14ac:dyDescent="0.25">
      <c r="A5179" s="1" t="s">
        <v>10351</v>
      </c>
      <c r="B5179" s="1" t="str">
        <f>"9781607507918"</f>
        <v>9781607507918</v>
      </c>
      <c r="C5179" s="1" t="s">
        <v>1390</v>
      </c>
      <c r="D5179" s="2">
        <v>40756</v>
      </c>
      <c r="E5179" s="1" t="s">
        <v>10352</v>
      </c>
      <c r="F5179" s="1" t="s">
        <v>158</v>
      </c>
    </row>
    <row r="5180" spans="1:6" ht="30" customHeight="1" x14ac:dyDescent="0.25">
      <c r="A5180" s="1" t="s">
        <v>10353</v>
      </c>
      <c r="B5180" s="1" t="str">
        <f>"9781607507666"</f>
        <v>9781607507666</v>
      </c>
      <c r="C5180" s="1" t="s">
        <v>1390</v>
      </c>
      <c r="D5180" s="2">
        <v>40702</v>
      </c>
      <c r="E5180" s="1" t="s">
        <v>10354</v>
      </c>
      <c r="F5180" s="1" t="s">
        <v>13</v>
      </c>
    </row>
    <row r="5181" spans="1:6" ht="30" customHeight="1" x14ac:dyDescent="0.25">
      <c r="A5181" s="1" t="s">
        <v>10355</v>
      </c>
      <c r="B5181" s="1" t="str">
        <f>"9781607507338"</f>
        <v>9781607507338</v>
      </c>
      <c r="C5181" s="1" t="s">
        <v>1390</v>
      </c>
      <c r="D5181" s="2">
        <v>40729</v>
      </c>
      <c r="E5181" s="1" t="s">
        <v>10356</v>
      </c>
      <c r="F5181" s="1" t="s">
        <v>13</v>
      </c>
    </row>
    <row r="5182" spans="1:6" ht="30" customHeight="1" x14ac:dyDescent="0.25">
      <c r="A5182" s="1" t="s">
        <v>10357</v>
      </c>
      <c r="B5182" s="1" t="str">
        <f>"9781607508106"</f>
        <v>9781607508106</v>
      </c>
      <c r="C5182" s="1" t="s">
        <v>1390</v>
      </c>
      <c r="D5182" s="2">
        <v>40756</v>
      </c>
      <c r="E5182" s="1" t="s">
        <v>10358</v>
      </c>
      <c r="F5182" s="1" t="s">
        <v>3416</v>
      </c>
    </row>
    <row r="5183" spans="1:6" ht="30" customHeight="1" x14ac:dyDescent="0.25">
      <c r="A5183" s="1" t="s">
        <v>10359</v>
      </c>
      <c r="B5183" s="1" t="str">
        <f>"9780199797998"</f>
        <v>9780199797998</v>
      </c>
      <c r="C5183" s="1" t="s">
        <v>1117</v>
      </c>
      <c r="D5183" s="2">
        <v>41773</v>
      </c>
      <c r="E5183" s="1" t="s">
        <v>10360</v>
      </c>
      <c r="F5183" s="1" t="s">
        <v>10361</v>
      </c>
    </row>
    <row r="5184" spans="1:6" ht="30" customHeight="1" x14ac:dyDescent="0.25">
      <c r="A5184" s="1" t="s">
        <v>10362</v>
      </c>
      <c r="B5184" s="1" t="str">
        <f>"9780520949751"</f>
        <v>9780520949751</v>
      </c>
      <c r="C5184" s="1" t="s">
        <v>818</v>
      </c>
      <c r="D5184" s="2">
        <v>40852</v>
      </c>
      <c r="E5184" s="1" t="s">
        <v>10363</v>
      </c>
      <c r="F5184" s="1" t="s">
        <v>95</v>
      </c>
    </row>
    <row r="5185" spans="1:6" ht="30" customHeight="1" x14ac:dyDescent="0.25">
      <c r="A5185" s="1" t="s">
        <v>10364</v>
      </c>
      <c r="B5185" s="1" t="str">
        <f>"9780520927087"</f>
        <v>9780520927087</v>
      </c>
      <c r="C5185" s="1" t="s">
        <v>818</v>
      </c>
      <c r="D5185" s="2">
        <v>36945</v>
      </c>
      <c r="E5185" s="1" t="s">
        <v>10365</v>
      </c>
      <c r="F5185" s="1" t="s">
        <v>87</v>
      </c>
    </row>
    <row r="5186" spans="1:6" ht="30" customHeight="1" x14ac:dyDescent="0.25">
      <c r="A5186" s="1" t="s">
        <v>10366</v>
      </c>
      <c r="B5186" s="1" t="str">
        <f>"9783110255683"</f>
        <v>9783110255683</v>
      </c>
      <c r="C5186" s="1" t="s">
        <v>1848</v>
      </c>
      <c r="D5186" s="2">
        <v>40815</v>
      </c>
      <c r="E5186" s="1" t="s">
        <v>10367</v>
      </c>
      <c r="F5186" s="1" t="s">
        <v>13</v>
      </c>
    </row>
    <row r="5187" spans="1:6" ht="30" customHeight="1" x14ac:dyDescent="0.25">
      <c r="A5187" s="1" t="s">
        <v>10368</v>
      </c>
      <c r="B5187" s="1" t="str">
        <f>"9780520933026"</f>
        <v>9780520933026</v>
      </c>
      <c r="C5187" s="1" t="s">
        <v>818</v>
      </c>
      <c r="D5187" s="2">
        <v>38825</v>
      </c>
      <c r="E5187" s="1" t="s">
        <v>10365</v>
      </c>
      <c r="F5187" s="1" t="s">
        <v>87</v>
      </c>
    </row>
    <row r="5188" spans="1:6" ht="30" customHeight="1" x14ac:dyDescent="0.25">
      <c r="A5188" s="1" t="s">
        <v>10369</v>
      </c>
      <c r="B5188" s="1" t="str">
        <f>"9780335243822"</f>
        <v>9780335243822</v>
      </c>
      <c r="C5188" s="1" t="s">
        <v>2247</v>
      </c>
      <c r="D5188" s="2">
        <v>40787</v>
      </c>
      <c r="E5188" s="1" t="s">
        <v>10370</v>
      </c>
      <c r="F5188" s="1" t="s">
        <v>30</v>
      </c>
    </row>
    <row r="5189" spans="1:6" ht="30" customHeight="1" x14ac:dyDescent="0.25">
      <c r="A5189" s="1" t="s">
        <v>10371</v>
      </c>
      <c r="B5189" s="1" t="str">
        <f>"9780335243570"</f>
        <v>9780335243570</v>
      </c>
      <c r="C5189" s="1" t="s">
        <v>2247</v>
      </c>
      <c r="D5189" s="2">
        <v>40787</v>
      </c>
      <c r="E5189" s="1" t="s">
        <v>10372</v>
      </c>
      <c r="F5189" s="1" t="s">
        <v>4351</v>
      </c>
    </row>
    <row r="5190" spans="1:6" ht="30" customHeight="1" x14ac:dyDescent="0.25">
      <c r="A5190" s="1" t="s">
        <v>10373</v>
      </c>
      <c r="B5190" s="1" t="str">
        <f>"9781611327977"</f>
        <v>9781611327977</v>
      </c>
      <c r="C5190" s="1" t="s">
        <v>93</v>
      </c>
      <c r="D5190" s="2">
        <v>40801</v>
      </c>
      <c r="E5190" s="1" t="s">
        <v>10374</v>
      </c>
      <c r="F5190" s="1" t="s">
        <v>214</v>
      </c>
    </row>
    <row r="5191" spans="1:6" ht="30" customHeight="1" x14ac:dyDescent="0.25">
      <c r="A5191" s="1" t="s">
        <v>10375</v>
      </c>
      <c r="B5191" s="1" t="str">
        <f>"9780826117793"</f>
        <v>9780826117793</v>
      </c>
      <c r="C5191" s="1" t="s">
        <v>2339</v>
      </c>
      <c r="D5191" s="2">
        <v>40798</v>
      </c>
      <c r="E5191" s="1" t="s">
        <v>10376</v>
      </c>
      <c r="F5191" s="1" t="s">
        <v>126</v>
      </c>
    </row>
    <row r="5192" spans="1:6" ht="30" customHeight="1" x14ac:dyDescent="0.25">
      <c r="A5192" s="1" t="s">
        <v>10377</v>
      </c>
      <c r="B5192" s="1" t="str">
        <f>"9781617050190"</f>
        <v>9781617050190</v>
      </c>
      <c r="C5192" s="1" t="s">
        <v>2342</v>
      </c>
      <c r="D5192" s="2">
        <v>40814</v>
      </c>
      <c r="E5192" s="1" t="s">
        <v>10378</v>
      </c>
      <c r="F5192" s="1" t="s">
        <v>13</v>
      </c>
    </row>
    <row r="5193" spans="1:6" ht="30" customHeight="1" x14ac:dyDescent="0.25">
      <c r="A5193" s="1" t="s">
        <v>10379</v>
      </c>
      <c r="B5193" s="1" t="str">
        <f>"9781849409070"</f>
        <v>9781849409070</v>
      </c>
      <c r="C5193" s="1" t="s">
        <v>8994</v>
      </c>
      <c r="D5193" s="2">
        <v>40826</v>
      </c>
      <c r="E5193" s="1" t="s">
        <v>10380</v>
      </c>
      <c r="F5193" s="1" t="s">
        <v>13</v>
      </c>
    </row>
    <row r="5194" spans="1:6" ht="30" customHeight="1" x14ac:dyDescent="0.25">
      <c r="A5194" s="1" t="s">
        <v>10381</v>
      </c>
      <c r="B5194" s="1" t="str">
        <f>"9780813126296"</f>
        <v>9780813126296</v>
      </c>
      <c r="C5194" s="1" t="s">
        <v>10382</v>
      </c>
      <c r="D5194" s="2">
        <v>35516</v>
      </c>
      <c r="E5194" s="1" t="s">
        <v>10383</v>
      </c>
      <c r="F5194" s="1" t="s">
        <v>70</v>
      </c>
    </row>
    <row r="5195" spans="1:6" ht="30" customHeight="1" x14ac:dyDescent="0.25">
      <c r="A5195" s="1" t="s">
        <v>10384</v>
      </c>
      <c r="B5195" s="1" t="str">
        <f>"9781555817190"</f>
        <v>9781555817190</v>
      </c>
      <c r="C5195" s="1" t="s">
        <v>7254</v>
      </c>
      <c r="D5195" s="2">
        <v>40757</v>
      </c>
      <c r="E5195" s="1" t="s">
        <v>10385</v>
      </c>
      <c r="F5195" s="1" t="s">
        <v>54</v>
      </c>
    </row>
    <row r="5196" spans="1:6" ht="30" customHeight="1" x14ac:dyDescent="0.25">
      <c r="A5196" s="1" t="s">
        <v>10386</v>
      </c>
      <c r="B5196" s="1" t="str">
        <f>"9780470976982"</f>
        <v>9780470976982</v>
      </c>
      <c r="C5196" s="1" t="s">
        <v>65</v>
      </c>
      <c r="D5196" s="2">
        <v>40648</v>
      </c>
      <c r="E5196" s="1" t="s">
        <v>10387</v>
      </c>
      <c r="F5196" s="1" t="s">
        <v>13</v>
      </c>
    </row>
    <row r="5197" spans="1:6" ht="30" customHeight="1" x14ac:dyDescent="0.25">
      <c r="A5197" s="1" t="s">
        <v>10388</v>
      </c>
      <c r="B5197" s="1" t="str">
        <f>"9781444391756"</f>
        <v>9781444391756</v>
      </c>
      <c r="C5197" s="1" t="s">
        <v>65</v>
      </c>
      <c r="D5197" s="2">
        <v>40574</v>
      </c>
      <c r="E5197" s="1" t="s">
        <v>10389</v>
      </c>
      <c r="F5197" s="1" t="s">
        <v>13</v>
      </c>
    </row>
    <row r="5198" spans="1:6" ht="30" customHeight="1" x14ac:dyDescent="0.25">
      <c r="A5198" s="1" t="s">
        <v>10390</v>
      </c>
      <c r="B5198" s="1" t="str">
        <f>"9781118448717"</f>
        <v>9781118448717</v>
      </c>
      <c r="C5198" s="1" t="s">
        <v>65</v>
      </c>
      <c r="D5198" s="2">
        <v>41169</v>
      </c>
      <c r="E5198" s="1" t="s">
        <v>10391</v>
      </c>
      <c r="F5198" s="1" t="s">
        <v>13</v>
      </c>
    </row>
    <row r="5199" spans="1:6" ht="30" customHeight="1" x14ac:dyDescent="0.25">
      <c r="A5199" s="1" t="s">
        <v>10392</v>
      </c>
      <c r="B5199" s="1" t="str">
        <f>"9781444318463"</f>
        <v>9781444318463</v>
      </c>
      <c r="C5199" s="1" t="s">
        <v>65</v>
      </c>
      <c r="D5199" s="2">
        <v>40527</v>
      </c>
      <c r="E5199" s="1" t="s">
        <v>10393</v>
      </c>
      <c r="F5199" s="1" t="s">
        <v>13</v>
      </c>
    </row>
    <row r="5200" spans="1:6" ht="30" customHeight="1" x14ac:dyDescent="0.25">
      <c r="A5200" s="1" t="s">
        <v>10394</v>
      </c>
      <c r="B5200" s="1" t="str">
        <f>"9780470976593"</f>
        <v>9780470976593</v>
      </c>
      <c r="C5200" s="1" t="s">
        <v>65</v>
      </c>
      <c r="D5200" s="2">
        <v>40666</v>
      </c>
      <c r="E5200" s="1" t="s">
        <v>10395</v>
      </c>
      <c r="F5200" s="1" t="s">
        <v>13</v>
      </c>
    </row>
    <row r="5201" spans="1:6" ht="30" customHeight="1" x14ac:dyDescent="0.25">
      <c r="A5201" s="1" t="s">
        <v>10396</v>
      </c>
      <c r="B5201" s="1" t="str">
        <f>"9781444323924"</f>
        <v>9781444323924</v>
      </c>
      <c r="C5201" s="1" t="s">
        <v>65</v>
      </c>
      <c r="D5201" s="2">
        <v>40576</v>
      </c>
      <c r="E5201" s="1" t="s">
        <v>10397</v>
      </c>
      <c r="F5201" s="1" t="s">
        <v>214</v>
      </c>
    </row>
    <row r="5202" spans="1:6" ht="30" customHeight="1" x14ac:dyDescent="0.25">
      <c r="A5202" s="1" t="s">
        <v>10398</v>
      </c>
      <c r="B5202" s="1" t="str">
        <f>"9781409408406"</f>
        <v>9781409408406</v>
      </c>
      <c r="C5202" s="1" t="s">
        <v>68</v>
      </c>
      <c r="D5202" s="2">
        <v>40878</v>
      </c>
      <c r="E5202" s="1" t="s">
        <v>10399</v>
      </c>
      <c r="F5202" s="1" t="s">
        <v>70</v>
      </c>
    </row>
    <row r="5203" spans="1:6" ht="30" customHeight="1" x14ac:dyDescent="0.25">
      <c r="A5203" s="1" t="s">
        <v>10400</v>
      </c>
      <c r="B5203" s="1" t="str">
        <f>"9789027275417"</f>
        <v>9789027275417</v>
      </c>
      <c r="C5203" s="1" t="s">
        <v>8479</v>
      </c>
      <c r="D5203" s="2">
        <v>37455</v>
      </c>
      <c r="E5203" s="1" t="s">
        <v>10401</v>
      </c>
      <c r="F5203" s="1" t="s">
        <v>13</v>
      </c>
    </row>
    <row r="5204" spans="1:6" ht="30" customHeight="1" x14ac:dyDescent="0.25">
      <c r="A5204" s="1" t="s">
        <v>10402</v>
      </c>
      <c r="B5204" s="1" t="str">
        <f>"9781608826247"</f>
        <v>9781608826247</v>
      </c>
      <c r="C5204" s="1" t="s">
        <v>10289</v>
      </c>
      <c r="D5204" s="2">
        <v>36647</v>
      </c>
      <c r="E5204" s="1" t="s">
        <v>10403</v>
      </c>
      <c r="F5204" s="1" t="s">
        <v>13</v>
      </c>
    </row>
    <row r="5205" spans="1:6" ht="30" customHeight="1" x14ac:dyDescent="0.25">
      <c r="A5205" s="1" t="s">
        <v>10404</v>
      </c>
      <c r="B5205" s="1" t="str">
        <f>"9780313385391"</f>
        <v>9780313385391</v>
      </c>
      <c r="C5205" s="1" t="s">
        <v>7550</v>
      </c>
      <c r="D5205" s="2">
        <v>40688</v>
      </c>
      <c r="E5205" s="1" t="s">
        <v>7582</v>
      </c>
      <c r="F5205" s="1" t="s">
        <v>356</v>
      </c>
    </row>
    <row r="5206" spans="1:6" ht="30" customHeight="1" x14ac:dyDescent="0.25">
      <c r="A5206" s="1" t="s">
        <v>10405</v>
      </c>
      <c r="B5206" s="1" t="str">
        <f>"9781617050046"</f>
        <v>9781617050046</v>
      </c>
      <c r="C5206" s="1" t="s">
        <v>2342</v>
      </c>
      <c r="D5206" s="2">
        <v>40532</v>
      </c>
      <c r="E5206" s="1" t="s">
        <v>10406</v>
      </c>
      <c r="F5206" s="1" t="s">
        <v>13</v>
      </c>
    </row>
    <row r="5207" spans="1:6" ht="30" customHeight="1" x14ac:dyDescent="0.25">
      <c r="A5207" s="1" t="s">
        <v>10407</v>
      </c>
      <c r="B5207" s="1" t="str">
        <f>"9781935281412"</f>
        <v>9781935281412</v>
      </c>
      <c r="C5207" s="1" t="s">
        <v>2342</v>
      </c>
      <c r="D5207" s="2">
        <v>40596</v>
      </c>
      <c r="E5207" s="1" t="s">
        <v>10408</v>
      </c>
      <c r="F5207" s="1" t="s">
        <v>13</v>
      </c>
    </row>
    <row r="5208" spans="1:6" ht="30" customHeight="1" x14ac:dyDescent="0.25">
      <c r="A5208" s="1" t="s">
        <v>10409</v>
      </c>
      <c r="B5208" s="1" t="str">
        <f>"9781935281481"</f>
        <v>9781935281481</v>
      </c>
      <c r="C5208" s="1" t="s">
        <v>2342</v>
      </c>
      <c r="D5208" s="2">
        <v>40624</v>
      </c>
      <c r="E5208" s="1" t="s">
        <v>10410</v>
      </c>
      <c r="F5208" s="1" t="s">
        <v>13</v>
      </c>
    </row>
    <row r="5209" spans="1:6" ht="30" customHeight="1" x14ac:dyDescent="0.25">
      <c r="A5209" s="1" t="s">
        <v>10411</v>
      </c>
      <c r="B5209" s="1" t="str">
        <f>"9781935281559"</f>
        <v>9781935281559</v>
      </c>
      <c r="C5209" s="1" t="s">
        <v>2342</v>
      </c>
      <c r="D5209" s="2">
        <v>40570</v>
      </c>
      <c r="E5209" s="1" t="s">
        <v>10412</v>
      </c>
      <c r="F5209" s="1" t="s">
        <v>13</v>
      </c>
    </row>
    <row r="5210" spans="1:6" ht="30" customHeight="1" x14ac:dyDescent="0.25">
      <c r="A5210" s="1" t="s">
        <v>10413</v>
      </c>
      <c r="B5210" s="1" t="str">
        <f>"9780826107411"</f>
        <v>9780826107411</v>
      </c>
      <c r="C5210" s="1" t="s">
        <v>2339</v>
      </c>
      <c r="D5210" s="2">
        <v>40823</v>
      </c>
      <c r="E5210" s="1" t="s">
        <v>10414</v>
      </c>
      <c r="F5210" s="1" t="s">
        <v>599</v>
      </c>
    </row>
    <row r="5211" spans="1:6" ht="30" customHeight="1" x14ac:dyDescent="0.25">
      <c r="A5211" s="1" t="s">
        <v>10415</v>
      </c>
      <c r="B5211" s="1" t="str">
        <f>"9780826108838"</f>
        <v>9780826108838</v>
      </c>
      <c r="C5211" s="1" t="s">
        <v>2339</v>
      </c>
      <c r="D5211" s="2">
        <v>40830</v>
      </c>
      <c r="E5211" s="1" t="s">
        <v>10416</v>
      </c>
      <c r="F5211" s="1" t="s">
        <v>114</v>
      </c>
    </row>
    <row r="5212" spans="1:6" ht="30" customHeight="1" x14ac:dyDescent="0.25">
      <c r="A5212" s="1" t="s">
        <v>10417</v>
      </c>
      <c r="B5212" s="1" t="str">
        <f>"9780313387081"</f>
        <v>9780313387081</v>
      </c>
      <c r="C5212" s="1" t="s">
        <v>7550</v>
      </c>
      <c r="D5212" s="2">
        <v>40730</v>
      </c>
      <c r="E5212" s="1" t="s">
        <v>10418</v>
      </c>
      <c r="F5212" s="1" t="s">
        <v>214</v>
      </c>
    </row>
    <row r="5213" spans="1:6" ht="30" customHeight="1" x14ac:dyDescent="0.25">
      <c r="A5213" s="1" t="s">
        <v>10419</v>
      </c>
      <c r="B5213" s="1" t="str">
        <f>"9781849409384"</f>
        <v>9781849409384</v>
      </c>
      <c r="C5213" s="1" t="s">
        <v>8994</v>
      </c>
      <c r="D5213" s="2">
        <v>40877</v>
      </c>
      <c r="E5213" s="1" t="s">
        <v>10420</v>
      </c>
      <c r="F5213" s="1" t="s">
        <v>291</v>
      </c>
    </row>
    <row r="5214" spans="1:6" ht="30" customHeight="1" x14ac:dyDescent="0.25">
      <c r="A5214" s="1" t="s">
        <v>10421</v>
      </c>
      <c r="B5214" s="1" t="str">
        <f>"9789027276681"</f>
        <v>9789027276681</v>
      </c>
      <c r="C5214" s="1" t="s">
        <v>8479</v>
      </c>
      <c r="D5214" s="2">
        <v>34676</v>
      </c>
      <c r="E5214" s="1" t="s">
        <v>10422</v>
      </c>
      <c r="F5214" s="1" t="s">
        <v>13</v>
      </c>
    </row>
    <row r="5215" spans="1:6" ht="30" customHeight="1" x14ac:dyDescent="0.25">
      <c r="A5215" s="1" t="s">
        <v>10423</v>
      </c>
      <c r="B5215" s="1" t="str">
        <f>"9781409418894"</f>
        <v>9781409418894</v>
      </c>
      <c r="C5215" s="1" t="s">
        <v>68</v>
      </c>
      <c r="D5215" s="2">
        <v>40878</v>
      </c>
      <c r="E5215" s="1" t="s">
        <v>10424</v>
      </c>
      <c r="F5215" s="1" t="s">
        <v>2130</v>
      </c>
    </row>
    <row r="5216" spans="1:6" ht="30" customHeight="1" x14ac:dyDescent="0.25">
      <c r="A5216" s="1" t="s">
        <v>10425</v>
      </c>
      <c r="B5216" s="1" t="str">
        <f>"9781617050480"</f>
        <v>9781617050480</v>
      </c>
      <c r="C5216" s="1" t="s">
        <v>2342</v>
      </c>
      <c r="D5216" s="2">
        <v>40734</v>
      </c>
      <c r="E5216" s="1" t="s">
        <v>10426</v>
      </c>
      <c r="F5216" s="1" t="s">
        <v>359</v>
      </c>
    </row>
    <row r="5217" spans="1:6" ht="30" customHeight="1" x14ac:dyDescent="0.25">
      <c r="A5217" s="1" t="s">
        <v>10427</v>
      </c>
      <c r="B5217" s="1" t="str">
        <f>"9781617050886"</f>
        <v>9781617050886</v>
      </c>
      <c r="C5217" s="1" t="s">
        <v>2342</v>
      </c>
      <c r="D5217" s="2">
        <v>40863</v>
      </c>
      <c r="E5217" s="1" t="s">
        <v>10428</v>
      </c>
      <c r="F5217" s="1" t="s">
        <v>13</v>
      </c>
    </row>
    <row r="5218" spans="1:6" ht="30" customHeight="1" x14ac:dyDescent="0.25">
      <c r="A5218" s="1" t="s">
        <v>10429</v>
      </c>
      <c r="B5218" s="1" t="str">
        <f>"9780857004635"</f>
        <v>9780857004635</v>
      </c>
      <c r="C5218" s="1" t="s">
        <v>2387</v>
      </c>
      <c r="D5218" s="2">
        <v>40831</v>
      </c>
      <c r="E5218" s="1" t="s">
        <v>10430</v>
      </c>
      <c r="F5218" s="1" t="s">
        <v>13</v>
      </c>
    </row>
    <row r="5219" spans="1:6" ht="30" customHeight="1" x14ac:dyDescent="0.25">
      <c r="A5219" s="1" t="s">
        <v>10431</v>
      </c>
      <c r="B5219" s="1" t="str">
        <f>"9780191622069"</f>
        <v>9780191622069</v>
      </c>
      <c r="C5219" s="1" t="s">
        <v>1117</v>
      </c>
      <c r="D5219" s="2">
        <v>40090</v>
      </c>
      <c r="E5219" s="1" t="s">
        <v>10432</v>
      </c>
      <c r="F5219" s="1" t="s">
        <v>13</v>
      </c>
    </row>
    <row r="5220" spans="1:6" ht="30" customHeight="1" x14ac:dyDescent="0.25">
      <c r="A5220" s="1" t="s">
        <v>10433</v>
      </c>
      <c r="B5220" s="1" t="str">
        <f>"9780191622052"</f>
        <v>9780191622052</v>
      </c>
      <c r="C5220" s="1" t="s">
        <v>1117</v>
      </c>
      <c r="D5220" s="2">
        <v>40703</v>
      </c>
      <c r="E5220" s="1" t="s">
        <v>10434</v>
      </c>
      <c r="F5220" s="1" t="s">
        <v>13</v>
      </c>
    </row>
    <row r="5221" spans="1:6" ht="30" customHeight="1" x14ac:dyDescent="0.25">
      <c r="A5221" s="1" t="s">
        <v>10435</v>
      </c>
      <c r="B5221" s="1" t="str">
        <f>"9780191575440"</f>
        <v>9780191575440</v>
      </c>
      <c r="C5221" s="1" t="s">
        <v>1120</v>
      </c>
      <c r="D5221" s="2">
        <v>40220</v>
      </c>
      <c r="E5221" s="1" t="s">
        <v>10436</v>
      </c>
      <c r="F5221" s="1" t="s">
        <v>30</v>
      </c>
    </row>
    <row r="5222" spans="1:6" ht="30" customHeight="1" x14ac:dyDescent="0.25">
      <c r="A5222" s="1" t="s">
        <v>10437</v>
      </c>
      <c r="B5222" s="1" t="str">
        <f>"9780191575464"</f>
        <v>9780191575464</v>
      </c>
      <c r="C5222" s="1" t="s">
        <v>1120</v>
      </c>
      <c r="D5222" s="2">
        <v>40234</v>
      </c>
      <c r="E5222" s="1" t="s">
        <v>10438</v>
      </c>
      <c r="F5222" s="1" t="s">
        <v>13</v>
      </c>
    </row>
    <row r="5223" spans="1:6" ht="30" customHeight="1" x14ac:dyDescent="0.25">
      <c r="A5223" s="1" t="s">
        <v>10439</v>
      </c>
      <c r="B5223" s="1" t="str">
        <f>"9780191622090"</f>
        <v>9780191622090</v>
      </c>
      <c r="C5223" s="1" t="s">
        <v>1117</v>
      </c>
      <c r="D5223" s="2">
        <v>40717</v>
      </c>
      <c r="E5223" s="1" t="s">
        <v>10440</v>
      </c>
      <c r="F5223" s="1" t="s">
        <v>13</v>
      </c>
    </row>
    <row r="5224" spans="1:6" ht="30" customHeight="1" x14ac:dyDescent="0.25">
      <c r="A5224" s="1" t="s">
        <v>10441</v>
      </c>
      <c r="B5224" s="1" t="str">
        <f>"9780191575730"</f>
        <v>9780191575730</v>
      </c>
      <c r="C5224" s="1" t="s">
        <v>1117</v>
      </c>
      <c r="D5224" s="2">
        <v>40185</v>
      </c>
      <c r="E5224" s="1" t="s">
        <v>10442</v>
      </c>
      <c r="F5224" s="1" t="s">
        <v>13</v>
      </c>
    </row>
    <row r="5225" spans="1:6" ht="30" customHeight="1" x14ac:dyDescent="0.25">
      <c r="A5225" s="1" t="s">
        <v>10443</v>
      </c>
      <c r="B5225" s="1" t="str">
        <f>"9780191575815"</f>
        <v>9780191575815</v>
      </c>
      <c r="C5225" s="1" t="s">
        <v>1120</v>
      </c>
      <c r="D5225" s="2">
        <v>40220</v>
      </c>
      <c r="E5225" s="1" t="s">
        <v>10444</v>
      </c>
      <c r="F5225" s="1" t="s">
        <v>13</v>
      </c>
    </row>
    <row r="5226" spans="1:6" ht="30" customHeight="1" x14ac:dyDescent="0.25">
      <c r="A5226" s="1" t="s">
        <v>10445</v>
      </c>
      <c r="B5226" s="1" t="str">
        <f>"9780191621932"</f>
        <v>9780191621932</v>
      </c>
      <c r="C5226" s="1" t="s">
        <v>1117</v>
      </c>
      <c r="D5226" s="2">
        <v>40731</v>
      </c>
      <c r="E5226" s="1" t="s">
        <v>10446</v>
      </c>
      <c r="F5226" s="1" t="s">
        <v>13</v>
      </c>
    </row>
    <row r="5227" spans="1:6" ht="30" customHeight="1" x14ac:dyDescent="0.25">
      <c r="A5227" s="1" t="s">
        <v>10447</v>
      </c>
      <c r="B5227" s="1" t="str">
        <f>"9780191621376"</f>
        <v>9780191621376</v>
      </c>
      <c r="C5227" s="1" t="s">
        <v>1117</v>
      </c>
      <c r="D5227" s="2">
        <v>40724</v>
      </c>
      <c r="E5227" s="1" t="s">
        <v>10448</v>
      </c>
      <c r="F5227" s="1" t="s">
        <v>13</v>
      </c>
    </row>
    <row r="5228" spans="1:6" ht="30" customHeight="1" x14ac:dyDescent="0.25">
      <c r="A5228" s="1" t="s">
        <v>2527</v>
      </c>
      <c r="B5228" s="1" t="str">
        <f>"9780191575952"</f>
        <v>9780191575952</v>
      </c>
      <c r="C5228" s="1" t="s">
        <v>1117</v>
      </c>
      <c r="D5228" s="2">
        <v>40220</v>
      </c>
      <c r="E5228" s="1" t="s">
        <v>10449</v>
      </c>
      <c r="F5228" s="1" t="s">
        <v>13</v>
      </c>
    </row>
    <row r="5229" spans="1:6" ht="30" customHeight="1" x14ac:dyDescent="0.25">
      <c r="A5229" s="1" t="s">
        <v>10450</v>
      </c>
      <c r="B5229" s="1" t="str">
        <f>"9780191576027"</f>
        <v>9780191576027</v>
      </c>
      <c r="C5229" s="1" t="s">
        <v>1120</v>
      </c>
      <c r="D5229" s="2">
        <v>40234</v>
      </c>
      <c r="E5229" s="1" t="s">
        <v>10451</v>
      </c>
      <c r="F5229" s="1" t="s">
        <v>268</v>
      </c>
    </row>
    <row r="5230" spans="1:6" ht="30" customHeight="1" x14ac:dyDescent="0.25">
      <c r="A5230" s="1" t="s">
        <v>10452</v>
      </c>
      <c r="B5230" s="1" t="str">
        <f>"9780191621680"</f>
        <v>9780191621680</v>
      </c>
      <c r="C5230" s="1" t="s">
        <v>1120</v>
      </c>
      <c r="D5230" s="2">
        <v>40689</v>
      </c>
      <c r="E5230" s="1" t="s">
        <v>10453</v>
      </c>
      <c r="F5230" s="1" t="s">
        <v>214</v>
      </c>
    </row>
    <row r="5231" spans="1:6" ht="30" customHeight="1" x14ac:dyDescent="0.25">
      <c r="A5231" s="1" t="s">
        <v>10454</v>
      </c>
      <c r="B5231" s="1" t="str">
        <f>"9780191616525"</f>
        <v>9780191616525</v>
      </c>
      <c r="C5231" s="1" t="s">
        <v>1120</v>
      </c>
      <c r="D5231" s="2">
        <v>40605</v>
      </c>
      <c r="E5231" s="1" t="s">
        <v>10455</v>
      </c>
      <c r="F5231" s="1" t="s">
        <v>13</v>
      </c>
    </row>
    <row r="5232" spans="1:6" ht="30" customHeight="1" x14ac:dyDescent="0.25">
      <c r="A5232" s="1" t="s">
        <v>10456</v>
      </c>
      <c r="B5232" s="1" t="str">
        <f>"9780826108388"</f>
        <v>9780826108388</v>
      </c>
      <c r="C5232" s="1" t="s">
        <v>2339</v>
      </c>
      <c r="D5232" s="2">
        <v>40772</v>
      </c>
      <c r="E5232" s="1" t="s">
        <v>10457</v>
      </c>
      <c r="F5232" s="1" t="s">
        <v>973</v>
      </c>
    </row>
    <row r="5233" spans="1:6" ht="30" customHeight="1" x14ac:dyDescent="0.25">
      <c r="A5233" s="1" t="s">
        <v>10458</v>
      </c>
      <c r="B5233" s="1" t="str">
        <f>"9783110245622"</f>
        <v>9783110245622</v>
      </c>
      <c r="C5233" s="1" t="s">
        <v>1848</v>
      </c>
      <c r="D5233" s="2">
        <v>40689</v>
      </c>
      <c r="E5233" s="1" t="s">
        <v>10459</v>
      </c>
      <c r="F5233" s="1" t="s">
        <v>137</v>
      </c>
    </row>
    <row r="5234" spans="1:6" ht="30" customHeight="1" x14ac:dyDescent="0.25">
      <c r="A5234" s="1" t="s">
        <v>10460</v>
      </c>
      <c r="B5234" s="1" t="str">
        <f>"9783110249507"</f>
        <v>9783110249507</v>
      </c>
      <c r="C5234" s="1" t="s">
        <v>1848</v>
      </c>
      <c r="D5234" s="2">
        <v>40689</v>
      </c>
      <c r="E5234" s="1" t="s">
        <v>10461</v>
      </c>
      <c r="F5234" s="1" t="s">
        <v>13</v>
      </c>
    </row>
    <row r="5235" spans="1:6" ht="30" customHeight="1" x14ac:dyDescent="0.25">
      <c r="A5235" s="1" t="s">
        <v>10462</v>
      </c>
      <c r="B5235" s="1" t="str">
        <f>"9780520942899"</f>
        <v>9780520942899</v>
      </c>
      <c r="C5235" s="1" t="s">
        <v>818</v>
      </c>
      <c r="D5235" s="2">
        <v>39784</v>
      </c>
      <c r="E5235" s="1" t="s">
        <v>10463</v>
      </c>
      <c r="F5235" s="1" t="s">
        <v>10464</v>
      </c>
    </row>
    <row r="5236" spans="1:6" ht="30" customHeight="1" x14ac:dyDescent="0.25">
      <c r="A5236" s="1" t="s">
        <v>10465</v>
      </c>
      <c r="B5236" s="1" t="str">
        <f>"9783110255690"</f>
        <v>9783110255690</v>
      </c>
      <c r="C5236" s="1" t="s">
        <v>1848</v>
      </c>
      <c r="D5236" s="2">
        <v>40843</v>
      </c>
      <c r="E5236" s="1" t="s">
        <v>10466</v>
      </c>
      <c r="F5236" s="1" t="s">
        <v>13</v>
      </c>
    </row>
    <row r="5237" spans="1:6" ht="30" customHeight="1" x14ac:dyDescent="0.25">
      <c r="A5237" s="1" t="s">
        <v>10467</v>
      </c>
      <c r="B5237" s="1" t="str">
        <f>"9781608822980"</f>
        <v>9781608822980</v>
      </c>
      <c r="C5237" s="1" t="s">
        <v>10294</v>
      </c>
      <c r="D5237" s="2">
        <v>39995</v>
      </c>
      <c r="E5237" s="1" t="s">
        <v>10468</v>
      </c>
      <c r="F5237" s="1" t="s">
        <v>13</v>
      </c>
    </row>
    <row r="5238" spans="1:6" ht="30" customHeight="1" x14ac:dyDescent="0.25">
      <c r="A5238" s="1" t="s">
        <v>10469</v>
      </c>
      <c r="B5238" s="1" t="str">
        <f>"9789027278418"</f>
        <v>9789027278418</v>
      </c>
      <c r="C5238" s="1" t="s">
        <v>8479</v>
      </c>
      <c r="D5238" s="2">
        <v>32509</v>
      </c>
      <c r="E5238" s="1" t="s">
        <v>10470</v>
      </c>
      <c r="F5238" s="1" t="s">
        <v>13</v>
      </c>
    </row>
    <row r="5239" spans="1:6" ht="30" customHeight="1" x14ac:dyDescent="0.25">
      <c r="A5239" s="1" t="s">
        <v>10471</v>
      </c>
      <c r="B5239" s="1" t="str">
        <f>"9789027278487"</f>
        <v>9789027278487</v>
      </c>
      <c r="C5239" s="1" t="s">
        <v>8479</v>
      </c>
      <c r="D5239" s="2">
        <v>32509</v>
      </c>
      <c r="E5239" s="1" t="s">
        <v>10472</v>
      </c>
      <c r="F5239" s="1" t="s">
        <v>13</v>
      </c>
    </row>
    <row r="5240" spans="1:6" ht="30" customHeight="1" x14ac:dyDescent="0.25">
      <c r="A5240" s="1" t="s">
        <v>10473</v>
      </c>
      <c r="B5240" s="1" t="str">
        <f>"9781849409414"</f>
        <v>9781849409414</v>
      </c>
      <c r="C5240" s="1" t="s">
        <v>68</v>
      </c>
      <c r="D5240" s="2">
        <v>40908</v>
      </c>
      <c r="E5240" s="1" t="s">
        <v>10474</v>
      </c>
      <c r="F5240" s="1" t="s">
        <v>2130</v>
      </c>
    </row>
    <row r="5241" spans="1:6" ht="30" customHeight="1" x14ac:dyDescent="0.25">
      <c r="A5241" s="1" t="s">
        <v>10475</v>
      </c>
      <c r="B5241" s="1" t="str">
        <f>"9781908541000"</f>
        <v>9781908541000</v>
      </c>
      <c r="C5241" s="1" t="s">
        <v>10006</v>
      </c>
      <c r="D5241" s="2">
        <v>40756</v>
      </c>
      <c r="E5241" s="1" t="s">
        <v>10476</v>
      </c>
      <c r="F5241" s="1" t="s">
        <v>13</v>
      </c>
    </row>
    <row r="5242" spans="1:6" ht="30" customHeight="1" x14ac:dyDescent="0.25">
      <c r="A5242" s="1" t="s">
        <v>10477</v>
      </c>
      <c r="B5242" s="1" t="str">
        <f>"9780191628139"</f>
        <v>9780191628139</v>
      </c>
      <c r="C5242" s="1" t="s">
        <v>1120</v>
      </c>
      <c r="D5242" s="2">
        <v>40843</v>
      </c>
      <c r="E5242" s="1" t="s">
        <v>10478</v>
      </c>
      <c r="F5242" s="1" t="s">
        <v>13</v>
      </c>
    </row>
    <row r="5243" spans="1:6" ht="30" customHeight="1" x14ac:dyDescent="0.25">
      <c r="A5243" s="1" t="s">
        <v>10479</v>
      </c>
      <c r="B5243" s="1" t="str">
        <f>"9781908541017"</f>
        <v>9781908541017</v>
      </c>
      <c r="C5243" s="1" t="s">
        <v>10006</v>
      </c>
      <c r="D5243" s="2">
        <v>40909</v>
      </c>
      <c r="E5243" s="1" t="s">
        <v>10480</v>
      </c>
      <c r="F5243" s="1" t="s">
        <v>13</v>
      </c>
    </row>
    <row r="5244" spans="1:6" ht="30" customHeight="1" x14ac:dyDescent="0.25">
      <c r="A5244" s="1" t="s">
        <v>10481</v>
      </c>
      <c r="B5244" s="1" t="str">
        <f>"9781608822348"</f>
        <v>9781608822348</v>
      </c>
      <c r="C5244" s="1" t="s">
        <v>10294</v>
      </c>
      <c r="D5244" s="2">
        <v>40577</v>
      </c>
      <c r="E5244" s="1" t="s">
        <v>10482</v>
      </c>
      <c r="F5244" s="1" t="s">
        <v>13</v>
      </c>
    </row>
    <row r="5245" spans="1:6" ht="30" customHeight="1" x14ac:dyDescent="0.25">
      <c r="A5245" s="1" t="s">
        <v>10483</v>
      </c>
      <c r="B5245" s="1" t="str">
        <f>"9780123919137"</f>
        <v>9780123919137</v>
      </c>
      <c r="C5245" s="1" t="s">
        <v>900</v>
      </c>
      <c r="D5245" s="2">
        <v>40841</v>
      </c>
      <c r="E5245" s="1" t="s">
        <v>10484</v>
      </c>
      <c r="F5245" s="1" t="s">
        <v>13</v>
      </c>
    </row>
    <row r="5246" spans="1:6" ht="30" customHeight="1" x14ac:dyDescent="0.25">
      <c r="A5246" s="1" t="s">
        <v>10485</v>
      </c>
      <c r="B5246" s="1" t="str">
        <f>"9780511726446"</f>
        <v>9780511726446</v>
      </c>
      <c r="C5246" s="1" t="s">
        <v>25</v>
      </c>
      <c r="D5246" s="2">
        <v>40294</v>
      </c>
      <c r="E5246" s="1" t="s">
        <v>10486</v>
      </c>
      <c r="F5246" s="1" t="s">
        <v>359</v>
      </c>
    </row>
    <row r="5247" spans="1:6" ht="30" customHeight="1" x14ac:dyDescent="0.25">
      <c r="A5247" s="1" t="s">
        <v>10487</v>
      </c>
      <c r="B5247" s="1" t="str">
        <f>"9780511725913"</f>
        <v>9780511725913</v>
      </c>
      <c r="C5247" s="1" t="s">
        <v>25</v>
      </c>
      <c r="D5247" s="2">
        <v>40280</v>
      </c>
      <c r="E5247" s="1" t="s">
        <v>10488</v>
      </c>
      <c r="F5247" s="1" t="s">
        <v>13</v>
      </c>
    </row>
    <row r="5248" spans="1:6" ht="30" customHeight="1" x14ac:dyDescent="0.25">
      <c r="A5248" s="1" t="s">
        <v>10489</v>
      </c>
      <c r="B5248" s="1" t="str">
        <f>"9780511155147"</f>
        <v>9780511155147</v>
      </c>
      <c r="C5248" s="1" t="s">
        <v>25</v>
      </c>
      <c r="D5248" s="2">
        <v>36860</v>
      </c>
      <c r="E5248" s="1" t="s">
        <v>10490</v>
      </c>
      <c r="F5248" s="1" t="s">
        <v>13</v>
      </c>
    </row>
    <row r="5249" spans="1:6" ht="30" customHeight="1" x14ac:dyDescent="0.25">
      <c r="A5249" s="1" t="s">
        <v>10491</v>
      </c>
      <c r="B5249" s="1" t="str">
        <f>"9780511369841"</f>
        <v>9780511369841</v>
      </c>
      <c r="C5249" s="1" t="s">
        <v>25</v>
      </c>
      <c r="D5249" s="2">
        <v>39468</v>
      </c>
      <c r="E5249" s="1" t="s">
        <v>10492</v>
      </c>
      <c r="F5249" s="1" t="s">
        <v>13</v>
      </c>
    </row>
    <row r="5250" spans="1:6" ht="30" customHeight="1" x14ac:dyDescent="0.25">
      <c r="A5250" s="1" t="s">
        <v>10493</v>
      </c>
      <c r="B5250" s="1" t="str">
        <f>"9781608821402"</f>
        <v>9781608821402</v>
      </c>
      <c r="C5250" s="1" t="s">
        <v>10289</v>
      </c>
      <c r="D5250" s="2">
        <v>40483</v>
      </c>
      <c r="E5250" s="1" t="s">
        <v>10494</v>
      </c>
      <c r="F5250" s="1" t="s">
        <v>13</v>
      </c>
    </row>
    <row r="5251" spans="1:6" ht="30" customHeight="1" x14ac:dyDescent="0.25">
      <c r="A5251" s="1" t="s">
        <v>10495</v>
      </c>
      <c r="B5251" s="1" t="str">
        <f>"9781608826308"</f>
        <v>9781608826308</v>
      </c>
      <c r="C5251" s="1" t="s">
        <v>10294</v>
      </c>
      <c r="D5251" s="2">
        <v>39569</v>
      </c>
      <c r="E5251" s="1" t="s">
        <v>10496</v>
      </c>
      <c r="F5251" s="1" t="s">
        <v>13</v>
      </c>
    </row>
    <row r="5252" spans="1:6" ht="30" customHeight="1" x14ac:dyDescent="0.25">
      <c r="A5252" s="1" t="s">
        <v>10497</v>
      </c>
      <c r="B5252" s="1" t="str">
        <f>"9781608826391"</f>
        <v>9781608826391</v>
      </c>
      <c r="C5252" s="1" t="s">
        <v>10289</v>
      </c>
      <c r="D5252" s="2">
        <v>39905</v>
      </c>
      <c r="E5252" s="1" t="s">
        <v>10498</v>
      </c>
      <c r="F5252" s="1" t="s">
        <v>158</v>
      </c>
    </row>
    <row r="5253" spans="1:6" ht="30" customHeight="1" x14ac:dyDescent="0.25">
      <c r="A5253" s="1" t="s">
        <v>10499</v>
      </c>
      <c r="B5253" s="1" t="str">
        <f>"9781849409445"</f>
        <v>9781849409445</v>
      </c>
      <c r="C5253" s="1" t="s">
        <v>8994</v>
      </c>
      <c r="D5253" s="2">
        <v>40858</v>
      </c>
      <c r="E5253" s="1" t="s">
        <v>10500</v>
      </c>
      <c r="F5253" s="1" t="s">
        <v>104</v>
      </c>
    </row>
    <row r="5254" spans="1:6" ht="30" customHeight="1" x14ac:dyDescent="0.25">
      <c r="A5254" s="1" t="s">
        <v>10501</v>
      </c>
      <c r="B5254" s="1" t="str">
        <f>"9781849409452"</f>
        <v>9781849409452</v>
      </c>
      <c r="C5254" s="1" t="s">
        <v>8994</v>
      </c>
      <c r="D5254" s="2">
        <v>40858</v>
      </c>
      <c r="E5254" s="1" t="s">
        <v>10502</v>
      </c>
      <c r="F5254" s="1" t="s">
        <v>13</v>
      </c>
    </row>
    <row r="5255" spans="1:6" ht="30" customHeight="1" x14ac:dyDescent="0.25">
      <c r="A5255" s="1" t="s">
        <v>10503</v>
      </c>
      <c r="B5255" s="1" t="str">
        <f>"9781439904701"</f>
        <v>9781439904701</v>
      </c>
      <c r="C5255" s="1" t="s">
        <v>3205</v>
      </c>
      <c r="D5255" s="2">
        <v>40878</v>
      </c>
      <c r="E5255" s="1" t="s">
        <v>10504</v>
      </c>
      <c r="F5255" s="1" t="s">
        <v>599</v>
      </c>
    </row>
    <row r="5256" spans="1:6" ht="30" customHeight="1" x14ac:dyDescent="0.25">
      <c r="A5256" s="1" t="s">
        <v>10505</v>
      </c>
      <c r="B5256" s="1" t="str">
        <f>"9781139185066"</f>
        <v>9781139185066</v>
      </c>
      <c r="C5256" s="1" t="s">
        <v>25</v>
      </c>
      <c r="D5256" s="2">
        <v>40301</v>
      </c>
      <c r="E5256" s="1" t="s">
        <v>10506</v>
      </c>
      <c r="F5256" s="1" t="s">
        <v>126</v>
      </c>
    </row>
    <row r="5257" spans="1:6" ht="30" customHeight="1" x14ac:dyDescent="0.25">
      <c r="A5257" s="1" t="s">
        <v>10507</v>
      </c>
      <c r="B5257" s="1" t="str">
        <f>"9781935281948"</f>
        <v>9781935281948</v>
      </c>
      <c r="C5257" s="1" t="s">
        <v>2342</v>
      </c>
      <c r="D5257" s="2">
        <v>40834</v>
      </c>
      <c r="E5257" s="1" t="s">
        <v>10508</v>
      </c>
      <c r="F5257" s="1" t="s">
        <v>13</v>
      </c>
    </row>
    <row r="5258" spans="1:6" ht="30" customHeight="1" x14ac:dyDescent="0.25">
      <c r="A5258" s="1" t="s">
        <v>10509</v>
      </c>
      <c r="B5258" s="1" t="str">
        <f>"9780857247148"</f>
        <v>9780857247148</v>
      </c>
      <c r="C5258" s="1" t="s">
        <v>971</v>
      </c>
      <c r="D5258" s="2">
        <v>40822</v>
      </c>
      <c r="E5258" s="1" t="s">
        <v>10510</v>
      </c>
      <c r="F5258" s="1" t="s">
        <v>95</v>
      </c>
    </row>
    <row r="5259" spans="1:6" ht="30" customHeight="1" x14ac:dyDescent="0.25">
      <c r="A5259" s="1" t="s">
        <v>10511</v>
      </c>
      <c r="B5259" s="1" t="str">
        <f>"9780857247162"</f>
        <v>9780857247162</v>
      </c>
      <c r="C5259" s="1" t="s">
        <v>971</v>
      </c>
      <c r="D5259" s="2">
        <v>40822</v>
      </c>
      <c r="E5259" s="1" t="s">
        <v>10512</v>
      </c>
      <c r="F5259" s="1" t="s">
        <v>30</v>
      </c>
    </row>
    <row r="5260" spans="1:6" ht="30" customHeight="1" x14ac:dyDescent="0.25">
      <c r="A5260" s="1" t="s">
        <v>10513</v>
      </c>
      <c r="B5260" s="1" t="str">
        <f>"9789221237969"</f>
        <v>9789221237969</v>
      </c>
      <c r="C5260" s="1" t="s">
        <v>8374</v>
      </c>
      <c r="D5260" s="2">
        <v>40179</v>
      </c>
      <c r="E5260" s="1" t="s">
        <v>8374</v>
      </c>
      <c r="F5260" s="1" t="s">
        <v>114</v>
      </c>
    </row>
    <row r="5261" spans="1:6" ht="30" customHeight="1" x14ac:dyDescent="0.25">
      <c r="A5261" s="1" t="s">
        <v>10514</v>
      </c>
      <c r="B5261" s="1" t="str">
        <f>"9789221224143"</f>
        <v>9789221224143</v>
      </c>
      <c r="C5261" s="1" t="s">
        <v>8374</v>
      </c>
      <c r="D5261" s="2">
        <v>40179</v>
      </c>
      <c r="E5261" s="1" t="s">
        <v>10515</v>
      </c>
      <c r="F5261" s="1" t="s">
        <v>30</v>
      </c>
    </row>
    <row r="5262" spans="1:6" ht="30" customHeight="1" x14ac:dyDescent="0.25">
      <c r="A5262" s="1" t="s">
        <v>2312</v>
      </c>
      <c r="B5262" s="1" t="str">
        <f>"9780123865267"</f>
        <v>9780123865267</v>
      </c>
      <c r="C5262" s="1" t="s">
        <v>900</v>
      </c>
      <c r="D5262" s="2">
        <v>40850</v>
      </c>
      <c r="E5262" s="1" t="s">
        <v>10516</v>
      </c>
      <c r="F5262" s="1" t="s">
        <v>117</v>
      </c>
    </row>
    <row r="5263" spans="1:6" ht="30" customHeight="1" x14ac:dyDescent="0.25">
      <c r="A5263" s="1" t="s">
        <v>10517</v>
      </c>
      <c r="B5263" s="1" t="str">
        <f>"9781847356123"</f>
        <v>9781847356123</v>
      </c>
      <c r="C5263" s="1" t="s">
        <v>7299</v>
      </c>
      <c r="D5263" s="2">
        <v>40496</v>
      </c>
      <c r="E5263" s="1" t="s">
        <v>10518</v>
      </c>
      <c r="F5263" s="1" t="s">
        <v>9873</v>
      </c>
    </row>
    <row r="5264" spans="1:6" ht="30" customHeight="1" x14ac:dyDescent="0.25">
      <c r="A5264" s="1" t="s">
        <v>10519</v>
      </c>
      <c r="B5264" s="1" t="str">
        <f>"9781608826469"</f>
        <v>9781608826469</v>
      </c>
      <c r="C5264" s="1" t="s">
        <v>10294</v>
      </c>
      <c r="D5264" s="2">
        <v>39255</v>
      </c>
      <c r="E5264" s="1" t="s">
        <v>10520</v>
      </c>
      <c r="F5264" s="1" t="s">
        <v>13</v>
      </c>
    </row>
    <row r="5265" spans="1:6" ht="30" customHeight="1" x14ac:dyDescent="0.25">
      <c r="A5265" s="1" t="s">
        <v>10521</v>
      </c>
      <c r="B5265" s="1" t="str">
        <f>"9780520951976"</f>
        <v>9780520951976</v>
      </c>
      <c r="C5265" s="1" t="s">
        <v>818</v>
      </c>
      <c r="D5265" s="2">
        <v>40940</v>
      </c>
      <c r="E5265" s="1" t="s">
        <v>10522</v>
      </c>
      <c r="F5265" s="1" t="s">
        <v>1338</v>
      </c>
    </row>
    <row r="5266" spans="1:6" ht="30" customHeight="1" x14ac:dyDescent="0.25">
      <c r="A5266" s="1" t="s">
        <v>10523</v>
      </c>
      <c r="B5266" s="1" t="str">
        <f>"9780520952331"</f>
        <v>9780520952331</v>
      </c>
      <c r="C5266" s="1" t="s">
        <v>818</v>
      </c>
      <c r="D5266" s="2">
        <v>40935</v>
      </c>
      <c r="E5266" s="1" t="s">
        <v>10524</v>
      </c>
      <c r="F5266" s="1" t="s">
        <v>95</v>
      </c>
    </row>
    <row r="5267" spans="1:6" ht="30" customHeight="1" x14ac:dyDescent="0.25">
      <c r="A5267" s="1" t="s">
        <v>10525</v>
      </c>
      <c r="B5267" s="1" t="str">
        <f>"9781455778577"</f>
        <v>9781455778577</v>
      </c>
      <c r="C5267" s="1" t="s">
        <v>10526</v>
      </c>
      <c r="D5267" s="2">
        <v>40862</v>
      </c>
      <c r="E5267" s="1" t="s">
        <v>10527</v>
      </c>
      <c r="F5267" s="1" t="s">
        <v>13</v>
      </c>
    </row>
    <row r="5268" spans="1:6" ht="30" customHeight="1" x14ac:dyDescent="0.25">
      <c r="A5268" s="1" t="s">
        <v>10528</v>
      </c>
      <c r="B5268" s="1" t="str">
        <f>"9780813553481"</f>
        <v>9780813553481</v>
      </c>
      <c r="C5268" s="1" t="s">
        <v>3656</v>
      </c>
      <c r="D5268" s="2">
        <v>40575</v>
      </c>
      <c r="E5268" s="1" t="s">
        <v>10529</v>
      </c>
      <c r="F5268" s="1" t="s">
        <v>95</v>
      </c>
    </row>
    <row r="5269" spans="1:6" ht="30" customHeight="1" x14ac:dyDescent="0.25">
      <c r="A5269" s="1" t="s">
        <v>10530</v>
      </c>
      <c r="B5269" s="1" t="str">
        <f>"9780520950429"</f>
        <v>9780520950429</v>
      </c>
      <c r="C5269" s="1" t="s">
        <v>818</v>
      </c>
      <c r="D5269" s="2">
        <v>40903</v>
      </c>
      <c r="E5269" s="1" t="s">
        <v>10531</v>
      </c>
      <c r="F5269" s="1" t="s">
        <v>95</v>
      </c>
    </row>
    <row r="5270" spans="1:6" ht="30" customHeight="1" x14ac:dyDescent="0.25">
      <c r="A5270" s="1" t="s">
        <v>10532</v>
      </c>
      <c r="B5270" s="1" t="str">
        <f>"9780520951815"</f>
        <v>9780520951815</v>
      </c>
      <c r="C5270" s="1" t="s">
        <v>818</v>
      </c>
      <c r="D5270" s="2">
        <v>40977</v>
      </c>
      <c r="E5270" s="1" t="s">
        <v>10533</v>
      </c>
      <c r="F5270" s="1" t="s">
        <v>1218</v>
      </c>
    </row>
    <row r="5271" spans="1:6" ht="30" customHeight="1" x14ac:dyDescent="0.25">
      <c r="A5271" s="1" t="s">
        <v>10534</v>
      </c>
      <c r="B5271" s="1" t="str">
        <f>"9780253005953"</f>
        <v>9780253005953</v>
      </c>
      <c r="C5271" s="1" t="s">
        <v>19</v>
      </c>
      <c r="D5271" s="2">
        <v>41102</v>
      </c>
      <c r="E5271" s="1" t="s">
        <v>10535</v>
      </c>
      <c r="F5271" s="1" t="s">
        <v>13</v>
      </c>
    </row>
    <row r="5272" spans="1:6" ht="30" customHeight="1" x14ac:dyDescent="0.25">
      <c r="A5272" s="1" t="s">
        <v>10536</v>
      </c>
      <c r="B5272" s="1" t="str">
        <f>"9780759113442"</f>
        <v>9780759113442</v>
      </c>
      <c r="C5272" s="1" t="s">
        <v>7466</v>
      </c>
      <c r="D5272" s="2">
        <v>40863</v>
      </c>
      <c r="E5272" s="1" t="s">
        <v>10537</v>
      </c>
      <c r="F5272" s="1" t="s">
        <v>8798</v>
      </c>
    </row>
    <row r="5273" spans="1:6" ht="30" customHeight="1" x14ac:dyDescent="0.25">
      <c r="A5273" s="1" t="s">
        <v>10538</v>
      </c>
      <c r="B5273" s="1" t="str">
        <f>"9780759113473"</f>
        <v>9780759113473</v>
      </c>
      <c r="C5273" s="1" t="s">
        <v>7466</v>
      </c>
      <c r="D5273" s="2">
        <v>40863</v>
      </c>
      <c r="E5273" s="1" t="s">
        <v>10539</v>
      </c>
      <c r="F5273" s="1" t="s">
        <v>8798</v>
      </c>
    </row>
    <row r="5274" spans="1:6" ht="30" customHeight="1" x14ac:dyDescent="0.25">
      <c r="A5274" s="1" t="s">
        <v>10540</v>
      </c>
      <c r="B5274" s="1" t="str">
        <f>"9780759113435"</f>
        <v>9780759113435</v>
      </c>
      <c r="C5274" s="1" t="s">
        <v>7466</v>
      </c>
      <c r="D5274" s="2">
        <v>40863</v>
      </c>
      <c r="E5274" s="1" t="s">
        <v>10541</v>
      </c>
      <c r="F5274" s="1" t="s">
        <v>8798</v>
      </c>
    </row>
    <row r="5275" spans="1:6" ht="30" customHeight="1" x14ac:dyDescent="0.25">
      <c r="A5275" s="1" t="s">
        <v>10542</v>
      </c>
      <c r="B5275" s="1" t="str">
        <f>"9780761855569"</f>
        <v>9780761855569</v>
      </c>
      <c r="C5275" s="1" t="s">
        <v>7461</v>
      </c>
      <c r="D5275" s="2">
        <v>40862</v>
      </c>
      <c r="E5275" s="1" t="s">
        <v>10543</v>
      </c>
      <c r="F5275" s="1" t="s">
        <v>176</v>
      </c>
    </row>
    <row r="5276" spans="1:6" ht="30" customHeight="1" x14ac:dyDescent="0.25">
      <c r="A5276" s="1" t="s">
        <v>10544</v>
      </c>
      <c r="B5276" s="1" t="str">
        <f>"9780759113466"</f>
        <v>9780759113466</v>
      </c>
      <c r="C5276" s="1" t="s">
        <v>7466</v>
      </c>
      <c r="D5276" s="2">
        <v>40863</v>
      </c>
      <c r="E5276" s="1" t="s">
        <v>10545</v>
      </c>
      <c r="F5276" s="1" t="s">
        <v>8798</v>
      </c>
    </row>
    <row r="5277" spans="1:6" ht="30" customHeight="1" x14ac:dyDescent="0.25">
      <c r="A5277" s="1" t="s">
        <v>10546</v>
      </c>
      <c r="B5277" s="1" t="str">
        <f>"9780759113459"</f>
        <v>9780759113459</v>
      </c>
      <c r="C5277" s="1" t="s">
        <v>7466</v>
      </c>
      <c r="D5277" s="2">
        <v>40863</v>
      </c>
      <c r="E5277" s="1" t="s">
        <v>10547</v>
      </c>
      <c r="F5277" s="1" t="s">
        <v>8798</v>
      </c>
    </row>
    <row r="5278" spans="1:6" ht="30" customHeight="1" x14ac:dyDescent="0.25">
      <c r="A5278" s="1" t="s">
        <v>10548</v>
      </c>
      <c r="B5278" s="1" t="str">
        <f>"9780765706577"</f>
        <v>9780765706577</v>
      </c>
      <c r="C5278" s="1" t="s">
        <v>6903</v>
      </c>
      <c r="D5278" s="2">
        <v>40897</v>
      </c>
      <c r="E5278" s="1" t="s">
        <v>10549</v>
      </c>
      <c r="F5278" s="1" t="s">
        <v>13</v>
      </c>
    </row>
    <row r="5279" spans="1:6" ht="30" customHeight="1" x14ac:dyDescent="0.25">
      <c r="A5279" s="1" t="s">
        <v>10550</v>
      </c>
      <c r="B5279" s="1" t="str">
        <f>"9780759113428"</f>
        <v>9780759113428</v>
      </c>
      <c r="C5279" s="1" t="s">
        <v>7466</v>
      </c>
      <c r="D5279" s="2">
        <v>40863</v>
      </c>
      <c r="E5279" s="1" t="s">
        <v>10551</v>
      </c>
      <c r="F5279" s="1" t="s">
        <v>8798</v>
      </c>
    </row>
    <row r="5280" spans="1:6" ht="30" customHeight="1" x14ac:dyDescent="0.25">
      <c r="A5280" s="1" t="s">
        <v>10552</v>
      </c>
      <c r="B5280" s="1" t="str">
        <f>"9788889688533"</f>
        <v>9788889688533</v>
      </c>
      <c r="C5280" s="1" t="s">
        <v>10553</v>
      </c>
      <c r="D5280" s="2">
        <v>40452</v>
      </c>
      <c r="E5280" s="1" t="s">
        <v>10554</v>
      </c>
      <c r="F5280" s="1" t="s">
        <v>13</v>
      </c>
    </row>
    <row r="5281" spans="1:6" ht="30" customHeight="1" x14ac:dyDescent="0.25">
      <c r="A5281" s="1" t="s">
        <v>10555</v>
      </c>
      <c r="B5281" s="1" t="str">
        <f>"9781118122105"</f>
        <v>9781118122105</v>
      </c>
      <c r="C5281" s="1" t="s">
        <v>65</v>
      </c>
      <c r="D5281" s="2">
        <v>40876</v>
      </c>
      <c r="E5281" s="1" t="s">
        <v>10556</v>
      </c>
      <c r="F5281" s="1" t="s">
        <v>30</v>
      </c>
    </row>
    <row r="5282" spans="1:6" ht="30" customHeight="1" x14ac:dyDescent="0.25">
      <c r="A5282" s="1" t="s">
        <v>10557</v>
      </c>
      <c r="B5282" s="1" t="str">
        <f>"9781118144701"</f>
        <v>9781118144701</v>
      </c>
      <c r="C5282" s="1" t="s">
        <v>65</v>
      </c>
      <c r="D5282" s="2">
        <v>41123</v>
      </c>
      <c r="E5282" s="1" t="s">
        <v>10558</v>
      </c>
      <c r="F5282" s="1" t="s">
        <v>13</v>
      </c>
    </row>
    <row r="5283" spans="1:6" ht="30" customHeight="1" x14ac:dyDescent="0.25">
      <c r="A5283" s="1" t="s">
        <v>10559</v>
      </c>
      <c r="B5283" s="1" t="str">
        <f>"9781118144749"</f>
        <v>9781118144749</v>
      </c>
      <c r="C5283" s="1" t="s">
        <v>65</v>
      </c>
      <c r="D5283" s="2">
        <v>40654</v>
      </c>
      <c r="E5283" s="1" t="s">
        <v>10558</v>
      </c>
      <c r="F5283" s="1" t="s">
        <v>13</v>
      </c>
    </row>
    <row r="5284" spans="1:6" ht="30" customHeight="1" x14ac:dyDescent="0.25">
      <c r="A5284" s="1" t="s">
        <v>10560</v>
      </c>
      <c r="B5284" s="1" t="str">
        <f>"9781118145869"</f>
        <v>9781118145869</v>
      </c>
      <c r="C5284" s="1" t="s">
        <v>65</v>
      </c>
      <c r="D5284" s="2">
        <v>40884</v>
      </c>
      <c r="E5284" s="1" t="s">
        <v>10561</v>
      </c>
      <c r="F5284" s="1" t="s">
        <v>114</v>
      </c>
    </row>
    <row r="5285" spans="1:6" ht="30" customHeight="1" x14ac:dyDescent="0.25">
      <c r="A5285" s="1" t="s">
        <v>10562</v>
      </c>
      <c r="B5285" s="1" t="str">
        <f>"9781118152737"</f>
        <v>9781118152737</v>
      </c>
      <c r="C5285" s="1" t="s">
        <v>65</v>
      </c>
      <c r="D5285" s="2">
        <v>40883</v>
      </c>
      <c r="E5285" s="1" t="s">
        <v>10563</v>
      </c>
      <c r="F5285" s="1" t="s">
        <v>95</v>
      </c>
    </row>
    <row r="5286" spans="1:6" ht="30" customHeight="1" x14ac:dyDescent="0.25">
      <c r="A5286" s="1" t="s">
        <v>10564</v>
      </c>
      <c r="B5286" s="1" t="str">
        <f>"9781118163931"</f>
        <v>9781118163931</v>
      </c>
      <c r="C5286" s="1" t="s">
        <v>65</v>
      </c>
      <c r="D5286" s="2">
        <v>40862</v>
      </c>
      <c r="E5286" s="1" t="s">
        <v>10565</v>
      </c>
      <c r="F5286" s="1" t="s">
        <v>70</v>
      </c>
    </row>
    <row r="5287" spans="1:6" ht="30" customHeight="1" x14ac:dyDescent="0.25">
      <c r="A5287" s="1" t="s">
        <v>10566</v>
      </c>
      <c r="B5287" s="1" t="str">
        <f>"9781118178171"</f>
        <v>9781118178171</v>
      </c>
      <c r="C5287" s="1" t="s">
        <v>65</v>
      </c>
      <c r="D5287" s="2">
        <v>41131</v>
      </c>
      <c r="E5287" s="1" t="s">
        <v>10567</v>
      </c>
      <c r="F5287" s="1" t="s">
        <v>13</v>
      </c>
    </row>
    <row r="5288" spans="1:6" ht="30" customHeight="1" x14ac:dyDescent="0.25">
      <c r="A5288" s="1" t="s">
        <v>10568</v>
      </c>
      <c r="B5288" s="1" t="str">
        <f>"9781118183304"</f>
        <v>9781118183304</v>
      </c>
      <c r="C5288" s="1" t="s">
        <v>65</v>
      </c>
      <c r="D5288" s="2">
        <v>40914</v>
      </c>
      <c r="E5288" s="1" t="s">
        <v>10569</v>
      </c>
      <c r="F5288" s="1" t="s">
        <v>13</v>
      </c>
    </row>
    <row r="5289" spans="1:6" ht="30" customHeight="1" x14ac:dyDescent="0.25">
      <c r="A5289" s="1" t="s">
        <v>10570</v>
      </c>
      <c r="B5289" s="1" t="str">
        <f>"9781118216996"</f>
        <v>9781118216996</v>
      </c>
      <c r="C5289" s="1" t="s">
        <v>65</v>
      </c>
      <c r="D5289" s="2">
        <v>41030</v>
      </c>
      <c r="E5289" s="1" t="s">
        <v>10571</v>
      </c>
      <c r="F5289" s="1" t="s">
        <v>13</v>
      </c>
    </row>
    <row r="5290" spans="1:6" ht="30" customHeight="1" x14ac:dyDescent="0.25">
      <c r="A5290" s="1" t="s">
        <v>10572</v>
      </c>
      <c r="B5290" s="1" t="str">
        <f>"9781118241820"</f>
        <v>9781118241820</v>
      </c>
      <c r="C5290" s="1" t="s">
        <v>11</v>
      </c>
      <c r="D5290" s="2">
        <v>40980</v>
      </c>
      <c r="E5290" s="1" t="s">
        <v>10573</v>
      </c>
      <c r="F5290" s="1" t="s">
        <v>176</v>
      </c>
    </row>
    <row r="5291" spans="1:6" ht="30" customHeight="1" x14ac:dyDescent="0.25">
      <c r="A5291" s="1" t="s">
        <v>10574</v>
      </c>
      <c r="B5291" s="1" t="str">
        <f>"9781118244982"</f>
        <v>9781118244982</v>
      </c>
      <c r="C5291" s="1" t="s">
        <v>11</v>
      </c>
      <c r="D5291" s="2">
        <v>40855</v>
      </c>
      <c r="E5291" s="1" t="s">
        <v>10575</v>
      </c>
      <c r="F5291" s="1" t="s">
        <v>95</v>
      </c>
    </row>
    <row r="5292" spans="1:6" ht="30" customHeight="1" x14ac:dyDescent="0.25">
      <c r="A5292" s="1" t="s">
        <v>10576</v>
      </c>
      <c r="B5292" s="1" t="str">
        <f>"9781118260548"</f>
        <v>9781118260548</v>
      </c>
      <c r="C5292" s="1" t="s">
        <v>11</v>
      </c>
      <c r="D5292" s="2">
        <v>40849</v>
      </c>
      <c r="E5292" s="1" t="s">
        <v>10577</v>
      </c>
      <c r="F5292" s="1" t="s">
        <v>70</v>
      </c>
    </row>
    <row r="5293" spans="1:6" ht="30" customHeight="1" x14ac:dyDescent="0.25">
      <c r="A5293" s="1" t="s">
        <v>10578</v>
      </c>
      <c r="B5293" s="1" t="str">
        <f>"9781118116463"</f>
        <v>9781118116463</v>
      </c>
      <c r="C5293" s="1" t="s">
        <v>11</v>
      </c>
      <c r="D5293" s="2">
        <v>41001</v>
      </c>
      <c r="E5293" s="1" t="s">
        <v>10579</v>
      </c>
      <c r="F5293" s="1" t="s">
        <v>137</v>
      </c>
    </row>
    <row r="5294" spans="1:6" ht="30" customHeight="1" x14ac:dyDescent="0.25">
      <c r="A5294" s="1" t="s">
        <v>10580</v>
      </c>
      <c r="B5294" s="1" t="str">
        <f>"9781118119693"</f>
        <v>9781118119693</v>
      </c>
      <c r="C5294" s="1" t="s">
        <v>11</v>
      </c>
      <c r="D5294" s="2">
        <v>40912</v>
      </c>
      <c r="E5294" s="1" t="s">
        <v>10581</v>
      </c>
      <c r="F5294" s="1" t="s">
        <v>13</v>
      </c>
    </row>
    <row r="5295" spans="1:6" ht="30" customHeight="1" x14ac:dyDescent="0.25">
      <c r="A5295" s="1" t="s">
        <v>10582</v>
      </c>
      <c r="B5295" s="1" t="str">
        <f>"9781118119891"</f>
        <v>9781118119891</v>
      </c>
      <c r="C5295" s="1" t="s">
        <v>11</v>
      </c>
      <c r="D5295" s="2">
        <v>40830</v>
      </c>
      <c r="E5295" s="1" t="s">
        <v>10583</v>
      </c>
      <c r="F5295" s="1" t="s">
        <v>13</v>
      </c>
    </row>
    <row r="5296" spans="1:6" ht="30" customHeight="1" x14ac:dyDescent="0.25">
      <c r="A5296" s="1" t="s">
        <v>10584</v>
      </c>
      <c r="B5296" s="1" t="str">
        <f>"9781118140383"</f>
        <v>9781118140383</v>
      </c>
      <c r="C5296" s="1" t="s">
        <v>65</v>
      </c>
      <c r="D5296" s="2">
        <v>40968</v>
      </c>
      <c r="E5296" s="1" t="s">
        <v>10585</v>
      </c>
      <c r="F5296" s="1" t="s">
        <v>137</v>
      </c>
    </row>
    <row r="5297" spans="1:6" ht="30" customHeight="1" x14ac:dyDescent="0.25">
      <c r="A5297" s="1" t="s">
        <v>10586</v>
      </c>
      <c r="B5297" s="1" t="str">
        <f>"9781118140314"</f>
        <v>9781118140314</v>
      </c>
      <c r="C5297" s="1" t="s">
        <v>65</v>
      </c>
      <c r="D5297" s="2">
        <v>40890</v>
      </c>
      <c r="E5297" s="1" t="s">
        <v>10587</v>
      </c>
      <c r="F5297" s="1" t="s">
        <v>137</v>
      </c>
    </row>
    <row r="5298" spans="1:6" ht="30" customHeight="1" x14ac:dyDescent="0.25">
      <c r="A5298" s="1" t="s">
        <v>10588</v>
      </c>
      <c r="B5298" s="1" t="str">
        <f>"9781118140543"</f>
        <v>9781118140543</v>
      </c>
      <c r="C5298" s="1" t="s">
        <v>11</v>
      </c>
      <c r="D5298" s="2">
        <v>40878</v>
      </c>
      <c r="E5298" s="1" t="s">
        <v>10589</v>
      </c>
      <c r="F5298" s="1" t="s">
        <v>5140</v>
      </c>
    </row>
    <row r="5299" spans="1:6" ht="30" customHeight="1" x14ac:dyDescent="0.25">
      <c r="A5299" s="1" t="s">
        <v>10590</v>
      </c>
      <c r="B5299" s="1" t="str">
        <f>"9781118143810"</f>
        <v>9781118143810</v>
      </c>
      <c r="C5299" s="1" t="s">
        <v>11</v>
      </c>
      <c r="D5299" s="2">
        <v>40896</v>
      </c>
      <c r="E5299" s="1" t="s">
        <v>10591</v>
      </c>
      <c r="F5299" s="1" t="s">
        <v>13</v>
      </c>
    </row>
    <row r="5300" spans="1:6" ht="30" customHeight="1" x14ac:dyDescent="0.25">
      <c r="A5300" s="1" t="s">
        <v>10592</v>
      </c>
      <c r="B5300" s="1" t="str">
        <f>"9781118146613"</f>
        <v>9781118146613</v>
      </c>
      <c r="C5300" s="1" t="s">
        <v>11</v>
      </c>
      <c r="D5300" s="2">
        <v>40882</v>
      </c>
      <c r="E5300" s="1" t="s">
        <v>10593</v>
      </c>
      <c r="F5300" s="1" t="s">
        <v>148</v>
      </c>
    </row>
    <row r="5301" spans="1:6" ht="30" customHeight="1" x14ac:dyDescent="0.25">
      <c r="A5301" s="1" t="s">
        <v>10594</v>
      </c>
      <c r="B5301" s="1" t="str">
        <f>"9781118146972"</f>
        <v>9781118146972</v>
      </c>
      <c r="C5301" s="1" t="s">
        <v>65</v>
      </c>
      <c r="D5301" s="2">
        <v>40949</v>
      </c>
      <c r="E5301" s="1" t="s">
        <v>10595</v>
      </c>
      <c r="F5301" s="1" t="s">
        <v>10596</v>
      </c>
    </row>
    <row r="5302" spans="1:6" ht="30" customHeight="1" x14ac:dyDescent="0.25">
      <c r="A5302" s="1" t="s">
        <v>10597</v>
      </c>
      <c r="B5302" s="1" t="str">
        <f>"9781118147702"</f>
        <v>9781118147702</v>
      </c>
      <c r="C5302" s="1" t="s">
        <v>11</v>
      </c>
      <c r="D5302" s="2">
        <v>40703</v>
      </c>
      <c r="E5302" s="1" t="s">
        <v>10598</v>
      </c>
      <c r="F5302" s="1" t="s">
        <v>268</v>
      </c>
    </row>
    <row r="5303" spans="1:6" ht="30" customHeight="1" x14ac:dyDescent="0.25">
      <c r="A5303" s="1" t="s">
        <v>10599</v>
      </c>
      <c r="B5303" s="1" t="str">
        <f>"9781118148136"</f>
        <v>9781118148136</v>
      </c>
      <c r="C5303" s="1" t="s">
        <v>65</v>
      </c>
      <c r="D5303" s="2">
        <v>40837</v>
      </c>
      <c r="E5303" s="1" t="s">
        <v>10600</v>
      </c>
      <c r="F5303" s="1" t="s">
        <v>359</v>
      </c>
    </row>
    <row r="5304" spans="1:6" ht="30" customHeight="1" x14ac:dyDescent="0.25">
      <c r="A5304" s="1" t="s">
        <v>10601</v>
      </c>
      <c r="B5304" s="1" t="str">
        <f>"9781118150542"</f>
        <v>9781118150542</v>
      </c>
      <c r="C5304" s="1" t="s">
        <v>11</v>
      </c>
      <c r="D5304" s="2">
        <v>40882</v>
      </c>
      <c r="E5304" s="1" t="s">
        <v>10602</v>
      </c>
      <c r="F5304" s="1" t="s">
        <v>137</v>
      </c>
    </row>
    <row r="5305" spans="1:6" ht="30" customHeight="1" x14ac:dyDescent="0.25">
      <c r="A5305" s="1" t="s">
        <v>10603</v>
      </c>
      <c r="B5305" s="1" t="str">
        <f>"9781118156124"</f>
        <v>9781118156124</v>
      </c>
      <c r="C5305" s="1" t="s">
        <v>11</v>
      </c>
      <c r="D5305" s="2">
        <v>40834</v>
      </c>
      <c r="E5305" s="1" t="s">
        <v>10604</v>
      </c>
      <c r="F5305" s="1" t="s">
        <v>13</v>
      </c>
    </row>
    <row r="5306" spans="1:6" ht="30" customHeight="1" x14ac:dyDescent="0.25">
      <c r="A5306" s="1" t="s">
        <v>10605</v>
      </c>
      <c r="B5306" s="1" t="str">
        <f>"9781118156216"</f>
        <v>9781118156216</v>
      </c>
      <c r="C5306" s="1" t="s">
        <v>11</v>
      </c>
      <c r="D5306" s="2">
        <v>40877</v>
      </c>
      <c r="E5306" s="1" t="s">
        <v>10606</v>
      </c>
      <c r="F5306" s="1" t="s">
        <v>10607</v>
      </c>
    </row>
    <row r="5307" spans="1:6" ht="30" customHeight="1" x14ac:dyDescent="0.25">
      <c r="A5307" s="1" t="s">
        <v>10608</v>
      </c>
      <c r="B5307" s="1" t="str">
        <f>"9781118158531"</f>
        <v>9781118158531</v>
      </c>
      <c r="C5307" s="1" t="s">
        <v>11</v>
      </c>
      <c r="D5307" s="2">
        <v>40942</v>
      </c>
      <c r="E5307" s="1" t="s">
        <v>10609</v>
      </c>
      <c r="F5307" s="1" t="s">
        <v>13</v>
      </c>
    </row>
    <row r="5308" spans="1:6" ht="30" customHeight="1" x14ac:dyDescent="0.25">
      <c r="A5308" s="1" t="s">
        <v>10610</v>
      </c>
      <c r="B5308" s="1" t="str">
        <f>"9781118168264"</f>
        <v>9781118168264</v>
      </c>
      <c r="C5308" s="1" t="s">
        <v>65</v>
      </c>
      <c r="D5308" s="2">
        <v>40935</v>
      </c>
      <c r="E5308" s="1" t="s">
        <v>10611</v>
      </c>
      <c r="F5308" s="1" t="s">
        <v>268</v>
      </c>
    </row>
    <row r="5309" spans="1:6" ht="30" customHeight="1" x14ac:dyDescent="0.25">
      <c r="A5309" s="1" t="s">
        <v>10612</v>
      </c>
      <c r="B5309" s="1" t="str">
        <f>"9781118181218"</f>
        <v>9781118181218</v>
      </c>
      <c r="C5309" s="1" t="s">
        <v>65</v>
      </c>
      <c r="D5309" s="2">
        <v>40939</v>
      </c>
      <c r="E5309" s="1" t="s">
        <v>10613</v>
      </c>
      <c r="F5309" s="1" t="s">
        <v>13</v>
      </c>
    </row>
    <row r="5310" spans="1:6" ht="30" customHeight="1" x14ac:dyDescent="0.25">
      <c r="A5310" s="1" t="s">
        <v>10614</v>
      </c>
      <c r="B5310" s="1" t="str">
        <f>"9781118185544"</f>
        <v>9781118185544</v>
      </c>
      <c r="C5310" s="1" t="s">
        <v>65</v>
      </c>
      <c r="D5310" s="2">
        <v>41022</v>
      </c>
      <c r="E5310" s="1" t="s">
        <v>10615</v>
      </c>
      <c r="F5310" s="1" t="s">
        <v>137</v>
      </c>
    </row>
    <row r="5311" spans="1:6" ht="30" customHeight="1" x14ac:dyDescent="0.25">
      <c r="A5311" s="1" t="s">
        <v>10616</v>
      </c>
      <c r="B5311" s="1" t="str">
        <f>"9780470929346"</f>
        <v>9780470929346</v>
      </c>
      <c r="C5311" s="1" t="s">
        <v>11</v>
      </c>
      <c r="D5311" s="2">
        <v>40724</v>
      </c>
      <c r="E5311" s="1" t="s">
        <v>10617</v>
      </c>
      <c r="F5311" s="1" t="s">
        <v>268</v>
      </c>
    </row>
    <row r="5312" spans="1:6" ht="30" customHeight="1" x14ac:dyDescent="0.25">
      <c r="A5312" s="1" t="s">
        <v>10618</v>
      </c>
      <c r="B5312" s="1" t="str">
        <f>"9781118078655"</f>
        <v>9781118078655</v>
      </c>
      <c r="C5312" s="1" t="s">
        <v>65</v>
      </c>
      <c r="D5312" s="2">
        <v>40805</v>
      </c>
      <c r="E5312" s="1" t="s">
        <v>10619</v>
      </c>
      <c r="F5312" s="1" t="s">
        <v>291</v>
      </c>
    </row>
    <row r="5313" spans="1:6" ht="30" customHeight="1" x14ac:dyDescent="0.25">
      <c r="A5313" s="1" t="s">
        <v>10620</v>
      </c>
      <c r="B5313" s="1" t="str">
        <f>"9781118148617"</f>
        <v>9781118148617</v>
      </c>
      <c r="C5313" s="1" t="s">
        <v>11</v>
      </c>
      <c r="D5313" s="2">
        <v>40823</v>
      </c>
      <c r="E5313" s="1" t="s">
        <v>10621</v>
      </c>
      <c r="F5313" s="1" t="s">
        <v>1010</v>
      </c>
    </row>
    <row r="5314" spans="1:6" ht="30" customHeight="1" x14ac:dyDescent="0.25">
      <c r="A5314" s="1" t="s">
        <v>10622</v>
      </c>
      <c r="B5314" s="1" t="str">
        <f>"9781118152645"</f>
        <v>9781118152645</v>
      </c>
      <c r="C5314" s="1" t="s">
        <v>65</v>
      </c>
      <c r="D5314" s="2">
        <v>40806</v>
      </c>
      <c r="E5314" s="1" t="s">
        <v>10623</v>
      </c>
      <c r="F5314" s="1" t="s">
        <v>13</v>
      </c>
    </row>
    <row r="5315" spans="1:6" ht="30" customHeight="1" x14ac:dyDescent="0.25">
      <c r="A5315" s="1" t="s">
        <v>10624</v>
      </c>
      <c r="B5315" s="1" t="str">
        <f>"9781118222973"</f>
        <v>9781118222973</v>
      </c>
      <c r="C5315" s="1" t="s">
        <v>65</v>
      </c>
      <c r="D5315" s="2">
        <v>40809</v>
      </c>
      <c r="E5315" s="1" t="s">
        <v>10625</v>
      </c>
      <c r="F5315" s="1" t="s">
        <v>13</v>
      </c>
    </row>
    <row r="5316" spans="1:6" ht="30" customHeight="1" x14ac:dyDescent="0.25">
      <c r="A5316" s="1" t="s">
        <v>10626</v>
      </c>
      <c r="B5316" s="1" t="str">
        <f>"9781118293850"</f>
        <v>9781118293850</v>
      </c>
      <c r="C5316" s="1" t="s">
        <v>65</v>
      </c>
      <c r="D5316" s="2">
        <v>40869</v>
      </c>
      <c r="E5316" s="1" t="s">
        <v>10627</v>
      </c>
      <c r="F5316" s="1" t="s">
        <v>760</v>
      </c>
    </row>
    <row r="5317" spans="1:6" ht="30" customHeight="1" x14ac:dyDescent="0.25">
      <c r="A5317" s="1" t="s">
        <v>10628</v>
      </c>
      <c r="B5317" s="1" t="str">
        <f>"9781119950325"</f>
        <v>9781119950325</v>
      </c>
      <c r="C5317" s="1" t="s">
        <v>11</v>
      </c>
      <c r="D5317" s="2">
        <v>40765</v>
      </c>
      <c r="E5317" s="1" t="s">
        <v>10629</v>
      </c>
      <c r="F5317" s="1" t="s">
        <v>214</v>
      </c>
    </row>
    <row r="5318" spans="1:6" ht="30" customHeight="1" x14ac:dyDescent="0.25">
      <c r="A5318" s="1" t="s">
        <v>10630</v>
      </c>
      <c r="B5318" s="1" t="str">
        <f>"9781119950431"</f>
        <v>9781119950431</v>
      </c>
      <c r="C5318" s="1" t="s">
        <v>65</v>
      </c>
      <c r="D5318" s="2">
        <v>40820</v>
      </c>
      <c r="E5318" s="1" t="s">
        <v>10631</v>
      </c>
      <c r="F5318" s="1" t="s">
        <v>13</v>
      </c>
    </row>
    <row r="5319" spans="1:6" ht="30" customHeight="1" x14ac:dyDescent="0.25">
      <c r="A5319" s="1" t="s">
        <v>10632</v>
      </c>
      <c r="B5319" s="1" t="str">
        <f>"9781119951797"</f>
        <v>9781119951797</v>
      </c>
      <c r="C5319" s="1" t="s">
        <v>11</v>
      </c>
      <c r="D5319" s="2">
        <v>40815</v>
      </c>
      <c r="E5319" s="1" t="s">
        <v>10633</v>
      </c>
      <c r="F5319" s="1" t="s">
        <v>13</v>
      </c>
    </row>
    <row r="5320" spans="1:6" ht="30" customHeight="1" x14ac:dyDescent="0.25">
      <c r="A5320" s="1" t="s">
        <v>10634</v>
      </c>
      <c r="B5320" s="1" t="str">
        <f>"9781119979210"</f>
        <v>9781119979210</v>
      </c>
      <c r="C5320" s="1" t="s">
        <v>11</v>
      </c>
      <c r="D5320" s="2">
        <v>40795</v>
      </c>
      <c r="E5320" s="1" t="s">
        <v>10635</v>
      </c>
      <c r="F5320" s="1" t="s">
        <v>95</v>
      </c>
    </row>
    <row r="5321" spans="1:6" ht="30" customHeight="1" x14ac:dyDescent="0.25">
      <c r="A5321" s="1" t="s">
        <v>10636</v>
      </c>
      <c r="B5321" s="1" t="str">
        <f>"9781119959533"</f>
        <v>9781119959533</v>
      </c>
      <c r="C5321" s="1" t="s">
        <v>11</v>
      </c>
      <c r="D5321" s="2">
        <v>40816</v>
      </c>
      <c r="E5321" s="1" t="s">
        <v>10637</v>
      </c>
      <c r="F5321" s="1" t="s">
        <v>13</v>
      </c>
    </row>
    <row r="5322" spans="1:6" ht="30" customHeight="1" x14ac:dyDescent="0.25">
      <c r="A5322" s="1" t="s">
        <v>10638</v>
      </c>
      <c r="B5322" s="1" t="str">
        <f>"9781119959779"</f>
        <v>9781119959779</v>
      </c>
      <c r="C5322" s="1" t="s">
        <v>11</v>
      </c>
      <c r="D5322" s="2">
        <v>40814</v>
      </c>
      <c r="E5322" s="1" t="s">
        <v>10639</v>
      </c>
      <c r="F5322" s="1" t="s">
        <v>13</v>
      </c>
    </row>
    <row r="5323" spans="1:6" ht="30" customHeight="1" x14ac:dyDescent="0.25">
      <c r="A5323" s="1" t="s">
        <v>10640</v>
      </c>
      <c r="B5323" s="1" t="str">
        <f>"9781119959816"</f>
        <v>9781119959816</v>
      </c>
      <c r="C5323" s="1" t="s">
        <v>11</v>
      </c>
      <c r="D5323" s="2">
        <v>40823</v>
      </c>
      <c r="E5323" s="1" t="s">
        <v>10641</v>
      </c>
      <c r="F5323" s="1" t="s">
        <v>13</v>
      </c>
    </row>
    <row r="5324" spans="1:6" ht="30" customHeight="1" x14ac:dyDescent="0.25">
      <c r="A5324" s="1" t="s">
        <v>10642</v>
      </c>
      <c r="B5324" s="1" t="str">
        <f>"9781119962090"</f>
        <v>9781119962090</v>
      </c>
      <c r="C5324" s="1" t="s">
        <v>11</v>
      </c>
      <c r="D5324" s="2">
        <v>40820</v>
      </c>
      <c r="E5324" s="1" t="s">
        <v>10643</v>
      </c>
      <c r="F5324" s="1" t="s">
        <v>13</v>
      </c>
    </row>
    <row r="5325" spans="1:6" ht="30" customHeight="1" x14ac:dyDescent="0.25">
      <c r="A5325" s="1" t="s">
        <v>10644</v>
      </c>
      <c r="B5325" s="1" t="str">
        <f>"9781119963837"</f>
        <v>9781119963837</v>
      </c>
      <c r="C5325" s="1" t="s">
        <v>11</v>
      </c>
      <c r="D5325" s="2">
        <v>40779</v>
      </c>
      <c r="E5325" s="1" t="s">
        <v>4479</v>
      </c>
      <c r="F5325" s="1" t="s">
        <v>13</v>
      </c>
    </row>
    <row r="5326" spans="1:6" ht="30" customHeight="1" x14ac:dyDescent="0.25">
      <c r="A5326" s="1" t="s">
        <v>10645</v>
      </c>
      <c r="B5326" s="1" t="str">
        <f>"9781119998570"</f>
        <v>9781119998570</v>
      </c>
      <c r="C5326" s="1" t="s">
        <v>11</v>
      </c>
      <c r="D5326" s="2">
        <v>40917</v>
      </c>
      <c r="E5326" s="1" t="s">
        <v>10646</v>
      </c>
      <c r="F5326" s="1" t="s">
        <v>13</v>
      </c>
    </row>
    <row r="5327" spans="1:6" ht="30" customHeight="1" x14ac:dyDescent="0.25">
      <c r="A5327" s="1" t="s">
        <v>10647</v>
      </c>
      <c r="B5327" s="1" t="str">
        <f>"9781119998488"</f>
        <v>9781119998488</v>
      </c>
      <c r="C5327" s="1" t="s">
        <v>11</v>
      </c>
      <c r="D5327" s="2">
        <v>40742</v>
      </c>
      <c r="E5327" s="1" t="s">
        <v>10648</v>
      </c>
      <c r="F5327" s="1" t="s">
        <v>13</v>
      </c>
    </row>
    <row r="5328" spans="1:6" ht="30" customHeight="1" x14ac:dyDescent="0.25">
      <c r="A5328" s="1" t="s">
        <v>10649</v>
      </c>
      <c r="B5328" s="1" t="str">
        <f>"9781119971740"</f>
        <v>9781119971740</v>
      </c>
      <c r="C5328" s="1" t="s">
        <v>11</v>
      </c>
      <c r="D5328" s="2">
        <v>40815</v>
      </c>
      <c r="E5328" s="1" t="s">
        <v>10650</v>
      </c>
      <c r="F5328" s="1" t="s">
        <v>13</v>
      </c>
    </row>
    <row r="5329" spans="1:6" ht="30" customHeight="1" x14ac:dyDescent="0.25">
      <c r="A5329" s="1" t="s">
        <v>10651</v>
      </c>
      <c r="B5329" s="1" t="str">
        <f>"9781119971795"</f>
        <v>9781119971795</v>
      </c>
      <c r="C5329" s="1" t="s">
        <v>11</v>
      </c>
      <c r="D5329" s="2">
        <v>40801</v>
      </c>
      <c r="E5329" s="1" t="s">
        <v>10652</v>
      </c>
      <c r="F5329" s="1" t="s">
        <v>13</v>
      </c>
    </row>
    <row r="5330" spans="1:6" ht="30" customHeight="1" x14ac:dyDescent="0.25">
      <c r="A5330" s="1" t="s">
        <v>10653</v>
      </c>
      <c r="B5330" s="1" t="str">
        <f>"9781119973300"</f>
        <v>9781119973300</v>
      </c>
      <c r="C5330" s="1" t="s">
        <v>11</v>
      </c>
      <c r="D5330" s="2">
        <v>40793</v>
      </c>
      <c r="E5330" s="1" t="s">
        <v>10654</v>
      </c>
      <c r="F5330" s="1" t="s">
        <v>13</v>
      </c>
    </row>
    <row r="5331" spans="1:6" ht="30" customHeight="1" x14ac:dyDescent="0.25">
      <c r="A5331" s="1" t="s">
        <v>10655</v>
      </c>
      <c r="B5331" s="1" t="str">
        <f>"9781119998433"</f>
        <v>9781119998433</v>
      </c>
      <c r="C5331" s="1" t="s">
        <v>11</v>
      </c>
      <c r="D5331" s="2">
        <v>40718</v>
      </c>
      <c r="E5331" s="1" t="s">
        <v>10656</v>
      </c>
      <c r="F5331" s="1" t="s">
        <v>10657</v>
      </c>
    </row>
    <row r="5332" spans="1:6" ht="30" customHeight="1" x14ac:dyDescent="0.25">
      <c r="A5332" s="1" t="s">
        <v>10658</v>
      </c>
      <c r="B5332" s="1" t="str">
        <f>"9781119975113"</f>
        <v>9781119975113</v>
      </c>
      <c r="C5332" s="1" t="s">
        <v>11</v>
      </c>
      <c r="D5332" s="2">
        <v>40735</v>
      </c>
      <c r="E5332" s="1" t="s">
        <v>10659</v>
      </c>
      <c r="F5332" s="1" t="s">
        <v>13</v>
      </c>
    </row>
    <row r="5333" spans="1:6" ht="30" customHeight="1" x14ac:dyDescent="0.25">
      <c r="A5333" s="1" t="s">
        <v>10660</v>
      </c>
      <c r="B5333" s="1" t="str">
        <f>"9781119977445"</f>
        <v>9781119977445</v>
      </c>
      <c r="C5333" s="1" t="s">
        <v>11</v>
      </c>
      <c r="D5333" s="2">
        <v>40801</v>
      </c>
      <c r="E5333" s="1" t="s">
        <v>10661</v>
      </c>
      <c r="F5333" s="1" t="s">
        <v>268</v>
      </c>
    </row>
    <row r="5334" spans="1:6" ht="30" customHeight="1" x14ac:dyDescent="0.25">
      <c r="A5334" s="1" t="s">
        <v>10662</v>
      </c>
      <c r="B5334" s="1" t="str">
        <f>"9781119978831"</f>
        <v>9781119978831</v>
      </c>
      <c r="C5334" s="1" t="s">
        <v>65</v>
      </c>
      <c r="D5334" s="2">
        <v>40739</v>
      </c>
      <c r="E5334" s="1" t="s">
        <v>10663</v>
      </c>
      <c r="F5334" s="1" t="s">
        <v>13</v>
      </c>
    </row>
    <row r="5335" spans="1:6" ht="30" customHeight="1" x14ac:dyDescent="0.25">
      <c r="A5335" s="1" t="s">
        <v>10664</v>
      </c>
      <c r="B5335" s="1" t="str">
        <f>"9781119979456"</f>
        <v>9781119979456</v>
      </c>
      <c r="C5335" s="1" t="s">
        <v>11</v>
      </c>
      <c r="D5335" s="2">
        <v>40779</v>
      </c>
      <c r="E5335" s="1" t="s">
        <v>10665</v>
      </c>
      <c r="F5335" s="1" t="s">
        <v>13</v>
      </c>
    </row>
    <row r="5336" spans="1:6" ht="30" customHeight="1" x14ac:dyDescent="0.25">
      <c r="A5336" s="1" t="s">
        <v>10666</v>
      </c>
      <c r="B5336" s="1" t="str">
        <f>"9781444342543"</f>
        <v>9781444342543</v>
      </c>
      <c r="C5336" s="1" t="s">
        <v>11</v>
      </c>
      <c r="D5336" s="2">
        <v>40759</v>
      </c>
      <c r="E5336" s="1" t="s">
        <v>10667</v>
      </c>
      <c r="F5336" s="1" t="s">
        <v>13</v>
      </c>
    </row>
    <row r="5337" spans="1:6" ht="30" customHeight="1" x14ac:dyDescent="0.25">
      <c r="A5337" s="1" t="s">
        <v>10668</v>
      </c>
      <c r="B5337" s="1" t="str">
        <f>"9781444343328"</f>
        <v>9781444343328</v>
      </c>
      <c r="C5337" s="1" t="s">
        <v>65</v>
      </c>
      <c r="D5337" s="2">
        <v>40793</v>
      </c>
      <c r="E5337" s="1" t="s">
        <v>10669</v>
      </c>
      <c r="F5337" s="1" t="s">
        <v>158</v>
      </c>
    </row>
    <row r="5338" spans="1:6" ht="30" customHeight="1" x14ac:dyDescent="0.25">
      <c r="A5338" s="1" t="s">
        <v>10670</v>
      </c>
      <c r="B5338" s="1" t="str">
        <f>"9781444344080"</f>
        <v>9781444344080</v>
      </c>
      <c r="C5338" s="1" t="s">
        <v>11</v>
      </c>
      <c r="D5338" s="2">
        <v>40795</v>
      </c>
      <c r="E5338" s="1" t="s">
        <v>10671</v>
      </c>
      <c r="F5338" s="1" t="s">
        <v>13</v>
      </c>
    </row>
    <row r="5339" spans="1:6" ht="30" customHeight="1" x14ac:dyDescent="0.25">
      <c r="A5339" s="1" t="s">
        <v>10672</v>
      </c>
      <c r="B5339" s="1" t="str">
        <f>"9781444346121"</f>
        <v>9781444346121</v>
      </c>
      <c r="C5339" s="1" t="s">
        <v>11</v>
      </c>
      <c r="D5339" s="2">
        <v>40757</v>
      </c>
      <c r="E5339" s="1" t="s">
        <v>10673</v>
      </c>
      <c r="F5339" s="1" t="s">
        <v>13</v>
      </c>
    </row>
    <row r="5340" spans="1:6" ht="30" customHeight="1" x14ac:dyDescent="0.25">
      <c r="A5340" s="1" t="s">
        <v>10674</v>
      </c>
      <c r="B5340" s="1" t="str">
        <f>"9781444346275"</f>
        <v>9781444346275</v>
      </c>
      <c r="C5340" s="1" t="s">
        <v>11</v>
      </c>
      <c r="D5340" s="2">
        <v>40809</v>
      </c>
      <c r="E5340" s="1" t="s">
        <v>10675</v>
      </c>
      <c r="F5340" s="1" t="s">
        <v>13</v>
      </c>
    </row>
    <row r="5341" spans="1:6" ht="30" customHeight="1" x14ac:dyDescent="0.25">
      <c r="A5341" s="1" t="s">
        <v>10676</v>
      </c>
      <c r="B5341" s="1" t="str">
        <f>"9781444346312"</f>
        <v>9781444346312</v>
      </c>
      <c r="C5341" s="1" t="s">
        <v>65</v>
      </c>
      <c r="D5341" s="2">
        <v>40809</v>
      </c>
      <c r="E5341" s="1" t="s">
        <v>10677</v>
      </c>
      <c r="F5341" s="1" t="s">
        <v>13</v>
      </c>
    </row>
    <row r="5342" spans="1:6" ht="30" customHeight="1" x14ac:dyDescent="0.25">
      <c r="A5342" s="1" t="s">
        <v>10678</v>
      </c>
      <c r="B5342" s="1" t="str">
        <f>"9781444347296"</f>
        <v>9781444347296</v>
      </c>
      <c r="C5342" s="1" t="s">
        <v>65</v>
      </c>
      <c r="D5342" s="2">
        <v>40703</v>
      </c>
      <c r="E5342" s="1" t="s">
        <v>10679</v>
      </c>
      <c r="F5342" s="1" t="s">
        <v>13</v>
      </c>
    </row>
    <row r="5343" spans="1:6" ht="30" customHeight="1" x14ac:dyDescent="0.25">
      <c r="A5343" s="1" t="s">
        <v>10680</v>
      </c>
      <c r="B5343" s="1" t="str">
        <f>"9781444393873"</f>
        <v>9781444393873</v>
      </c>
      <c r="C5343" s="1" t="s">
        <v>65</v>
      </c>
      <c r="D5343" s="2">
        <v>41400</v>
      </c>
      <c r="E5343" s="1" t="s">
        <v>10681</v>
      </c>
      <c r="F5343" s="1" t="s">
        <v>13</v>
      </c>
    </row>
    <row r="5344" spans="1:6" ht="30" customHeight="1" x14ac:dyDescent="0.25">
      <c r="A5344" s="1" t="s">
        <v>4758</v>
      </c>
      <c r="B5344" s="1" t="str">
        <f>"9781444397987"</f>
        <v>9781444397987</v>
      </c>
      <c r="C5344" s="1" t="s">
        <v>11</v>
      </c>
      <c r="D5344" s="2">
        <v>40710</v>
      </c>
      <c r="E5344" s="1" t="s">
        <v>10682</v>
      </c>
      <c r="F5344" s="1" t="s">
        <v>30</v>
      </c>
    </row>
    <row r="5345" spans="1:6" ht="30" customHeight="1" x14ac:dyDescent="0.25">
      <c r="A5345" s="1" t="s">
        <v>10683</v>
      </c>
      <c r="B5345" s="1" t="str">
        <f>"9781444358735"</f>
        <v>9781444358735</v>
      </c>
      <c r="C5345" s="1" t="s">
        <v>65</v>
      </c>
      <c r="D5345" s="2">
        <v>40291</v>
      </c>
      <c r="E5345" s="1" t="s">
        <v>10684</v>
      </c>
      <c r="F5345" s="1" t="s">
        <v>126</v>
      </c>
    </row>
    <row r="5346" spans="1:6" ht="30" customHeight="1" x14ac:dyDescent="0.25">
      <c r="A5346" s="1" t="s">
        <v>10685</v>
      </c>
      <c r="B5346" s="1" t="str">
        <f>"9781444398946"</f>
        <v>9781444398946</v>
      </c>
      <c r="C5346" s="1" t="s">
        <v>65</v>
      </c>
      <c r="D5346" s="2">
        <v>40703</v>
      </c>
      <c r="E5346" s="1" t="s">
        <v>10686</v>
      </c>
      <c r="F5346" s="1" t="s">
        <v>158</v>
      </c>
    </row>
    <row r="5347" spans="1:6" ht="30" customHeight="1" x14ac:dyDescent="0.25">
      <c r="A5347" s="1" t="s">
        <v>10687</v>
      </c>
      <c r="B5347" s="1" t="str">
        <f>"9781444398977"</f>
        <v>9781444398977</v>
      </c>
      <c r="C5347" s="1" t="s">
        <v>65</v>
      </c>
      <c r="D5347" s="2">
        <v>40709</v>
      </c>
      <c r="E5347" s="1" t="s">
        <v>10688</v>
      </c>
      <c r="F5347" s="1" t="s">
        <v>137</v>
      </c>
    </row>
    <row r="5348" spans="1:6" ht="30" customHeight="1" x14ac:dyDescent="0.25">
      <c r="A5348" s="1" t="s">
        <v>10689</v>
      </c>
      <c r="B5348" s="1" t="str">
        <f>"9780816678686"</f>
        <v>9780816678686</v>
      </c>
      <c r="C5348" s="1" t="s">
        <v>3458</v>
      </c>
      <c r="D5348" s="2">
        <v>40869</v>
      </c>
      <c r="E5348" s="1" t="s">
        <v>10690</v>
      </c>
      <c r="F5348" s="1" t="s">
        <v>87</v>
      </c>
    </row>
    <row r="5349" spans="1:6" ht="30" customHeight="1" x14ac:dyDescent="0.25">
      <c r="A5349" s="1" t="s">
        <v>10691</v>
      </c>
      <c r="B5349" s="1" t="str">
        <f>"9780816678754"</f>
        <v>9780816678754</v>
      </c>
      <c r="C5349" s="1" t="s">
        <v>3458</v>
      </c>
      <c r="D5349" s="2">
        <v>40836</v>
      </c>
      <c r="E5349" s="1" t="s">
        <v>10692</v>
      </c>
      <c r="F5349" s="1" t="s">
        <v>95</v>
      </c>
    </row>
    <row r="5350" spans="1:6" ht="30" customHeight="1" x14ac:dyDescent="0.25">
      <c r="A5350" s="1" t="s">
        <v>10693</v>
      </c>
      <c r="B5350" s="1" t="str">
        <f>"9780826193377"</f>
        <v>9780826193377</v>
      </c>
      <c r="C5350" s="1" t="s">
        <v>2339</v>
      </c>
      <c r="D5350" s="2">
        <v>40878</v>
      </c>
      <c r="E5350" s="1" t="s">
        <v>10694</v>
      </c>
      <c r="F5350" s="1" t="s">
        <v>126</v>
      </c>
    </row>
    <row r="5351" spans="1:6" ht="30" customHeight="1" x14ac:dyDescent="0.25">
      <c r="A5351" s="1" t="s">
        <v>10695</v>
      </c>
      <c r="B5351" s="1" t="str">
        <f>"9780826104717"</f>
        <v>9780826104717</v>
      </c>
      <c r="C5351" s="1" t="s">
        <v>2339</v>
      </c>
      <c r="D5351" s="2">
        <v>40861</v>
      </c>
      <c r="E5351" s="1" t="s">
        <v>10696</v>
      </c>
      <c r="F5351" s="1" t="s">
        <v>13</v>
      </c>
    </row>
    <row r="5352" spans="1:6" ht="30" customHeight="1" x14ac:dyDescent="0.25">
      <c r="A5352" s="1" t="s">
        <v>10697</v>
      </c>
      <c r="B5352" s="1" t="str">
        <f>"9789401206914"</f>
        <v>9789401206914</v>
      </c>
      <c r="C5352" s="1" t="s">
        <v>7988</v>
      </c>
      <c r="D5352" s="2">
        <v>40822</v>
      </c>
      <c r="E5352" s="1" t="s">
        <v>10698</v>
      </c>
      <c r="F5352" s="1" t="s">
        <v>3416</v>
      </c>
    </row>
    <row r="5353" spans="1:6" ht="30" customHeight="1" x14ac:dyDescent="0.25">
      <c r="A5353" s="1" t="s">
        <v>10699</v>
      </c>
      <c r="B5353" s="1" t="str">
        <f>"9789401207140"</f>
        <v>9789401207140</v>
      </c>
      <c r="C5353" s="1" t="s">
        <v>7988</v>
      </c>
      <c r="D5353" s="2">
        <v>40842</v>
      </c>
      <c r="E5353" s="1" t="s">
        <v>10700</v>
      </c>
      <c r="F5353" s="1" t="s">
        <v>205</v>
      </c>
    </row>
    <row r="5354" spans="1:6" ht="30" customHeight="1" x14ac:dyDescent="0.25">
      <c r="A5354" s="1" t="s">
        <v>10701</v>
      </c>
      <c r="B5354" s="1" t="str">
        <f>"9780813172903"</f>
        <v>9780813172903</v>
      </c>
      <c r="C5354" s="1" t="s">
        <v>10382</v>
      </c>
      <c r="D5354" s="2">
        <v>39521</v>
      </c>
      <c r="E5354" s="1" t="s">
        <v>10702</v>
      </c>
      <c r="F5354" s="1" t="s">
        <v>13</v>
      </c>
    </row>
    <row r="5355" spans="1:6" ht="30" customHeight="1" x14ac:dyDescent="0.25">
      <c r="A5355" s="1" t="s">
        <v>10703</v>
      </c>
      <c r="B5355" s="1" t="str">
        <f>"9780470963272"</f>
        <v>9780470963272</v>
      </c>
      <c r="C5355" s="1" t="s">
        <v>11</v>
      </c>
      <c r="D5355" s="2">
        <v>40919</v>
      </c>
      <c r="E5355" s="1" t="s">
        <v>10704</v>
      </c>
      <c r="F5355" s="1" t="s">
        <v>13</v>
      </c>
    </row>
    <row r="5356" spans="1:6" ht="30" customHeight="1" x14ac:dyDescent="0.25">
      <c r="A5356" s="1" t="s">
        <v>10705</v>
      </c>
      <c r="B5356" s="1" t="str">
        <f>"9781118219638"</f>
        <v>9781118219638</v>
      </c>
      <c r="C5356" s="1" t="s">
        <v>11</v>
      </c>
      <c r="D5356" s="2">
        <v>40967</v>
      </c>
      <c r="E5356" s="1" t="s">
        <v>10706</v>
      </c>
      <c r="F5356" s="1" t="s">
        <v>13</v>
      </c>
    </row>
    <row r="5357" spans="1:6" ht="30" customHeight="1" x14ac:dyDescent="0.25">
      <c r="A5357" s="1" t="s">
        <v>3754</v>
      </c>
      <c r="B5357" s="1" t="str">
        <f>"9781118227220"</f>
        <v>9781118227220</v>
      </c>
      <c r="C5357" s="1" t="s">
        <v>65</v>
      </c>
      <c r="D5357" s="2">
        <v>40991</v>
      </c>
      <c r="E5357" s="1" t="s">
        <v>3755</v>
      </c>
      <c r="F5357" s="1" t="s">
        <v>3261</v>
      </c>
    </row>
    <row r="5358" spans="1:6" ht="30" customHeight="1" x14ac:dyDescent="0.25">
      <c r="A5358" s="1" t="s">
        <v>10707</v>
      </c>
      <c r="B5358" s="1" t="str">
        <f>"9781118228562"</f>
        <v>9781118228562</v>
      </c>
      <c r="C5358" s="1" t="s">
        <v>65</v>
      </c>
      <c r="D5358" s="2">
        <v>40983</v>
      </c>
      <c r="E5358" s="1" t="s">
        <v>10708</v>
      </c>
      <c r="F5358" s="1" t="s">
        <v>95</v>
      </c>
    </row>
    <row r="5359" spans="1:6" ht="30" customHeight="1" x14ac:dyDescent="0.25">
      <c r="A5359" s="1" t="s">
        <v>10709</v>
      </c>
      <c r="B5359" s="1" t="str">
        <f>"9781118229446"</f>
        <v>9781118229446</v>
      </c>
      <c r="C5359" s="1" t="s">
        <v>11</v>
      </c>
      <c r="D5359" s="2">
        <v>40932</v>
      </c>
      <c r="E5359" s="1" t="s">
        <v>10710</v>
      </c>
      <c r="F5359" s="1" t="s">
        <v>4314</v>
      </c>
    </row>
    <row r="5360" spans="1:6" ht="30" customHeight="1" x14ac:dyDescent="0.25">
      <c r="A5360" s="1" t="s">
        <v>10711</v>
      </c>
      <c r="B5360" s="1" t="str">
        <f>"9781118254646"</f>
        <v>9781118254646</v>
      </c>
      <c r="C5360" s="1" t="s">
        <v>11</v>
      </c>
      <c r="D5360" s="2">
        <v>40962</v>
      </c>
      <c r="E5360" s="1" t="s">
        <v>10712</v>
      </c>
      <c r="F5360" s="1" t="s">
        <v>4924</v>
      </c>
    </row>
    <row r="5361" spans="1:6" ht="30" customHeight="1" x14ac:dyDescent="0.25">
      <c r="A5361" s="1" t="s">
        <v>10713</v>
      </c>
      <c r="B5361" s="1" t="str">
        <f>"9781118277829"</f>
        <v>9781118277829</v>
      </c>
      <c r="C5361" s="1" t="s">
        <v>11</v>
      </c>
      <c r="D5361" s="2">
        <v>40947</v>
      </c>
      <c r="E5361" s="1" t="s">
        <v>10714</v>
      </c>
      <c r="F5361" s="1" t="s">
        <v>13</v>
      </c>
    </row>
    <row r="5362" spans="1:6" ht="30" customHeight="1" x14ac:dyDescent="0.25">
      <c r="A5362" s="1" t="s">
        <v>10715</v>
      </c>
      <c r="B5362" s="1" t="str">
        <f>"9781118180747"</f>
        <v>9781118180747</v>
      </c>
      <c r="C5362" s="1" t="s">
        <v>11</v>
      </c>
      <c r="D5362" s="2">
        <v>41012</v>
      </c>
      <c r="E5362" s="1" t="s">
        <v>10716</v>
      </c>
      <c r="F5362" s="1" t="s">
        <v>268</v>
      </c>
    </row>
    <row r="5363" spans="1:6" ht="30" customHeight="1" x14ac:dyDescent="0.25">
      <c r="A5363" s="1" t="s">
        <v>10717</v>
      </c>
      <c r="B5363" s="1" t="str">
        <f>"9781118184172"</f>
        <v>9781118184172</v>
      </c>
      <c r="C5363" s="1" t="s">
        <v>65</v>
      </c>
      <c r="D5363" s="2">
        <v>40977</v>
      </c>
      <c r="E5363" s="1" t="s">
        <v>10718</v>
      </c>
      <c r="F5363" s="1" t="s">
        <v>158</v>
      </c>
    </row>
    <row r="5364" spans="1:6" ht="30" customHeight="1" x14ac:dyDescent="0.25">
      <c r="A5364" s="1" t="s">
        <v>10719</v>
      </c>
      <c r="B5364" s="1" t="str">
        <f>"9781118219706"</f>
        <v>9781118219706</v>
      </c>
      <c r="C5364" s="1" t="s">
        <v>11</v>
      </c>
      <c r="D5364" s="2">
        <v>41018</v>
      </c>
      <c r="E5364" s="1" t="s">
        <v>10720</v>
      </c>
      <c r="F5364" s="1" t="s">
        <v>268</v>
      </c>
    </row>
    <row r="5365" spans="1:6" ht="30" customHeight="1" x14ac:dyDescent="0.25">
      <c r="A5365" s="1" t="s">
        <v>10721</v>
      </c>
      <c r="B5365" s="1" t="str">
        <f>"9781118228845"</f>
        <v>9781118228845</v>
      </c>
      <c r="C5365" s="1" t="s">
        <v>11</v>
      </c>
      <c r="D5365" s="2">
        <v>41010</v>
      </c>
      <c r="E5365" s="1" t="s">
        <v>10722</v>
      </c>
      <c r="F5365" s="1" t="s">
        <v>137</v>
      </c>
    </row>
    <row r="5366" spans="1:6" ht="30" customHeight="1" x14ac:dyDescent="0.25">
      <c r="A5366" s="1" t="s">
        <v>10723</v>
      </c>
      <c r="B5366" s="1" t="str">
        <f>"9781118230251"</f>
        <v>9781118230251</v>
      </c>
      <c r="C5366" s="1" t="s">
        <v>11</v>
      </c>
      <c r="D5366" s="2">
        <v>40954</v>
      </c>
      <c r="E5366" s="1" t="s">
        <v>10724</v>
      </c>
      <c r="F5366" s="1" t="s">
        <v>268</v>
      </c>
    </row>
    <row r="5367" spans="1:6" ht="30" customHeight="1" x14ac:dyDescent="0.25">
      <c r="A5367" s="1" t="s">
        <v>10725</v>
      </c>
      <c r="B5367" s="1" t="str">
        <f>"9781849409506"</f>
        <v>9781849409506</v>
      </c>
      <c r="C5367" s="1" t="s">
        <v>68</v>
      </c>
      <c r="D5367" s="2">
        <v>40877</v>
      </c>
      <c r="E5367" s="1" t="s">
        <v>9680</v>
      </c>
      <c r="F5367" s="1" t="s">
        <v>13</v>
      </c>
    </row>
    <row r="5368" spans="1:6" ht="30" customHeight="1" x14ac:dyDescent="0.25">
      <c r="A5368" s="1" t="s">
        <v>10726</v>
      </c>
      <c r="B5368" s="1" t="str">
        <f>"9781849409520"</f>
        <v>9781849409520</v>
      </c>
      <c r="C5368" s="1" t="s">
        <v>68</v>
      </c>
      <c r="D5368" s="2">
        <v>41274</v>
      </c>
      <c r="E5368" s="1" t="s">
        <v>10727</v>
      </c>
      <c r="F5368" s="1" t="s">
        <v>304</v>
      </c>
    </row>
    <row r="5369" spans="1:6" ht="30" customHeight="1" x14ac:dyDescent="0.25">
      <c r="A5369" s="1" t="s">
        <v>10728</v>
      </c>
      <c r="B5369" s="1" t="str">
        <f>"9781118275887"</f>
        <v>9781118275887</v>
      </c>
      <c r="C5369" s="1" t="s">
        <v>65</v>
      </c>
      <c r="D5369" s="2">
        <v>40869</v>
      </c>
      <c r="E5369" s="1" t="s">
        <v>10729</v>
      </c>
      <c r="F5369" s="1" t="s">
        <v>126</v>
      </c>
    </row>
    <row r="5370" spans="1:6" ht="30" customHeight="1" x14ac:dyDescent="0.25">
      <c r="A5370" s="1" t="s">
        <v>10730</v>
      </c>
      <c r="B5370" s="1" t="str">
        <f>"9781118275900"</f>
        <v>9781118275900</v>
      </c>
      <c r="C5370" s="1" t="s">
        <v>65</v>
      </c>
      <c r="D5370" s="2">
        <v>40869</v>
      </c>
      <c r="E5370" s="1" t="s">
        <v>10731</v>
      </c>
      <c r="F5370" s="1" t="s">
        <v>221</v>
      </c>
    </row>
    <row r="5371" spans="1:6" ht="30" customHeight="1" x14ac:dyDescent="0.25">
      <c r="A5371" s="1" t="s">
        <v>10732</v>
      </c>
      <c r="B5371" s="1" t="str">
        <f>"9781118276013"</f>
        <v>9781118276013</v>
      </c>
      <c r="C5371" s="1" t="s">
        <v>65</v>
      </c>
      <c r="D5371" s="2">
        <v>40875</v>
      </c>
      <c r="E5371" s="1" t="s">
        <v>10733</v>
      </c>
      <c r="F5371" s="1" t="s">
        <v>95</v>
      </c>
    </row>
    <row r="5372" spans="1:6" ht="30" customHeight="1" x14ac:dyDescent="0.25">
      <c r="A5372" s="1" t="s">
        <v>10734</v>
      </c>
      <c r="B5372" s="1" t="str">
        <f>"9781118276211"</f>
        <v>9781118276211</v>
      </c>
      <c r="C5372" s="1" t="s">
        <v>65</v>
      </c>
      <c r="D5372" s="2">
        <v>40869</v>
      </c>
      <c r="E5372" s="1" t="s">
        <v>10735</v>
      </c>
      <c r="F5372" s="1" t="s">
        <v>13</v>
      </c>
    </row>
    <row r="5373" spans="1:6" ht="30" customHeight="1" x14ac:dyDescent="0.25">
      <c r="A5373" s="1" t="s">
        <v>10736</v>
      </c>
      <c r="B5373" s="1" t="str">
        <f>"9781118276242"</f>
        <v>9781118276242</v>
      </c>
      <c r="C5373" s="1" t="s">
        <v>65</v>
      </c>
      <c r="D5373" s="2">
        <v>40869</v>
      </c>
      <c r="E5373" s="1" t="s">
        <v>10737</v>
      </c>
      <c r="F5373" s="1" t="s">
        <v>82</v>
      </c>
    </row>
    <row r="5374" spans="1:6" ht="30" customHeight="1" x14ac:dyDescent="0.25">
      <c r="A5374" s="1" t="s">
        <v>10738</v>
      </c>
      <c r="B5374" s="1" t="str">
        <f>"9781118276303"</f>
        <v>9781118276303</v>
      </c>
      <c r="C5374" s="1" t="s">
        <v>65</v>
      </c>
      <c r="D5374" s="2">
        <v>40869</v>
      </c>
      <c r="E5374" s="1" t="s">
        <v>10739</v>
      </c>
      <c r="F5374" s="1" t="s">
        <v>268</v>
      </c>
    </row>
    <row r="5375" spans="1:6" ht="30" customHeight="1" x14ac:dyDescent="0.25">
      <c r="A5375" s="1" t="s">
        <v>10740</v>
      </c>
      <c r="B5375" s="1" t="str">
        <f>"9781118276334"</f>
        <v>9781118276334</v>
      </c>
      <c r="C5375" s="1" t="s">
        <v>65</v>
      </c>
      <c r="D5375" s="2">
        <v>40869</v>
      </c>
      <c r="E5375" s="1" t="s">
        <v>10741</v>
      </c>
      <c r="F5375" s="1" t="s">
        <v>126</v>
      </c>
    </row>
    <row r="5376" spans="1:6" ht="30" customHeight="1" x14ac:dyDescent="0.25">
      <c r="A5376" s="1" t="s">
        <v>10742</v>
      </c>
      <c r="B5376" s="1" t="str">
        <f>"9781118277669"</f>
        <v>9781118277669</v>
      </c>
      <c r="C5376" s="1" t="s">
        <v>11</v>
      </c>
      <c r="D5376" s="2">
        <v>40869</v>
      </c>
      <c r="E5376" s="1" t="s">
        <v>10743</v>
      </c>
      <c r="F5376" s="1" t="s">
        <v>82</v>
      </c>
    </row>
    <row r="5377" spans="1:6" ht="30" customHeight="1" x14ac:dyDescent="0.25">
      <c r="A5377" s="1" t="s">
        <v>10744</v>
      </c>
      <c r="B5377" s="1" t="str">
        <f>"9781118278178"</f>
        <v>9781118278178</v>
      </c>
      <c r="C5377" s="1" t="s">
        <v>11</v>
      </c>
      <c r="D5377" s="2">
        <v>40868</v>
      </c>
      <c r="E5377" s="1" t="s">
        <v>10743</v>
      </c>
      <c r="F5377" s="1" t="s">
        <v>30</v>
      </c>
    </row>
    <row r="5378" spans="1:6" ht="30" customHeight="1" x14ac:dyDescent="0.25">
      <c r="A5378" s="1" t="s">
        <v>10745</v>
      </c>
      <c r="B5378" s="1" t="str">
        <f>"9781118292877"</f>
        <v>9781118292877</v>
      </c>
      <c r="C5378" s="1" t="s">
        <v>65</v>
      </c>
      <c r="D5378" s="2">
        <v>40875</v>
      </c>
      <c r="E5378" s="1" t="s">
        <v>10746</v>
      </c>
      <c r="F5378" s="1" t="s">
        <v>13</v>
      </c>
    </row>
    <row r="5379" spans="1:6" ht="30" customHeight="1" x14ac:dyDescent="0.25">
      <c r="A5379" s="1" t="s">
        <v>10747</v>
      </c>
      <c r="B5379" s="1" t="str">
        <f>"9781118292983"</f>
        <v>9781118292983</v>
      </c>
      <c r="C5379" s="1" t="s">
        <v>65</v>
      </c>
      <c r="D5379" s="2">
        <v>40869</v>
      </c>
      <c r="E5379" s="1" t="s">
        <v>10748</v>
      </c>
      <c r="F5379" s="1" t="s">
        <v>13</v>
      </c>
    </row>
    <row r="5380" spans="1:6" ht="30" customHeight="1" x14ac:dyDescent="0.25">
      <c r="A5380" s="1" t="s">
        <v>10749</v>
      </c>
      <c r="B5380" s="1" t="str">
        <f>"9781118293010"</f>
        <v>9781118293010</v>
      </c>
      <c r="C5380" s="1" t="s">
        <v>65</v>
      </c>
      <c r="D5380" s="2">
        <v>40868</v>
      </c>
      <c r="E5380" s="1" t="s">
        <v>10750</v>
      </c>
      <c r="F5380" s="1" t="s">
        <v>13</v>
      </c>
    </row>
    <row r="5381" spans="1:6" ht="30" customHeight="1" x14ac:dyDescent="0.25">
      <c r="A5381" s="1" t="s">
        <v>10751</v>
      </c>
      <c r="B5381" s="1" t="str">
        <f>"9781118293072"</f>
        <v>9781118293072</v>
      </c>
      <c r="C5381" s="1" t="s">
        <v>65</v>
      </c>
      <c r="D5381" s="2">
        <v>40875</v>
      </c>
      <c r="E5381" s="1" t="s">
        <v>10752</v>
      </c>
      <c r="F5381" s="1" t="s">
        <v>137</v>
      </c>
    </row>
    <row r="5382" spans="1:6" ht="30" customHeight="1" x14ac:dyDescent="0.25">
      <c r="A5382" s="1" t="s">
        <v>10753</v>
      </c>
      <c r="B5382" s="1" t="str">
        <f>"9781118293409"</f>
        <v>9781118293409</v>
      </c>
      <c r="C5382" s="1" t="s">
        <v>65</v>
      </c>
      <c r="D5382" s="2">
        <v>40869</v>
      </c>
      <c r="E5382" s="1" t="s">
        <v>10754</v>
      </c>
      <c r="F5382" s="1" t="s">
        <v>13</v>
      </c>
    </row>
    <row r="5383" spans="1:6" ht="30" customHeight="1" x14ac:dyDescent="0.25">
      <c r="A5383" s="1" t="s">
        <v>10755</v>
      </c>
      <c r="B5383" s="1" t="str">
        <f>"9781118293416"</f>
        <v>9781118293416</v>
      </c>
      <c r="C5383" s="1" t="s">
        <v>65</v>
      </c>
      <c r="D5383" s="2">
        <v>40869</v>
      </c>
      <c r="E5383" s="1" t="s">
        <v>10756</v>
      </c>
      <c r="F5383" s="1" t="s">
        <v>13</v>
      </c>
    </row>
    <row r="5384" spans="1:6" ht="30" customHeight="1" x14ac:dyDescent="0.25">
      <c r="A5384" s="1" t="s">
        <v>10757</v>
      </c>
      <c r="B5384" s="1" t="str">
        <f>"9781118293584"</f>
        <v>9781118293584</v>
      </c>
      <c r="C5384" s="1" t="s">
        <v>65</v>
      </c>
      <c r="D5384" s="2">
        <v>40869</v>
      </c>
      <c r="E5384" s="1" t="s">
        <v>10758</v>
      </c>
      <c r="F5384" s="1" t="s">
        <v>13</v>
      </c>
    </row>
    <row r="5385" spans="1:6" ht="30" customHeight="1" x14ac:dyDescent="0.25">
      <c r="A5385" s="1" t="s">
        <v>10759</v>
      </c>
      <c r="B5385" s="1" t="str">
        <f>"9781118293560"</f>
        <v>9781118293560</v>
      </c>
      <c r="C5385" s="1" t="s">
        <v>65</v>
      </c>
      <c r="D5385" s="2">
        <v>40869</v>
      </c>
      <c r="E5385" s="1" t="s">
        <v>10760</v>
      </c>
      <c r="F5385" s="1" t="s">
        <v>13</v>
      </c>
    </row>
    <row r="5386" spans="1:6" ht="30" customHeight="1" x14ac:dyDescent="0.25">
      <c r="A5386" s="1" t="s">
        <v>10761</v>
      </c>
      <c r="B5386" s="1" t="str">
        <f>"9781118293645"</f>
        <v>9781118293645</v>
      </c>
      <c r="C5386" s="1" t="s">
        <v>65</v>
      </c>
      <c r="D5386" s="2">
        <v>40868</v>
      </c>
      <c r="E5386" s="1" t="s">
        <v>10762</v>
      </c>
      <c r="F5386" s="1" t="s">
        <v>13</v>
      </c>
    </row>
    <row r="5387" spans="1:6" ht="30" customHeight="1" x14ac:dyDescent="0.25">
      <c r="A5387" s="1" t="s">
        <v>10763</v>
      </c>
      <c r="B5387" s="1" t="str">
        <f>"9781118293713"</f>
        <v>9781118293713</v>
      </c>
      <c r="C5387" s="1" t="s">
        <v>65</v>
      </c>
      <c r="D5387" s="2">
        <v>40869</v>
      </c>
      <c r="E5387" s="1" t="s">
        <v>10764</v>
      </c>
      <c r="F5387" s="1" t="s">
        <v>13</v>
      </c>
    </row>
    <row r="5388" spans="1:6" ht="30" customHeight="1" x14ac:dyDescent="0.25">
      <c r="A5388" s="1" t="s">
        <v>10765</v>
      </c>
      <c r="B5388" s="1" t="str">
        <f>"9781118293744"</f>
        <v>9781118293744</v>
      </c>
      <c r="C5388" s="1" t="s">
        <v>65</v>
      </c>
      <c r="D5388" s="2">
        <v>40869</v>
      </c>
      <c r="E5388" s="1" t="s">
        <v>10766</v>
      </c>
      <c r="F5388" s="1" t="s">
        <v>13</v>
      </c>
    </row>
    <row r="5389" spans="1:6" ht="30" customHeight="1" x14ac:dyDescent="0.25">
      <c r="A5389" s="1" t="s">
        <v>10767</v>
      </c>
      <c r="B5389" s="1" t="str">
        <f>"9781118293805"</f>
        <v>9781118293805</v>
      </c>
      <c r="C5389" s="1" t="s">
        <v>65</v>
      </c>
      <c r="D5389" s="2">
        <v>40869</v>
      </c>
      <c r="E5389" s="1" t="s">
        <v>10768</v>
      </c>
      <c r="F5389" s="1" t="s">
        <v>13</v>
      </c>
    </row>
    <row r="5390" spans="1:6" ht="30" customHeight="1" x14ac:dyDescent="0.25">
      <c r="A5390" s="1" t="s">
        <v>4575</v>
      </c>
      <c r="B5390" s="1" t="str">
        <f>"9781118293836"</f>
        <v>9781118293836</v>
      </c>
      <c r="C5390" s="1" t="s">
        <v>65</v>
      </c>
      <c r="D5390" s="2">
        <v>40869</v>
      </c>
      <c r="E5390" s="1" t="s">
        <v>10769</v>
      </c>
      <c r="F5390" s="1" t="s">
        <v>10770</v>
      </c>
    </row>
    <row r="5391" spans="1:6" ht="30" customHeight="1" x14ac:dyDescent="0.25">
      <c r="A5391" s="1" t="s">
        <v>10771</v>
      </c>
      <c r="B5391" s="1" t="str">
        <f>"9781118293928"</f>
        <v>9781118293928</v>
      </c>
      <c r="C5391" s="1" t="s">
        <v>65</v>
      </c>
      <c r="D5391" s="2">
        <v>40869</v>
      </c>
      <c r="E5391" s="1" t="s">
        <v>10772</v>
      </c>
      <c r="F5391" s="1" t="s">
        <v>13</v>
      </c>
    </row>
    <row r="5392" spans="1:6" ht="30" customHeight="1" x14ac:dyDescent="0.25">
      <c r="A5392" s="1" t="s">
        <v>10773</v>
      </c>
      <c r="B5392" s="1" t="str">
        <f>"9781118293959"</f>
        <v>9781118293959</v>
      </c>
      <c r="C5392" s="1" t="s">
        <v>65</v>
      </c>
      <c r="D5392" s="2">
        <v>40869</v>
      </c>
      <c r="E5392" s="1" t="s">
        <v>10774</v>
      </c>
      <c r="F5392" s="1" t="s">
        <v>13</v>
      </c>
    </row>
    <row r="5393" spans="1:6" ht="30" customHeight="1" x14ac:dyDescent="0.25">
      <c r="A5393" s="1" t="s">
        <v>10775</v>
      </c>
      <c r="B5393" s="1" t="str">
        <f>"9781118294000"</f>
        <v>9781118294000</v>
      </c>
      <c r="C5393" s="1" t="s">
        <v>65</v>
      </c>
      <c r="D5393" s="2">
        <v>40868</v>
      </c>
      <c r="E5393" s="1" t="s">
        <v>10776</v>
      </c>
      <c r="F5393" s="1" t="s">
        <v>963</v>
      </c>
    </row>
    <row r="5394" spans="1:6" ht="30" customHeight="1" x14ac:dyDescent="0.25">
      <c r="A5394" s="1" t="s">
        <v>10777</v>
      </c>
      <c r="B5394" s="1" t="str">
        <f>"9781118294642"</f>
        <v>9781118294642</v>
      </c>
      <c r="C5394" s="1" t="s">
        <v>65</v>
      </c>
      <c r="D5394" s="2">
        <v>40869</v>
      </c>
      <c r="E5394" s="1" t="s">
        <v>10778</v>
      </c>
      <c r="F5394" s="1" t="s">
        <v>13</v>
      </c>
    </row>
    <row r="5395" spans="1:6" ht="30" customHeight="1" x14ac:dyDescent="0.25">
      <c r="A5395" s="1" t="s">
        <v>10779</v>
      </c>
      <c r="B5395" s="1" t="str">
        <f>"9781118294673"</f>
        <v>9781118294673</v>
      </c>
      <c r="C5395" s="1" t="s">
        <v>65</v>
      </c>
      <c r="D5395" s="2">
        <v>40868</v>
      </c>
      <c r="E5395" s="1" t="s">
        <v>10780</v>
      </c>
      <c r="F5395" s="1" t="s">
        <v>13</v>
      </c>
    </row>
    <row r="5396" spans="1:6" ht="30" customHeight="1" x14ac:dyDescent="0.25">
      <c r="A5396" s="1" t="s">
        <v>10781</v>
      </c>
      <c r="B5396" s="1" t="str">
        <f>"9781118294703"</f>
        <v>9781118294703</v>
      </c>
      <c r="C5396" s="1" t="s">
        <v>65</v>
      </c>
      <c r="D5396" s="2">
        <v>40868</v>
      </c>
      <c r="E5396" s="1" t="s">
        <v>10782</v>
      </c>
      <c r="F5396" s="1" t="s">
        <v>13</v>
      </c>
    </row>
    <row r="5397" spans="1:6" ht="30" customHeight="1" x14ac:dyDescent="0.25">
      <c r="A5397" s="1" t="s">
        <v>10783</v>
      </c>
      <c r="B5397" s="1" t="str">
        <f>"9781118294727"</f>
        <v>9781118294727</v>
      </c>
      <c r="C5397" s="1" t="s">
        <v>65</v>
      </c>
      <c r="D5397" s="2">
        <v>40868</v>
      </c>
      <c r="E5397" s="1" t="s">
        <v>10784</v>
      </c>
      <c r="F5397" s="1" t="s">
        <v>13</v>
      </c>
    </row>
    <row r="5398" spans="1:6" ht="30" customHeight="1" x14ac:dyDescent="0.25">
      <c r="A5398" s="1" t="s">
        <v>10785</v>
      </c>
      <c r="B5398" s="1" t="str">
        <f>"9781118297148"</f>
        <v>9781118297148</v>
      </c>
      <c r="C5398" s="1" t="s">
        <v>65</v>
      </c>
      <c r="D5398" s="2">
        <v>40868</v>
      </c>
      <c r="E5398" s="1" t="s">
        <v>10786</v>
      </c>
      <c r="F5398" s="1" t="s">
        <v>13</v>
      </c>
    </row>
    <row r="5399" spans="1:6" ht="30" customHeight="1" x14ac:dyDescent="0.25">
      <c r="A5399" s="1" t="s">
        <v>10787</v>
      </c>
      <c r="B5399" s="1" t="str">
        <f>"9781119950394"</f>
        <v>9781119950394</v>
      </c>
      <c r="C5399" s="1" t="s">
        <v>11</v>
      </c>
      <c r="D5399" s="2">
        <v>40830</v>
      </c>
      <c r="E5399" s="1" t="s">
        <v>10788</v>
      </c>
      <c r="F5399" s="1" t="s">
        <v>13</v>
      </c>
    </row>
    <row r="5400" spans="1:6" ht="30" customHeight="1" x14ac:dyDescent="0.25">
      <c r="A5400" s="1" t="s">
        <v>10789</v>
      </c>
      <c r="B5400" s="1" t="str">
        <f>"9781119950479"</f>
        <v>9781119950479</v>
      </c>
      <c r="C5400" s="1" t="s">
        <v>11</v>
      </c>
      <c r="D5400" s="2">
        <v>40840</v>
      </c>
      <c r="E5400" s="1" t="s">
        <v>10790</v>
      </c>
      <c r="F5400" s="1" t="s">
        <v>13</v>
      </c>
    </row>
    <row r="5401" spans="1:6" ht="30" customHeight="1" x14ac:dyDescent="0.25">
      <c r="A5401" s="1" t="s">
        <v>10791</v>
      </c>
      <c r="B5401" s="1" t="str">
        <f>"9780470975046"</f>
        <v>9780470975046</v>
      </c>
      <c r="C5401" s="1" t="s">
        <v>65</v>
      </c>
      <c r="D5401" s="2">
        <v>40885</v>
      </c>
      <c r="E5401" s="1" t="s">
        <v>10792</v>
      </c>
      <c r="F5401" s="1" t="s">
        <v>137</v>
      </c>
    </row>
    <row r="5402" spans="1:6" ht="30" customHeight="1" x14ac:dyDescent="0.25">
      <c r="A5402" s="1" t="s">
        <v>10793</v>
      </c>
      <c r="B5402" s="1" t="str">
        <f>"9781119960058"</f>
        <v>9781119960058</v>
      </c>
      <c r="C5402" s="1" t="s">
        <v>65</v>
      </c>
      <c r="D5402" s="2">
        <v>40844</v>
      </c>
      <c r="E5402" s="1" t="s">
        <v>10794</v>
      </c>
      <c r="F5402" s="1" t="s">
        <v>13</v>
      </c>
    </row>
    <row r="5403" spans="1:6" ht="30" customHeight="1" x14ac:dyDescent="0.25">
      <c r="A5403" s="1" t="s">
        <v>10795</v>
      </c>
      <c r="B5403" s="1" t="str">
        <f>"9781119961314"</f>
        <v>9781119961314</v>
      </c>
      <c r="C5403" s="1" t="s">
        <v>65</v>
      </c>
      <c r="D5403" s="2">
        <v>40844</v>
      </c>
      <c r="E5403" s="1" t="s">
        <v>10796</v>
      </c>
      <c r="F5403" s="1" t="s">
        <v>13</v>
      </c>
    </row>
    <row r="5404" spans="1:6" ht="30" customHeight="1" x14ac:dyDescent="0.25">
      <c r="A5404" s="1" t="s">
        <v>10797</v>
      </c>
      <c r="B5404" s="1" t="str">
        <f>"9781119960034"</f>
        <v>9781119960034</v>
      </c>
      <c r="C5404" s="1" t="s">
        <v>11</v>
      </c>
      <c r="D5404" s="2">
        <v>40865</v>
      </c>
      <c r="E5404" s="1" t="s">
        <v>10798</v>
      </c>
      <c r="F5404" s="1" t="s">
        <v>13</v>
      </c>
    </row>
    <row r="5405" spans="1:6" ht="30" customHeight="1" x14ac:dyDescent="0.25">
      <c r="A5405" s="1" t="s">
        <v>10799</v>
      </c>
      <c r="B5405" s="1" t="str">
        <f>"9781119958321"</f>
        <v>9781119958321</v>
      </c>
      <c r="C5405" s="1" t="s">
        <v>11</v>
      </c>
      <c r="D5405" s="2">
        <v>40949</v>
      </c>
      <c r="E5405" s="1" t="s">
        <v>10800</v>
      </c>
      <c r="F5405" s="1" t="s">
        <v>13</v>
      </c>
    </row>
    <row r="5406" spans="1:6" ht="30" customHeight="1" x14ac:dyDescent="0.25">
      <c r="A5406" s="1" t="s">
        <v>10801</v>
      </c>
      <c r="B5406" s="1" t="str">
        <f>"9781119962175"</f>
        <v>9781119962175</v>
      </c>
      <c r="C5406" s="1" t="s">
        <v>11</v>
      </c>
      <c r="D5406" s="2">
        <v>40840</v>
      </c>
      <c r="E5406" s="1" t="s">
        <v>10802</v>
      </c>
      <c r="F5406" s="1" t="s">
        <v>13</v>
      </c>
    </row>
    <row r="5407" spans="1:6" ht="30" customHeight="1" x14ac:dyDescent="0.25">
      <c r="A5407" s="1" t="s">
        <v>10803</v>
      </c>
      <c r="B5407" s="1" t="str">
        <f>"9781119963790"</f>
        <v>9781119963790</v>
      </c>
      <c r="C5407" s="1" t="s">
        <v>11</v>
      </c>
      <c r="D5407" s="2">
        <v>40863</v>
      </c>
      <c r="E5407" s="1" t="s">
        <v>10804</v>
      </c>
      <c r="F5407" s="1" t="s">
        <v>13</v>
      </c>
    </row>
    <row r="5408" spans="1:6" ht="30" customHeight="1" x14ac:dyDescent="0.25">
      <c r="A5408" s="1" t="s">
        <v>10805</v>
      </c>
      <c r="B5408" s="1" t="str">
        <f>"9781119968344"</f>
        <v>9781119968344</v>
      </c>
      <c r="C5408" s="1" t="s">
        <v>11</v>
      </c>
      <c r="D5408" s="2">
        <v>40830</v>
      </c>
      <c r="E5408" s="1" t="s">
        <v>10806</v>
      </c>
      <c r="F5408" s="1" t="s">
        <v>13</v>
      </c>
    </row>
    <row r="5409" spans="1:6" ht="30" customHeight="1" x14ac:dyDescent="0.25">
      <c r="A5409" s="1" t="s">
        <v>10807</v>
      </c>
      <c r="B5409" s="1" t="str">
        <f>"9781119998631"</f>
        <v>9781119998631</v>
      </c>
      <c r="C5409" s="1" t="s">
        <v>65</v>
      </c>
      <c r="D5409" s="2">
        <v>40862</v>
      </c>
      <c r="E5409" s="1" t="s">
        <v>10808</v>
      </c>
      <c r="F5409" s="1" t="s">
        <v>13</v>
      </c>
    </row>
    <row r="5410" spans="1:6" ht="30" customHeight="1" x14ac:dyDescent="0.25">
      <c r="A5410" s="1" t="s">
        <v>4520</v>
      </c>
      <c r="B5410" s="1" t="str">
        <f>"9781119979418"</f>
        <v>9781119979418</v>
      </c>
      <c r="C5410" s="1" t="s">
        <v>11</v>
      </c>
      <c r="D5410" s="2">
        <v>40876</v>
      </c>
      <c r="E5410" s="1" t="s">
        <v>10809</v>
      </c>
      <c r="F5410" s="1" t="s">
        <v>13</v>
      </c>
    </row>
    <row r="5411" spans="1:6" ht="30" customHeight="1" x14ac:dyDescent="0.25">
      <c r="A5411" s="1" t="s">
        <v>10810</v>
      </c>
      <c r="B5411" s="1" t="str">
        <f>"9781444345117"</f>
        <v>9781444345117</v>
      </c>
      <c r="C5411" s="1" t="s">
        <v>65</v>
      </c>
      <c r="D5411" s="2">
        <v>40876</v>
      </c>
      <c r="E5411" s="1" t="s">
        <v>10811</v>
      </c>
      <c r="F5411" s="1" t="s">
        <v>13</v>
      </c>
    </row>
    <row r="5412" spans="1:6" ht="30" customHeight="1" x14ac:dyDescent="0.25">
      <c r="A5412" s="1" t="s">
        <v>10812</v>
      </c>
      <c r="B5412" s="1" t="str">
        <f>"9781444345155"</f>
        <v>9781444345155</v>
      </c>
      <c r="C5412" s="1" t="s">
        <v>65</v>
      </c>
      <c r="D5412" s="2">
        <v>40870</v>
      </c>
      <c r="E5412" s="1" t="s">
        <v>10813</v>
      </c>
      <c r="F5412" s="1" t="s">
        <v>13</v>
      </c>
    </row>
    <row r="5413" spans="1:6" ht="30" customHeight="1" x14ac:dyDescent="0.25">
      <c r="A5413" s="1" t="s">
        <v>10814</v>
      </c>
      <c r="B5413" s="1" t="str">
        <f>"9781444346190"</f>
        <v>9781444346190</v>
      </c>
      <c r="C5413" s="1" t="s">
        <v>11</v>
      </c>
      <c r="D5413" s="2">
        <v>40876</v>
      </c>
      <c r="E5413" s="1" t="s">
        <v>10815</v>
      </c>
      <c r="F5413" s="1" t="s">
        <v>13</v>
      </c>
    </row>
    <row r="5414" spans="1:6" ht="30" customHeight="1" x14ac:dyDescent="0.25">
      <c r="A5414" s="1" t="s">
        <v>10816</v>
      </c>
      <c r="B5414" s="1" t="str">
        <f>"9781444346398"</f>
        <v>9781444346398</v>
      </c>
      <c r="C5414" s="1" t="s">
        <v>11</v>
      </c>
      <c r="D5414" s="2">
        <v>40876</v>
      </c>
      <c r="E5414" s="1" t="s">
        <v>10817</v>
      </c>
      <c r="F5414" s="1" t="s">
        <v>13</v>
      </c>
    </row>
    <row r="5415" spans="1:6" ht="30" customHeight="1" x14ac:dyDescent="0.25">
      <c r="A5415" s="1" t="s">
        <v>10818</v>
      </c>
      <c r="B5415" s="1" t="str">
        <f>"9781444346862"</f>
        <v>9781444346862</v>
      </c>
      <c r="C5415" s="1" t="s">
        <v>65</v>
      </c>
      <c r="D5415" s="2">
        <v>40830</v>
      </c>
      <c r="E5415" s="1" t="s">
        <v>10819</v>
      </c>
      <c r="F5415" s="1" t="s">
        <v>13</v>
      </c>
    </row>
    <row r="5416" spans="1:6" ht="30" customHeight="1" x14ac:dyDescent="0.25">
      <c r="A5416" s="1" t="s">
        <v>4658</v>
      </c>
      <c r="B5416" s="1" t="str">
        <f>"9781444354546"</f>
        <v>9781444354546</v>
      </c>
      <c r="C5416" s="1" t="s">
        <v>11</v>
      </c>
      <c r="D5416" s="2">
        <v>40868</v>
      </c>
      <c r="E5416" s="1" t="s">
        <v>10820</v>
      </c>
      <c r="F5416" s="1" t="s">
        <v>13</v>
      </c>
    </row>
    <row r="5417" spans="1:6" ht="30" customHeight="1" x14ac:dyDescent="0.25">
      <c r="A5417" s="1" t="s">
        <v>10821</v>
      </c>
      <c r="B5417" s="1" t="str">
        <f>"9781444398281"</f>
        <v>9781444398281</v>
      </c>
      <c r="C5417" s="1" t="s">
        <v>11</v>
      </c>
      <c r="D5417" s="2">
        <v>40868</v>
      </c>
      <c r="E5417" s="1" t="s">
        <v>10822</v>
      </c>
      <c r="F5417" s="1" t="s">
        <v>221</v>
      </c>
    </row>
    <row r="5418" spans="1:6" ht="30" customHeight="1" x14ac:dyDescent="0.25">
      <c r="A5418" s="1" t="s">
        <v>10823</v>
      </c>
      <c r="B5418" s="1" t="str">
        <f>"9781444398410"</f>
        <v>9781444398410</v>
      </c>
      <c r="C5418" s="1" t="s">
        <v>11</v>
      </c>
      <c r="D5418" s="2">
        <v>40876</v>
      </c>
      <c r="E5418" s="1" t="s">
        <v>10824</v>
      </c>
      <c r="F5418" s="1" t="s">
        <v>13</v>
      </c>
    </row>
    <row r="5419" spans="1:6" ht="30" customHeight="1" x14ac:dyDescent="0.25">
      <c r="A5419" s="1" t="s">
        <v>10825</v>
      </c>
      <c r="B5419" s="1" t="str">
        <f>"9781444398601"</f>
        <v>9781444398601</v>
      </c>
      <c r="C5419" s="1" t="s">
        <v>11</v>
      </c>
      <c r="D5419" s="2">
        <v>40856</v>
      </c>
      <c r="E5419" s="1" t="s">
        <v>10826</v>
      </c>
      <c r="F5419" s="1" t="s">
        <v>13</v>
      </c>
    </row>
    <row r="5420" spans="1:6" ht="30" customHeight="1" x14ac:dyDescent="0.25">
      <c r="A5420" s="1" t="s">
        <v>10827</v>
      </c>
      <c r="B5420" s="1" t="str">
        <f>"9781444398670"</f>
        <v>9781444398670</v>
      </c>
      <c r="C5420" s="1" t="s">
        <v>11</v>
      </c>
      <c r="D5420" s="2">
        <v>40858</v>
      </c>
      <c r="E5420" s="1" t="s">
        <v>10828</v>
      </c>
      <c r="F5420" s="1" t="s">
        <v>126</v>
      </c>
    </row>
    <row r="5421" spans="1:6" ht="30" customHeight="1" x14ac:dyDescent="0.25">
      <c r="A5421" s="1" t="s">
        <v>10829</v>
      </c>
      <c r="B5421" s="1" t="str">
        <f>"9781444398724"</f>
        <v>9781444398724</v>
      </c>
      <c r="C5421" s="1" t="s">
        <v>65</v>
      </c>
      <c r="D5421" s="2">
        <v>40893</v>
      </c>
      <c r="E5421" s="1" t="s">
        <v>10830</v>
      </c>
      <c r="F5421" s="1" t="s">
        <v>268</v>
      </c>
    </row>
    <row r="5422" spans="1:6" ht="30" customHeight="1" x14ac:dyDescent="0.25">
      <c r="A5422" s="1" t="s">
        <v>10831</v>
      </c>
      <c r="B5422" s="1" t="str">
        <f>"9783527636754"</f>
        <v>9783527636754</v>
      </c>
      <c r="C5422" s="1" t="s">
        <v>65</v>
      </c>
      <c r="D5422" s="2">
        <v>40770</v>
      </c>
      <c r="E5422" s="1" t="s">
        <v>10832</v>
      </c>
      <c r="F5422" s="1" t="s">
        <v>268</v>
      </c>
    </row>
    <row r="5423" spans="1:6" ht="30" customHeight="1" x14ac:dyDescent="0.25">
      <c r="A5423" s="1" t="s">
        <v>10833</v>
      </c>
      <c r="B5423" s="1" t="str">
        <f>"9781409412557"</f>
        <v>9781409412557</v>
      </c>
      <c r="C5423" s="1" t="s">
        <v>6126</v>
      </c>
      <c r="D5423" s="2">
        <v>41183</v>
      </c>
      <c r="E5423" s="1" t="s">
        <v>10834</v>
      </c>
      <c r="F5423" s="1" t="s">
        <v>13</v>
      </c>
    </row>
    <row r="5424" spans="1:6" ht="30" customHeight="1" x14ac:dyDescent="0.25">
      <c r="A5424" s="1" t="s">
        <v>10835</v>
      </c>
      <c r="B5424" s="1" t="str">
        <f>"9781780523859"</f>
        <v>9781780523859</v>
      </c>
      <c r="C5424" s="1" t="s">
        <v>906</v>
      </c>
      <c r="D5424" s="2">
        <v>40882</v>
      </c>
      <c r="E5424" s="1" t="s">
        <v>10836</v>
      </c>
      <c r="F5424" s="1" t="s">
        <v>9483</v>
      </c>
    </row>
    <row r="5425" spans="1:6" ht="30" customHeight="1" x14ac:dyDescent="0.25">
      <c r="A5425" s="1" t="s">
        <v>10837</v>
      </c>
      <c r="B5425" s="1" t="str">
        <f>"9781848558816"</f>
        <v>9781848558816</v>
      </c>
      <c r="C5425" s="1" t="s">
        <v>971</v>
      </c>
      <c r="D5425" s="2">
        <v>40833</v>
      </c>
      <c r="E5425" s="1" t="s">
        <v>10838</v>
      </c>
      <c r="F5425" s="1" t="s">
        <v>3803</v>
      </c>
    </row>
    <row r="5426" spans="1:6" ht="30" customHeight="1" x14ac:dyDescent="0.25">
      <c r="A5426" s="1" t="s">
        <v>10839</v>
      </c>
      <c r="B5426" s="1" t="str">
        <f>"9780826106704"</f>
        <v>9780826106704</v>
      </c>
      <c r="C5426" s="1" t="s">
        <v>2339</v>
      </c>
      <c r="D5426" s="2">
        <v>40837</v>
      </c>
      <c r="E5426" s="1" t="s">
        <v>10840</v>
      </c>
      <c r="F5426" s="1" t="s">
        <v>126</v>
      </c>
    </row>
    <row r="5427" spans="1:6" ht="30" customHeight="1" x14ac:dyDescent="0.25">
      <c r="A5427" s="1" t="s">
        <v>10841</v>
      </c>
      <c r="B5427" s="1" t="str">
        <f>"9781118305942"</f>
        <v>9781118305942</v>
      </c>
      <c r="C5427" s="1" t="s">
        <v>65</v>
      </c>
      <c r="D5427" s="2">
        <v>40877</v>
      </c>
      <c r="E5427" s="1" t="s">
        <v>10842</v>
      </c>
      <c r="F5427" s="1" t="s">
        <v>126</v>
      </c>
    </row>
    <row r="5428" spans="1:6" ht="30" customHeight="1" x14ac:dyDescent="0.25">
      <c r="A5428" s="1" t="s">
        <v>10843</v>
      </c>
      <c r="B5428" s="1" t="str">
        <f>"9781118305966"</f>
        <v>9781118305966</v>
      </c>
      <c r="C5428" s="1" t="s">
        <v>65</v>
      </c>
      <c r="D5428" s="2">
        <v>37259</v>
      </c>
      <c r="E5428" s="1" t="s">
        <v>10844</v>
      </c>
      <c r="F5428" s="1" t="s">
        <v>973</v>
      </c>
    </row>
    <row r="5429" spans="1:6" ht="30" customHeight="1" x14ac:dyDescent="0.25">
      <c r="A5429" s="1" t="s">
        <v>10845</v>
      </c>
      <c r="B5429" s="1" t="str">
        <f>"9781119962137"</f>
        <v>9781119962137</v>
      </c>
      <c r="C5429" s="1" t="s">
        <v>65</v>
      </c>
      <c r="D5429" s="2">
        <v>40882</v>
      </c>
      <c r="E5429" s="1" t="s">
        <v>10846</v>
      </c>
      <c r="F5429" s="1" t="s">
        <v>13</v>
      </c>
    </row>
    <row r="5430" spans="1:6" ht="30" customHeight="1" x14ac:dyDescent="0.25">
      <c r="A5430" s="1" t="s">
        <v>10847</v>
      </c>
      <c r="B5430" s="1" t="str">
        <f>"9780833059161"</f>
        <v>9780833059161</v>
      </c>
      <c r="C5430" s="1" t="s">
        <v>516</v>
      </c>
      <c r="D5430" s="2">
        <v>40863</v>
      </c>
      <c r="E5430" s="1" t="s">
        <v>10848</v>
      </c>
      <c r="F5430" s="1" t="s">
        <v>87</v>
      </c>
    </row>
    <row r="5431" spans="1:6" ht="30" customHeight="1" x14ac:dyDescent="0.25">
      <c r="A5431" s="1" t="s">
        <v>10849</v>
      </c>
      <c r="B5431" s="1" t="str">
        <f>"9781444398755"</f>
        <v>9781444398755</v>
      </c>
      <c r="C5431" s="1" t="s">
        <v>11</v>
      </c>
      <c r="D5431" s="2">
        <v>40885</v>
      </c>
      <c r="E5431" s="1" t="s">
        <v>10850</v>
      </c>
      <c r="F5431" s="1" t="s">
        <v>13</v>
      </c>
    </row>
    <row r="5432" spans="1:6" ht="30" customHeight="1" x14ac:dyDescent="0.25">
      <c r="A5432" s="1" t="s">
        <v>10851</v>
      </c>
      <c r="B5432" s="1" t="str">
        <f>"9781118221211"</f>
        <v>9781118221211</v>
      </c>
      <c r="C5432" s="1" t="s">
        <v>11</v>
      </c>
      <c r="D5432" s="2">
        <v>41120</v>
      </c>
      <c r="E5432" s="1" t="s">
        <v>10852</v>
      </c>
      <c r="F5432" s="1" t="s">
        <v>13</v>
      </c>
    </row>
    <row r="5433" spans="1:6" ht="30" customHeight="1" x14ac:dyDescent="0.25">
      <c r="A5433" s="1" t="s">
        <v>10853</v>
      </c>
      <c r="B5433" s="1" t="str">
        <f>"9781118224731"</f>
        <v>9781118224731</v>
      </c>
      <c r="C5433" s="1" t="s">
        <v>11</v>
      </c>
      <c r="D5433" s="2">
        <v>41172</v>
      </c>
      <c r="E5433" s="1" t="s">
        <v>10854</v>
      </c>
      <c r="F5433" s="1" t="s">
        <v>13</v>
      </c>
    </row>
    <row r="5434" spans="1:6" ht="30" customHeight="1" x14ac:dyDescent="0.25">
      <c r="A5434" s="1" t="s">
        <v>10855</v>
      </c>
      <c r="B5434" s="1" t="str">
        <f>"9780470963241"</f>
        <v>9780470963241</v>
      </c>
      <c r="C5434" s="1" t="s">
        <v>11</v>
      </c>
      <c r="D5434" s="2">
        <v>40885</v>
      </c>
      <c r="E5434" s="1" t="s">
        <v>10856</v>
      </c>
      <c r="F5434" s="1" t="s">
        <v>10857</v>
      </c>
    </row>
    <row r="5435" spans="1:6" ht="30" customHeight="1" x14ac:dyDescent="0.25">
      <c r="A5435" s="1" t="s">
        <v>10858</v>
      </c>
      <c r="B5435" s="1" t="str">
        <f>"9781118307786"</f>
        <v>9781118307786</v>
      </c>
      <c r="C5435" s="1" t="s">
        <v>65</v>
      </c>
      <c r="D5435" s="2">
        <v>40885</v>
      </c>
      <c r="E5435" s="1" t="s">
        <v>10859</v>
      </c>
      <c r="F5435" s="1" t="s">
        <v>126</v>
      </c>
    </row>
    <row r="5436" spans="1:6" ht="30" customHeight="1" x14ac:dyDescent="0.25">
      <c r="A5436" s="1" t="s">
        <v>10860</v>
      </c>
      <c r="B5436" s="1" t="str">
        <f>"9781118314487"</f>
        <v>9781118314487</v>
      </c>
      <c r="C5436" s="1" t="s">
        <v>65</v>
      </c>
      <c r="D5436" s="2">
        <v>40885</v>
      </c>
      <c r="E5436" s="1" t="s">
        <v>10861</v>
      </c>
      <c r="F5436" s="1" t="s">
        <v>5697</v>
      </c>
    </row>
    <row r="5437" spans="1:6" ht="30" customHeight="1" x14ac:dyDescent="0.25">
      <c r="A5437" s="1" t="s">
        <v>10862</v>
      </c>
      <c r="B5437" s="1" t="str">
        <f>"9783110249453"</f>
        <v>9783110249453</v>
      </c>
      <c r="C5437" s="1" t="s">
        <v>1848</v>
      </c>
      <c r="D5437" s="2">
        <v>40877</v>
      </c>
      <c r="E5437" s="1" t="s">
        <v>10863</v>
      </c>
      <c r="F5437" s="1" t="s">
        <v>13</v>
      </c>
    </row>
    <row r="5438" spans="1:6" ht="30" customHeight="1" x14ac:dyDescent="0.25">
      <c r="A5438" s="1" t="s">
        <v>10864</v>
      </c>
      <c r="B5438" s="1" t="str">
        <f>"9781934078204"</f>
        <v>9781934078204</v>
      </c>
      <c r="C5438" s="1" t="s">
        <v>1848</v>
      </c>
      <c r="D5438" s="2">
        <v>40877</v>
      </c>
      <c r="E5438" s="1" t="s">
        <v>10865</v>
      </c>
      <c r="F5438" s="1" t="s">
        <v>13</v>
      </c>
    </row>
    <row r="5439" spans="1:6" ht="30" customHeight="1" x14ac:dyDescent="0.25">
      <c r="A5439" s="1" t="s">
        <v>10866</v>
      </c>
      <c r="B5439" s="1" t="str">
        <f>"9780804781053"</f>
        <v>9780804781053</v>
      </c>
      <c r="C5439" s="1" t="s">
        <v>7827</v>
      </c>
      <c r="D5439" s="2">
        <v>40954</v>
      </c>
      <c r="E5439" s="1" t="s">
        <v>10867</v>
      </c>
      <c r="F5439" s="1" t="s">
        <v>148</v>
      </c>
    </row>
    <row r="5440" spans="1:6" ht="30" customHeight="1" x14ac:dyDescent="0.25">
      <c r="A5440" s="1" t="s">
        <v>10868</v>
      </c>
      <c r="B5440" s="1" t="str">
        <f>"9781849409544"</f>
        <v>9781849409544</v>
      </c>
      <c r="C5440" s="1" t="s">
        <v>68</v>
      </c>
      <c r="D5440" s="2">
        <v>41274</v>
      </c>
      <c r="E5440" s="1" t="s">
        <v>10869</v>
      </c>
      <c r="F5440" s="1" t="s">
        <v>304</v>
      </c>
    </row>
    <row r="5441" spans="1:6" ht="30" customHeight="1" x14ac:dyDescent="0.25">
      <c r="A5441" s="1" t="s">
        <v>10870</v>
      </c>
      <c r="B5441" s="1" t="str">
        <f>"9780199909483"</f>
        <v>9780199909483</v>
      </c>
      <c r="C5441" s="1" t="s">
        <v>1123</v>
      </c>
      <c r="D5441" s="2">
        <v>40893</v>
      </c>
      <c r="E5441" s="1" t="s">
        <v>10871</v>
      </c>
      <c r="F5441" s="1" t="s">
        <v>13</v>
      </c>
    </row>
    <row r="5442" spans="1:6" ht="30" customHeight="1" x14ac:dyDescent="0.25">
      <c r="A5442" s="1" t="s">
        <v>10872</v>
      </c>
      <c r="B5442" s="1" t="str">
        <f>"9780191617881"</f>
        <v>9780191617881</v>
      </c>
      <c r="C5442" s="1" t="s">
        <v>1120</v>
      </c>
      <c r="D5442" s="2">
        <v>40752</v>
      </c>
      <c r="E5442" s="1" t="s">
        <v>10873</v>
      </c>
      <c r="F5442" s="1" t="s">
        <v>13</v>
      </c>
    </row>
    <row r="5443" spans="1:6" ht="30" customHeight="1" x14ac:dyDescent="0.25">
      <c r="A5443" s="1" t="s">
        <v>10874</v>
      </c>
      <c r="B5443" s="1" t="str">
        <f>"9789027276070"</f>
        <v>9789027276070</v>
      </c>
      <c r="C5443" s="1" t="s">
        <v>8479</v>
      </c>
      <c r="D5443" s="2">
        <v>35356</v>
      </c>
      <c r="E5443" s="1" t="s">
        <v>10875</v>
      </c>
      <c r="F5443" s="1" t="s">
        <v>13</v>
      </c>
    </row>
    <row r="5444" spans="1:6" ht="30" customHeight="1" x14ac:dyDescent="0.25">
      <c r="A5444" s="1" t="s">
        <v>10876</v>
      </c>
      <c r="B5444" s="1" t="str">
        <f>"9789027277213"</f>
        <v>9789027277213</v>
      </c>
      <c r="C5444" s="1" t="s">
        <v>8479</v>
      </c>
      <c r="D5444" s="2">
        <v>33710</v>
      </c>
      <c r="E5444" s="1" t="s">
        <v>10877</v>
      </c>
      <c r="F5444" s="1" t="s">
        <v>13</v>
      </c>
    </row>
    <row r="5445" spans="1:6" ht="30" customHeight="1" x14ac:dyDescent="0.25">
      <c r="A5445" s="1" t="s">
        <v>10878</v>
      </c>
      <c r="B5445" s="1" t="str">
        <f>"9789027276360"</f>
        <v>9789027276360</v>
      </c>
      <c r="C5445" s="1" t="s">
        <v>8479</v>
      </c>
      <c r="D5445" s="2">
        <v>35033</v>
      </c>
      <c r="E5445" s="1" t="s">
        <v>10879</v>
      </c>
      <c r="F5445" s="1" t="s">
        <v>13</v>
      </c>
    </row>
    <row r="5446" spans="1:6" ht="30" customHeight="1" x14ac:dyDescent="0.25">
      <c r="A5446" s="1" t="s">
        <v>10880</v>
      </c>
      <c r="B5446" s="1" t="str">
        <f>"9780826107640"</f>
        <v>9780826107640</v>
      </c>
      <c r="C5446" s="1" t="s">
        <v>2339</v>
      </c>
      <c r="D5446" s="2">
        <v>40897</v>
      </c>
      <c r="E5446" s="1" t="s">
        <v>10881</v>
      </c>
      <c r="F5446" s="1" t="s">
        <v>126</v>
      </c>
    </row>
    <row r="5447" spans="1:6" ht="30" customHeight="1" x14ac:dyDescent="0.25">
      <c r="A5447" s="1" t="s">
        <v>10882</v>
      </c>
      <c r="B5447" s="1" t="str">
        <f>"9780826105721"</f>
        <v>9780826105721</v>
      </c>
      <c r="C5447" s="1" t="s">
        <v>2339</v>
      </c>
      <c r="D5447" s="2">
        <v>40898</v>
      </c>
      <c r="E5447" s="1" t="s">
        <v>10883</v>
      </c>
      <c r="F5447" s="1" t="s">
        <v>30</v>
      </c>
    </row>
    <row r="5448" spans="1:6" ht="30" customHeight="1" x14ac:dyDescent="0.25">
      <c r="A5448" s="1" t="s">
        <v>3783</v>
      </c>
      <c r="B5448" s="1" t="str">
        <f>"9780826119285"</f>
        <v>9780826119285</v>
      </c>
      <c r="C5448" s="1" t="s">
        <v>2339</v>
      </c>
      <c r="D5448" s="2">
        <v>40869</v>
      </c>
      <c r="E5448" s="1" t="s">
        <v>10884</v>
      </c>
      <c r="F5448" s="1" t="s">
        <v>13</v>
      </c>
    </row>
    <row r="5449" spans="1:6" ht="30" customHeight="1" x14ac:dyDescent="0.25">
      <c r="A5449" s="1" t="s">
        <v>10885</v>
      </c>
      <c r="B5449" s="1" t="str">
        <f>"9781119959915"</f>
        <v>9781119959915</v>
      </c>
      <c r="C5449" s="1" t="s">
        <v>11</v>
      </c>
      <c r="D5449" s="2">
        <v>40889</v>
      </c>
      <c r="E5449" s="1" t="s">
        <v>10886</v>
      </c>
      <c r="F5449" s="1" t="s">
        <v>137</v>
      </c>
    </row>
    <row r="5450" spans="1:6" ht="30" customHeight="1" x14ac:dyDescent="0.25">
      <c r="A5450" s="1" t="s">
        <v>10887</v>
      </c>
      <c r="B5450" s="1" t="str">
        <f>"9781921507717"</f>
        <v>9781921507717</v>
      </c>
      <c r="C5450" s="1" t="s">
        <v>10888</v>
      </c>
      <c r="D5450" s="2">
        <v>41813</v>
      </c>
      <c r="E5450" s="1" t="s">
        <v>10889</v>
      </c>
      <c r="F5450" s="1" t="s">
        <v>13</v>
      </c>
    </row>
    <row r="5451" spans="1:6" ht="30" customHeight="1" x14ac:dyDescent="0.25">
      <c r="A5451" s="1" t="s">
        <v>10890</v>
      </c>
      <c r="B5451" s="1" t="str">
        <f>"9781921507731"</f>
        <v>9781921507731</v>
      </c>
      <c r="C5451" s="1" t="s">
        <v>10888</v>
      </c>
      <c r="D5451" s="2">
        <v>41813</v>
      </c>
      <c r="E5451" s="1" t="s">
        <v>10889</v>
      </c>
      <c r="F5451" s="1" t="s">
        <v>200</v>
      </c>
    </row>
    <row r="5452" spans="1:6" ht="30" customHeight="1" x14ac:dyDescent="0.25">
      <c r="A5452" s="1" t="s">
        <v>10891</v>
      </c>
      <c r="B5452" s="1" t="str">
        <f>"9781617050633"</f>
        <v>9781617050633</v>
      </c>
      <c r="C5452" s="1" t="s">
        <v>2342</v>
      </c>
      <c r="D5452" s="2">
        <v>40893</v>
      </c>
      <c r="E5452" s="1" t="s">
        <v>10892</v>
      </c>
      <c r="F5452" s="1" t="s">
        <v>13</v>
      </c>
    </row>
    <row r="5453" spans="1:6" ht="30" customHeight="1" x14ac:dyDescent="0.25">
      <c r="A5453" s="1" t="s">
        <v>10893</v>
      </c>
      <c r="B5453" s="1" t="str">
        <f>"9781845403317"</f>
        <v>9781845403317</v>
      </c>
      <c r="C5453" s="1" t="s">
        <v>9846</v>
      </c>
      <c r="D5453" s="2">
        <v>41773</v>
      </c>
      <c r="E5453" s="1" t="s">
        <v>10894</v>
      </c>
      <c r="F5453" s="1" t="s">
        <v>13</v>
      </c>
    </row>
    <row r="5454" spans="1:6" ht="30" customHeight="1" x14ac:dyDescent="0.25">
      <c r="A5454" s="1" t="s">
        <v>10895</v>
      </c>
      <c r="B5454" s="1" t="str">
        <f>"9780813550367"</f>
        <v>9780813550367</v>
      </c>
      <c r="C5454" s="1" t="s">
        <v>3656</v>
      </c>
      <c r="D5454" s="2">
        <v>40405</v>
      </c>
      <c r="E5454" s="1" t="s">
        <v>10896</v>
      </c>
      <c r="F5454" s="1" t="s">
        <v>13</v>
      </c>
    </row>
    <row r="5455" spans="1:6" ht="30" customHeight="1" x14ac:dyDescent="0.25">
      <c r="A5455" s="1" t="s">
        <v>10897</v>
      </c>
      <c r="B5455" s="1" t="str">
        <f>"9781444355680"</f>
        <v>9781444355680</v>
      </c>
      <c r="C5455" s="1" t="s">
        <v>65</v>
      </c>
      <c r="D5455" s="2">
        <v>41362</v>
      </c>
      <c r="E5455" s="1" t="s">
        <v>10898</v>
      </c>
      <c r="F5455" s="1" t="s">
        <v>13</v>
      </c>
    </row>
    <row r="5456" spans="1:6" ht="30" customHeight="1" x14ac:dyDescent="0.25">
      <c r="A5456" s="1" t="s">
        <v>10899</v>
      </c>
      <c r="B5456" s="1" t="str">
        <f>"9781118167861"</f>
        <v>9781118167861</v>
      </c>
      <c r="C5456" s="1" t="s">
        <v>65</v>
      </c>
      <c r="D5456" s="2">
        <v>41085</v>
      </c>
      <c r="E5456" s="1" t="s">
        <v>10900</v>
      </c>
      <c r="F5456" s="1" t="s">
        <v>13</v>
      </c>
    </row>
    <row r="5457" spans="1:6" ht="30" customHeight="1" x14ac:dyDescent="0.25">
      <c r="A5457" s="1" t="s">
        <v>10901</v>
      </c>
      <c r="B5457" s="1" t="str">
        <f>"9781119950516"</f>
        <v>9781119950516</v>
      </c>
      <c r="C5457" s="1" t="s">
        <v>11</v>
      </c>
      <c r="D5457" s="2">
        <v>40891</v>
      </c>
      <c r="E5457" s="1" t="s">
        <v>10902</v>
      </c>
      <c r="F5457" s="1" t="s">
        <v>13</v>
      </c>
    </row>
    <row r="5458" spans="1:6" ht="30" customHeight="1" x14ac:dyDescent="0.25">
      <c r="A5458" s="1" t="s">
        <v>10903</v>
      </c>
      <c r="B5458" s="1" t="str">
        <f>"9781119959731"</f>
        <v>9781119959731</v>
      </c>
      <c r="C5458" s="1" t="s">
        <v>65</v>
      </c>
      <c r="D5458" s="2">
        <v>40891</v>
      </c>
      <c r="E5458" s="1" t="s">
        <v>10904</v>
      </c>
      <c r="F5458" s="1" t="s">
        <v>13</v>
      </c>
    </row>
    <row r="5459" spans="1:6" ht="30" customHeight="1" x14ac:dyDescent="0.25">
      <c r="A5459" s="1" t="s">
        <v>996</v>
      </c>
      <c r="B5459" s="1" t="str">
        <f>"9781444360998"</f>
        <v>9781444360998</v>
      </c>
      <c r="C5459" s="1" t="s">
        <v>11</v>
      </c>
      <c r="D5459" s="2">
        <v>40897</v>
      </c>
      <c r="E5459" s="1" t="s">
        <v>10905</v>
      </c>
      <c r="F5459" s="1" t="s">
        <v>13</v>
      </c>
    </row>
    <row r="5460" spans="1:6" ht="30" customHeight="1" x14ac:dyDescent="0.25">
      <c r="A5460" s="1" t="s">
        <v>10906</v>
      </c>
      <c r="B5460" s="1" t="str">
        <f>"9781118266793"</f>
        <v>9781118266793</v>
      </c>
      <c r="C5460" s="1" t="s">
        <v>11</v>
      </c>
      <c r="D5460" s="2">
        <v>41016</v>
      </c>
      <c r="E5460" s="1" t="s">
        <v>10907</v>
      </c>
      <c r="F5460" s="1" t="s">
        <v>10908</v>
      </c>
    </row>
    <row r="5461" spans="1:6" ht="30" customHeight="1" x14ac:dyDescent="0.25">
      <c r="A5461" s="1" t="s">
        <v>10909</v>
      </c>
      <c r="B5461" s="1" t="str">
        <f>"9781118275207"</f>
        <v>9781118275207</v>
      </c>
      <c r="C5461" s="1" t="s">
        <v>11</v>
      </c>
      <c r="D5461" s="2">
        <v>41035</v>
      </c>
      <c r="E5461" s="1" t="s">
        <v>10910</v>
      </c>
      <c r="F5461" s="1" t="s">
        <v>137</v>
      </c>
    </row>
    <row r="5462" spans="1:6" ht="30" customHeight="1" x14ac:dyDescent="0.25">
      <c r="A5462" s="1" t="s">
        <v>10911</v>
      </c>
      <c r="B5462" s="1" t="str">
        <f>"9781118309865"</f>
        <v>9781118309865</v>
      </c>
      <c r="C5462" s="1" t="s">
        <v>11</v>
      </c>
      <c r="D5462" s="2">
        <v>41043</v>
      </c>
      <c r="E5462" s="1" t="s">
        <v>10912</v>
      </c>
      <c r="F5462" s="1" t="s">
        <v>268</v>
      </c>
    </row>
    <row r="5463" spans="1:6" ht="30" customHeight="1" x14ac:dyDescent="0.25">
      <c r="A5463" s="1" t="s">
        <v>10913</v>
      </c>
      <c r="B5463" s="1" t="str">
        <f>"9781119963752"</f>
        <v>9781119963752</v>
      </c>
      <c r="C5463" s="1" t="s">
        <v>11</v>
      </c>
      <c r="D5463" s="2">
        <v>40891</v>
      </c>
      <c r="E5463" s="1" t="s">
        <v>10914</v>
      </c>
      <c r="F5463" s="1" t="s">
        <v>13</v>
      </c>
    </row>
    <row r="5464" spans="1:6" ht="30" customHeight="1" x14ac:dyDescent="0.25">
      <c r="A5464" s="1" t="s">
        <v>10915</v>
      </c>
      <c r="B5464" s="1" t="str">
        <f>"9781572248762"</f>
        <v>9781572248762</v>
      </c>
      <c r="C5464" s="1" t="s">
        <v>10294</v>
      </c>
      <c r="D5464" s="2">
        <v>39631</v>
      </c>
      <c r="E5464" s="1" t="s">
        <v>10916</v>
      </c>
      <c r="F5464" s="1" t="s">
        <v>13</v>
      </c>
    </row>
    <row r="5465" spans="1:6" ht="30" customHeight="1" x14ac:dyDescent="0.25">
      <c r="A5465" s="1" t="s">
        <v>10917</v>
      </c>
      <c r="B5465" s="1" t="str">
        <f>"9781119958505"</f>
        <v>9781119958505</v>
      </c>
      <c r="C5465" s="1" t="s">
        <v>11</v>
      </c>
      <c r="D5465" s="2">
        <v>40889</v>
      </c>
      <c r="E5465" s="1" t="s">
        <v>10918</v>
      </c>
      <c r="F5465" s="1" t="s">
        <v>13</v>
      </c>
    </row>
    <row r="5466" spans="1:6" ht="30" customHeight="1" x14ac:dyDescent="0.25">
      <c r="A5466" s="1" t="s">
        <v>10919</v>
      </c>
      <c r="B5466" s="1" t="str">
        <f>"9781119962052"</f>
        <v>9781119962052</v>
      </c>
      <c r="C5466" s="1" t="s">
        <v>11</v>
      </c>
      <c r="D5466" s="2">
        <v>40913</v>
      </c>
      <c r="E5466" s="1" t="s">
        <v>10920</v>
      </c>
      <c r="F5466" s="1" t="s">
        <v>13</v>
      </c>
    </row>
    <row r="5467" spans="1:6" ht="30" customHeight="1" x14ac:dyDescent="0.25">
      <c r="A5467" s="1" t="s">
        <v>10921</v>
      </c>
      <c r="B5467" s="1" t="str">
        <f>"9781119966258"</f>
        <v>9781119966258</v>
      </c>
      <c r="C5467" s="1" t="s">
        <v>65</v>
      </c>
      <c r="D5467" s="2">
        <v>40911</v>
      </c>
      <c r="E5467" s="1" t="s">
        <v>10922</v>
      </c>
      <c r="F5467" s="1" t="s">
        <v>95</v>
      </c>
    </row>
    <row r="5468" spans="1:6" ht="30" customHeight="1" x14ac:dyDescent="0.25">
      <c r="A5468" s="1" t="s">
        <v>10923</v>
      </c>
      <c r="B5468" s="1" t="str">
        <f>"9781444354669"</f>
        <v>9781444354669</v>
      </c>
      <c r="C5468" s="1" t="s">
        <v>11</v>
      </c>
      <c r="D5468" s="2">
        <v>40911</v>
      </c>
      <c r="E5468" s="1" t="s">
        <v>10924</v>
      </c>
      <c r="F5468" s="1" t="s">
        <v>13</v>
      </c>
    </row>
    <row r="5469" spans="1:6" ht="30" customHeight="1" x14ac:dyDescent="0.25">
      <c r="A5469" s="1" t="s">
        <v>10925</v>
      </c>
      <c r="B5469" s="1" t="str">
        <f>"9781444361216"</f>
        <v>9781444361216</v>
      </c>
      <c r="C5469" s="1" t="s">
        <v>65</v>
      </c>
      <c r="D5469" s="2">
        <v>40911</v>
      </c>
      <c r="E5469" s="1" t="s">
        <v>10926</v>
      </c>
      <c r="F5469" s="1" t="s">
        <v>13</v>
      </c>
    </row>
    <row r="5470" spans="1:6" ht="30" customHeight="1" x14ac:dyDescent="0.25">
      <c r="A5470" s="1" t="s">
        <v>10927</v>
      </c>
      <c r="B5470" s="1" t="str">
        <f>"9780191632952"</f>
        <v>9780191632952</v>
      </c>
      <c r="C5470" s="1" t="s">
        <v>1120</v>
      </c>
      <c r="D5470" s="2">
        <v>40934</v>
      </c>
      <c r="E5470" s="1" t="s">
        <v>6191</v>
      </c>
      <c r="F5470" s="1" t="s">
        <v>13</v>
      </c>
    </row>
    <row r="5471" spans="1:6" ht="30" customHeight="1" x14ac:dyDescent="0.25">
      <c r="A5471" s="1" t="s">
        <v>10928</v>
      </c>
      <c r="B5471" s="1" t="str">
        <f>"9780199920891"</f>
        <v>9780199920891</v>
      </c>
      <c r="C5471" s="1" t="s">
        <v>1123</v>
      </c>
      <c r="D5471" s="2">
        <v>40855</v>
      </c>
      <c r="E5471" s="1" t="s">
        <v>10929</v>
      </c>
      <c r="F5471" s="1" t="s">
        <v>148</v>
      </c>
    </row>
    <row r="5472" spans="1:6" ht="30" customHeight="1" x14ac:dyDescent="0.25">
      <c r="A5472" s="1" t="s">
        <v>10930</v>
      </c>
      <c r="B5472" s="1" t="str">
        <f>"9783110225006"</f>
        <v>9783110225006</v>
      </c>
      <c r="C5472" s="1" t="s">
        <v>1848</v>
      </c>
      <c r="D5472" s="2">
        <v>40900</v>
      </c>
      <c r="E5472" s="1" t="s">
        <v>10931</v>
      </c>
      <c r="F5472" s="1" t="s">
        <v>13</v>
      </c>
    </row>
    <row r="5473" spans="1:6" ht="30" customHeight="1" x14ac:dyDescent="0.25">
      <c r="A5473" s="1" t="s">
        <v>10932</v>
      </c>
      <c r="B5473" s="1" t="str">
        <f>"9783110254457"</f>
        <v>9783110254457</v>
      </c>
      <c r="C5473" s="1" t="s">
        <v>1848</v>
      </c>
      <c r="D5473" s="2">
        <v>40900</v>
      </c>
      <c r="E5473" s="1" t="s">
        <v>10933</v>
      </c>
      <c r="F5473" s="1" t="s">
        <v>13</v>
      </c>
    </row>
    <row r="5474" spans="1:6" ht="30" customHeight="1" x14ac:dyDescent="0.25">
      <c r="A5474" s="1" t="s">
        <v>10934</v>
      </c>
      <c r="B5474" s="1" t="str">
        <f>"9781444398823"</f>
        <v>9781444398823</v>
      </c>
      <c r="C5474" s="1" t="s">
        <v>11</v>
      </c>
      <c r="D5474" s="2">
        <v>40913</v>
      </c>
      <c r="E5474" s="1" t="s">
        <v>10935</v>
      </c>
      <c r="F5474" s="1" t="s">
        <v>13</v>
      </c>
    </row>
    <row r="5475" spans="1:6" ht="30" customHeight="1" x14ac:dyDescent="0.25">
      <c r="A5475" s="1" t="s">
        <v>10936</v>
      </c>
      <c r="B5475" s="1" t="str">
        <f>"9780817385064"</f>
        <v>9780817385064</v>
      </c>
      <c r="C5475" s="1" t="s">
        <v>6589</v>
      </c>
      <c r="D5475" s="2">
        <v>40624</v>
      </c>
      <c r="E5475" s="1" t="s">
        <v>10937</v>
      </c>
      <c r="F5475" s="1" t="s">
        <v>13</v>
      </c>
    </row>
    <row r="5476" spans="1:6" ht="30" customHeight="1" x14ac:dyDescent="0.25">
      <c r="A5476" s="1" t="s">
        <v>10938</v>
      </c>
      <c r="B5476" s="1" t="str">
        <f>"9780817385958"</f>
        <v>9780817385958</v>
      </c>
      <c r="C5476" s="1" t="s">
        <v>6589</v>
      </c>
      <c r="D5476" s="2">
        <v>40892</v>
      </c>
      <c r="E5476" s="1" t="s">
        <v>10939</v>
      </c>
      <c r="F5476" s="1" t="s">
        <v>13</v>
      </c>
    </row>
    <row r="5477" spans="1:6" ht="30" customHeight="1" x14ac:dyDescent="0.25">
      <c r="A5477" s="1" t="s">
        <v>10940</v>
      </c>
      <c r="B5477" s="1" t="str">
        <f>"9781906884758"</f>
        <v>9781906884758</v>
      </c>
      <c r="C5477" s="1" t="s">
        <v>10941</v>
      </c>
      <c r="D5477" s="2">
        <v>40694</v>
      </c>
      <c r="E5477" s="1" t="s">
        <v>10942</v>
      </c>
      <c r="F5477" s="1" t="s">
        <v>13</v>
      </c>
    </row>
    <row r="5478" spans="1:6" ht="30" customHeight="1" x14ac:dyDescent="0.25">
      <c r="A5478" s="1" t="s">
        <v>10943</v>
      </c>
      <c r="B5478" s="1" t="str">
        <f>"9781607507970"</f>
        <v>9781607507970</v>
      </c>
      <c r="C5478" s="1" t="s">
        <v>1390</v>
      </c>
      <c r="D5478" s="2">
        <v>40862</v>
      </c>
      <c r="E5478" s="1" t="s">
        <v>10944</v>
      </c>
      <c r="F5478" s="1" t="s">
        <v>13</v>
      </c>
    </row>
    <row r="5479" spans="1:6" ht="30" customHeight="1" x14ac:dyDescent="0.25">
      <c r="A5479" s="1" t="s">
        <v>10945</v>
      </c>
      <c r="B5479" s="1" t="str">
        <f>"9780826106407"</f>
        <v>9780826106407</v>
      </c>
      <c r="C5479" s="1" t="s">
        <v>2339</v>
      </c>
      <c r="D5479" s="2">
        <v>40897</v>
      </c>
      <c r="E5479" s="1" t="s">
        <v>10946</v>
      </c>
      <c r="F5479" s="1" t="s">
        <v>30</v>
      </c>
    </row>
    <row r="5480" spans="1:6" ht="30" customHeight="1" x14ac:dyDescent="0.25">
      <c r="A5480" s="1" t="s">
        <v>10947</v>
      </c>
      <c r="B5480" s="1" t="str">
        <f>"9780826157577"</f>
        <v>9780826157577</v>
      </c>
      <c r="C5480" s="1" t="s">
        <v>2339</v>
      </c>
      <c r="D5480" s="2">
        <v>40865</v>
      </c>
      <c r="E5480" s="1" t="s">
        <v>10948</v>
      </c>
      <c r="F5480" s="1" t="s">
        <v>126</v>
      </c>
    </row>
    <row r="5481" spans="1:6" ht="30" customHeight="1" x14ac:dyDescent="0.25">
      <c r="A5481" s="1" t="s">
        <v>10949</v>
      </c>
      <c r="B5481" s="1" t="str">
        <f>"9781118221068"</f>
        <v>9781118221068</v>
      </c>
      <c r="C5481" s="1" t="s">
        <v>65</v>
      </c>
      <c r="D5481" s="2">
        <v>41249</v>
      </c>
      <c r="E5481" s="1" t="s">
        <v>10950</v>
      </c>
      <c r="F5481" s="1" t="s">
        <v>13</v>
      </c>
    </row>
    <row r="5482" spans="1:6" ht="30" customHeight="1" x14ac:dyDescent="0.25">
      <c r="A5482" s="1" t="s">
        <v>10951</v>
      </c>
      <c r="B5482" s="1" t="str">
        <f>"9781118222034"</f>
        <v>9781118222034</v>
      </c>
      <c r="C5482" s="1" t="s">
        <v>11</v>
      </c>
      <c r="D5482" s="2">
        <v>41067</v>
      </c>
      <c r="E5482" s="1" t="s">
        <v>10952</v>
      </c>
      <c r="F5482" s="1" t="s">
        <v>1469</v>
      </c>
    </row>
    <row r="5483" spans="1:6" ht="30" customHeight="1" x14ac:dyDescent="0.25">
      <c r="A5483" s="1" t="s">
        <v>10953</v>
      </c>
      <c r="B5483" s="1" t="str">
        <f>"9781118259467"</f>
        <v>9781118259467</v>
      </c>
      <c r="C5483" s="1" t="s">
        <v>11</v>
      </c>
      <c r="D5483" s="2">
        <v>41005</v>
      </c>
      <c r="E5483" s="1" t="s">
        <v>10954</v>
      </c>
      <c r="F5483" s="1" t="s">
        <v>10955</v>
      </c>
    </row>
    <row r="5484" spans="1:6" ht="30" customHeight="1" x14ac:dyDescent="0.25">
      <c r="A5484" s="1" t="s">
        <v>10956</v>
      </c>
      <c r="B5484" s="1" t="str">
        <f>"9781118271834"</f>
        <v>9781118271834</v>
      </c>
      <c r="C5484" s="1" t="s">
        <v>11</v>
      </c>
      <c r="D5484" s="2">
        <v>41071</v>
      </c>
      <c r="E5484" s="1" t="s">
        <v>10957</v>
      </c>
      <c r="F5484" s="1" t="s">
        <v>13</v>
      </c>
    </row>
    <row r="5485" spans="1:6" ht="30" customHeight="1" x14ac:dyDescent="0.25">
      <c r="A5485" s="1" t="s">
        <v>10958</v>
      </c>
      <c r="B5485" s="1" t="str">
        <f>"9781118279694"</f>
        <v>9781118279694</v>
      </c>
      <c r="C5485" s="1" t="s">
        <v>11</v>
      </c>
      <c r="D5485" s="2">
        <v>41067</v>
      </c>
      <c r="E5485" s="1" t="s">
        <v>10959</v>
      </c>
      <c r="F5485" s="1" t="s">
        <v>13</v>
      </c>
    </row>
    <row r="5486" spans="1:6" ht="30" customHeight="1" x14ac:dyDescent="0.25">
      <c r="A5486" s="1" t="s">
        <v>10960</v>
      </c>
      <c r="B5486" s="1" t="str">
        <f>"9781118305959"</f>
        <v>9781118305959</v>
      </c>
      <c r="C5486" s="1" t="s">
        <v>65</v>
      </c>
      <c r="D5486" s="2">
        <v>40877</v>
      </c>
      <c r="E5486" s="1" t="s">
        <v>10961</v>
      </c>
      <c r="F5486" s="1" t="s">
        <v>234</v>
      </c>
    </row>
    <row r="5487" spans="1:6" ht="30" customHeight="1" x14ac:dyDescent="0.25">
      <c r="A5487" s="1" t="s">
        <v>10962</v>
      </c>
      <c r="B5487" s="1" t="str">
        <f>"9781118334201"</f>
        <v>9781118334201</v>
      </c>
      <c r="C5487" s="1" t="s">
        <v>65</v>
      </c>
      <c r="D5487" s="2">
        <v>41068</v>
      </c>
      <c r="E5487" s="1" t="s">
        <v>10963</v>
      </c>
      <c r="F5487" s="1" t="s">
        <v>95</v>
      </c>
    </row>
    <row r="5488" spans="1:6" ht="30" customHeight="1" x14ac:dyDescent="0.25">
      <c r="A5488" s="1" t="s">
        <v>10964</v>
      </c>
      <c r="B5488" s="1" t="str">
        <f>"9780875532516"</f>
        <v>9780875532516</v>
      </c>
      <c r="C5488" s="1" t="s">
        <v>10965</v>
      </c>
      <c r="D5488" s="2">
        <v>40544</v>
      </c>
      <c r="E5488" s="1" t="s">
        <v>10966</v>
      </c>
      <c r="F5488" s="1" t="s">
        <v>95</v>
      </c>
    </row>
    <row r="5489" spans="1:6" ht="30" customHeight="1" x14ac:dyDescent="0.25">
      <c r="A5489" s="1" t="s">
        <v>10967</v>
      </c>
      <c r="B5489" s="1" t="str">
        <f>"9780875532523"</f>
        <v>9780875532523</v>
      </c>
      <c r="C5489" s="1" t="s">
        <v>10965</v>
      </c>
      <c r="D5489" s="2">
        <v>40179</v>
      </c>
      <c r="E5489" s="1" t="s">
        <v>10968</v>
      </c>
      <c r="F5489" s="1" t="s">
        <v>176</v>
      </c>
    </row>
    <row r="5490" spans="1:6" ht="30" customHeight="1" x14ac:dyDescent="0.25">
      <c r="A5490" s="1" t="s">
        <v>10969</v>
      </c>
      <c r="B5490" s="1" t="str">
        <f>"9780875532547"</f>
        <v>9780875532547</v>
      </c>
      <c r="C5490" s="1" t="s">
        <v>10965</v>
      </c>
      <c r="D5490" s="2">
        <v>40087</v>
      </c>
      <c r="E5490" s="1" t="s">
        <v>10970</v>
      </c>
      <c r="F5490" s="1" t="s">
        <v>1443</v>
      </c>
    </row>
    <row r="5491" spans="1:6" ht="30" customHeight="1" x14ac:dyDescent="0.25">
      <c r="A5491" s="1" t="s">
        <v>10971</v>
      </c>
      <c r="B5491" s="1" t="str">
        <f>"9780875532554"</f>
        <v>9780875532554</v>
      </c>
      <c r="C5491" s="1" t="s">
        <v>10965</v>
      </c>
      <c r="D5491" s="2">
        <v>39995</v>
      </c>
      <c r="E5491" s="1" t="s">
        <v>10972</v>
      </c>
      <c r="F5491" s="1" t="s">
        <v>87</v>
      </c>
    </row>
    <row r="5492" spans="1:6" ht="30" customHeight="1" x14ac:dyDescent="0.25">
      <c r="A5492" s="1" t="s">
        <v>10973</v>
      </c>
      <c r="B5492" s="1" t="str">
        <f>"9780875532561"</f>
        <v>9780875532561</v>
      </c>
      <c r="C5492" s="1" t="s">
        <v>10965</v>
      </c>
      <c r="D5492" s="2">
        <v>40087</v>
      </c>
      <c r="E5492" s="1" t="s">
        <v>10970</v>
      </c>
      <c r="F5492" s="1" t="s">
        <v>75</v>
      </c>
    </row>
    <row r="5493" spans="1:6" ht="30" customHeight="1" x14ac:dyDescent="0.25">
      <c r="A5493" s="1" t="s">
        <v>10974</v>
      </c>
      <c r="B5493" s="1" t="str">
        <f>"9780875532585"</f>
        <v>9780875532585</v>
      </c>
      <c r="C5493" s="1" t="s">
        <v>10965</v>
      </c>
      <c r="D5493" s="2">
        <v>39600</v>
      </c>
      <c r="E5493" s="1" t="s">
        <v>10975</v>
      </c>
      <c r="F5493" s="1" t="s">
        <v>599</v>
      </c>
    </row>
    <row r="5494" spans="1:6" ht="30" customHeight="1" x14ac:dyDescent="0.25">
      <c r="A5494" s="1" t="s">
        <v>10976</v>
      </c>
      <c r="B5494" s="1" t="str">
        <f>"9780875532592"</f>
        <v>9780875532592</v>
      </c>
      <c r="C5494" s="1" t="s">
        <v>10965</v>
      </c>
      <c r="D5494" s="2">
        <v>40634</v>
      </c>
      <c r="E5494" s="1" t="s">
        <v>10977</v>
      </c>
      <c r="F5494" s="1" t="s">
        <v>95</v>
      </c>
    </row>
    <row r="5495" spans="1:6" ht="30" customHeight="1" x14ac:dyDescent="0.25">
      <c r="A5495" s="1" t="s">
        <v>10978</v>
      </c>
      <c r="B5495" s="1" t="str">
        <f>"9780875532608"</f>
        <v>9780875532608</v>
      </c>
      <c r="C5495" s="1" t="s">
        <v>10965</v>
      </c>
      <c r="D5495" s="2">
        <v>40695</v>
      </c>
      <c r="E5495" s="1" t="s">
        <v>10979</v>
      </c>
      <c r="F5495" s="1" t="s">
        <v>95</v>
      </c>
    </row>
    <row r="5496" spans="1:6" ht="30" customHeight="1" x14ac:dyDescent="0.25">
      <c r="A5496" s="1" t="s">
        <v>10980</v>
      </c>
      <c r="B5496" s="1" t="str">
        <f>"9781617050954"</f>
        <v>9781617050954</v>
      </c>
      <c r="C5496" s="1" t="s">
        <v>2342</v>
      </c>
      <c r="D5496" s="2">
        <v>40897</v>
      </c>
      <c r="E5496" s="1" t="s">
        <v>10981</v>
      </c>
      <c r="F5496" s="1" t="s">
        <v>13</v>
      </c>
    </row>
    <row r="5497" spans="1:6" ht="30" customHeight="1" x14ac:dyDescent="0.25">
      <c r="A5497" s="1" t="s">
        <v>10982</v>
      </c>
      <c r="B5497" s="1" t="str">
        <f>"9780226428932"</f>
        <v>9780226428932</v>
      </c>
      <c r="C5497" s="1" t="s">
        <v>5093</v>
      </c>
      <c r="D5497" s="2">
        <v>40902</v>
      </c>
      <c r="E5497" s="1" t="s">
        <v>10983</v>
      </c>
      <c r="F5497" s="1" t="s">
        <v>13</v>
      </c>
    </row>
    <row r="5498" spans="1:6" ht="30" customHeight="1" x14ac:dyDescent="0.25">
      <c r="A5498" s="1" t="s">
        <v>10984</v>
      </c>
      <c r="B5498" s="1" t="str">
        <f>"9781587293320"</f>
        <v>9781587293320</v>
      </c>
      <c r="C5498" s="1" t="s">
        <v>10985</v>
      </c>
      <c r="D5498" s="2">
        <v>36982</v>
      </c>
      <c r="E5498" s="1" t="s">
        <v>10986</v>
      </c>
      <c r="F5498" s="1" t="s">
        <v>541</v>
      </c>
    </row>
    <row r="5499" spans="1:6" ht="30" customHeight="1" x14ac:dyDescent="0.25">
      <c r="A5499" s="1" t="s">
        <v>10987</v>
      </c>
      <c r="B5499" s="1" t="str">
        <f>"9781587293344"</f>
        <v>9781587293344</v>
      </c>
      <c r="C5499" s="1" t="s">
        <v>10985</v>
      </c>
      <c r="D5499" s="2">
        <v>39934</v>
      </c>
      <c r="E5499" s="1" t="s">
        <v>10988</v>
      </c>
      <c r="F5499" s="1" t="s">
        <v>13</v>
      </c>
    </row>
    <row r="5500" spans="1:6" ht="30" customHeight="1" x14ac:dyDescent="0.25">
      <c r="A5500" s="1" t="s">
        <v>10989</v>
      </c>
      <c r="B5500" s="1" t="str">
        <f>"9781587294181"</f>
        <v>9781587294181</v>
      </c>
      <c r="C5500" s="1" t="s">
        <v>10985</v>
      </c>
      <c r="D5500" s="2">
        <v>38443</v>
      </c>
      <c r="E5500" s="1" t="s">
        <v>10990</v>
      </c>
      <c r="F5500" s="1" t="s">
        <v>13</v>
      </c>
    </row>
    <row r="5501" spans="1:6" ht="30" customHeight="1" x14ac:dyDescent="0.25">
      <c r="A5501" s="1" t="s">
        <v>10991</v>
      </c>
      <c r="B5501" s="1" t="str">
        <f>"9780520945319"</f>
        <v>9780520945319</v>
      </c>
      <c r="C5501" s="1" t="s">
        <v>818</v>
      </c>
      <c r="D5501" s="2">
        <v>40119</v>
      </c>
      <c r="E5501" s="1" t="s">
        <v>10992</v>
      </c>
      <c r="F5501" s="1" t="s">
        <v>214</v>
      </c>
    </row>
    <row r="5502" spans="1:6" ht="30" customHeight="1" x14ac:dyDescent="0.25">
      <c r="A5502" s="1" t="s">
        <v>10993</v>
      </c>
      <c r="B5502" s="1" t="str">
        <f>"9780520940475"</f>
        <v>9780520940475</v>
      </c>
      <c r="C5502" s="1" t="s">
        <v>818</v>
      </c>
      <c r="D5502" s="2">
        <v>38971</v>
      </c>
      <c r="E5502" s="1" t="s">
        <v>10994</v>
      </c>
      <c r="F5502" s="1" t="s">
        <v>30</v>
      </c>
    </row>
    <row r="5503" spans="1:6" ht="30" customHeight="1" x14ac:dyDescent="0.25">
      <c r="A5503" s="1" t="s">
        <v>10995</v>
      </c>
      <c r="B5503" s="1" t="str">
        <f>"9780520945630"</f>
        <v>9780520945630</v>
      </c>
      <c r="C5503" s="1" t="s">
        <v>818</v>
      </c>
      <c r="D5503" s="2">
        <v>40513</v>
      </c>
      <c r="E5503" s="1" t="s">
        <v>10996</v>
      </c>
      <c r="F5503" s="1" t="s">
        <v>30</v>
      </c>
    </row>
    <row r="5504" spans="1:6" ht="30" customHeight="1" x14ac:dyDescent="0.25">
      <c r="A5504" s="1" t="s">
        <v>10997</v>
      </c>
      <c r="B5504" s="1" t="str">
        <f>"9780520944558"</f>
        <v>9780520944558</v>
      </c>
      <c r="C5504" s="1" t="s">
        <v>818</v>
      </c>
      <c r="D5504" s="2">
        <v>40075</v>
      </c>
      <c r="E5504" s="1" t="s">
        <v>10998</v>
      </c>
      <c r="F5504" s="1" t="s">
        <v>13</v>
      </c>
    </row>
    <row r="5505" spans="1:6" ht="30" customHeight="1" x14ac:dyDescent="0.25">
      <c r="A5505" s="1" t="s">
        <v>10999</v>
      </c>
      <c r="B5505" s="1" t="str">
        <f>"9780520946125"</f>
        <v>9780520946125</v>
      </c>
      <c r="C5505" s="1" t="s">
        <v>818</v>
      </c>
      <c r="D5505" s="2">
        <v>40513</v>
      </c>
      <c r="E5505" s="1" t="s">
        <v>11000</v>
      </c>
      <c r="F5505" s="1" t="s">
        <v>95</v>
      </c>
    </row>
    <row r="5506" spans="1:6" ht="30" customHeight="1" x14ac:dyDescent="0.25">
      <c r="A5506" s="1" t="s">
        <v>11001</v>
      </c>
      <c r="B5506" s="1" t="str">
        <f>"9781118278192"</f>
        <v>9781118278192</v>
      </c>
      <c r="C5506" s="1" t="s">
        <v>65</v>
      </c>
      <c r="D5506" s="2">
        <v>41029</v>
      </c>
      <c r="E5506" s="1" t="s">
        <v>11002</v>
      </c>
      <c r="F5506" s="1" t="s">
        <v>13</v>
      </c>
    </row>
    <row r="5507" spans="1:6" ht="30" customHeight="1" x14ac:dyDescent="0.25">
      <c r="A5507" s="1" t="s">
        <v>11003</v>
      </c>
      <c r="B5507" s="1" t="str">
        <f>"9781118278215"</f>
        <v>9781118278215</v>
      </c>
      <c r="C5507" s="1" t="s">
        <v>11</v>
      </c>
      <c r="D5507" s="2">
        <v>40995</v>
      </c>
      <c r="E5507" s="1" t="s">
        <v>11004</v>
      </c>
      <c r="F5507" s="1" t="s">
        <v>359</v>
      </c>
    </row>
    <row r="5508" spans="1:6" ht="30" customHeight="1" x14ac:dyDescent="0.25">
      <c r="A5508" s="1" t="s">
        <v>11005</v>
      </c>
      <c r="B5508" s="1" t="str">
        <f>"9781593325664"</f>
        <v>9781593325664</v>
      </c>
      <c r="C5508" s="1" t="s">
        <v>11006</v>
      </c>
      <c r="D5508" s="2">
        <v>39814</v>
      </c>
      <c r="E5508" s="1" t="s">
        <v>11007</v>
      </c>
      <c r="F5508" s="1" t="s">
        <v>158</v>
      </c>
    </row>
    <row r="5509" spans="1:6" ht="30" customHeight="1" x14ac:dyDescent="0.25">
      <c r="A5509" s="1" t="s">
        <v>11008</v>
      </c>
      <c r="B5509" s="1" t="str">
        <f>"9781847693570"</f>
        <v>9781847693570</v>
      </c>
      <c r="C5509" s="1" t="s">
        <v>3377</v>
      </c>
      <c r="D5509" s="2">
        <v>40674</v>
      </c>
      <c r="E5509" s="1" t="s">
        <v>11009</v>
      </c>
      <c r="F5509" s="1" t="s">
        <v>13</v>
      </c>
    </row>
    <row r="5510" spans="1:6" ht="30" customHeight="1" x14ac:dyDescent="0.25">
      <c r="A5510" s="1" t="s">
        <v>11010</v>
      </c>
      <c r="B5510" s="1" t="str">
        <f>"9788889688526"</f>
        <v>9788889688526</v>
      </c>
      <c r="C5510" s="1" t="s">
        <v>11011</v>
      </c>
      <c r="D5510" s="2">
        <v>40179</v>
      </c>
      <c r="E5510" s="1" t="s">
        <v>11012</v>
      </c>
      <c r="F5510" s="1" t="s">
        <v>13</v>
      </c>
    </row>
    <row r="5511" spans="1:6" ht="30" customHeight="1" x14ac:dyDescent="0.25">
      <c r="A5511" s="1" t="s">
        <v>11013</v>
      </c>
      <c r="B5511" s="1" t="str">
        <f>"9788889688557"</f>
        <v>9788889688557</v>
      </c>
      <c r="C5511" s="1" t="s">
        <v>11011</v>
      </c>
      <c r="D5511" s="2">
        <v>40544</v>
      </c>
      <c r="E5511" s="1" t="s">
        <v>11014</v>
      </c>
      <c r="F5511" s="1" t="s">
        <v>11015</v>
      </c>
    </row>
    <row r="5512" spans="1:6" ht="30" customHeight="1" x14ac:dyDescent="0.25">
      <c r="A5512" s="1" t="s">
        <v>11016</v>
      </c>
      <c r="B5512" s="1" t="str">
        <f>"9788889688564"</f>
        <v>9788889688564</v>
      </c>
      <c r="C5512" s="1" t="s">
        <v>11011</v>
      </c>
      <c r="D5512" s="2">
        <v>40179</v>
      </c>
      <c r="E5512" s="1" t="s">
        <v>11017</v>
      </c>
      <c r="F5512" s="1" t="s">
        <v>11018</v>
      </c>
    </row>
    <row r="5513" spans="1:6" ht="30" customHeight="1" x14ac:dyDescent="0.25">
      <c r="A5513" s="1" t="s">
        <v>11019</v>
      </c>
      <c r="B5513" s="1" t="str">
        <f>"9788897419044"</f>
        <v>9788897419044</v>
      </c>
      <c r="C5513" s="1" t="s">
        <v>11011</v>
      </c>
      <c r="D5513" s="2">
        <v>40544</v>
      </c>
      <c r="E5513" s="1" t="s">
        <v>11020</v>
      </c>
      <c r="F5513" s="1" t="s">
        <v>13</v>
      </c>
    </row>
    <row r="5514" spans="1:6" ht="30" customHeight="1" x14ac:dyDescent="0.25">
      <c r="A5514" s="1" t="s">
        <v>11021</v>
      </c>
      <c r="B5514" s="1" t="str">
        <f>"9788897419068"</f>
        <v>9788897419068</v>
      </c>
      <c r="C5514" s="1" t="s">
        <v>11011</v>
      </c>
      <c r="D5514" s="2">
        <v>40544</v>
      </c>
      <c r="E5514" s="1" t="s">
        <v>11022</v>
      </c>
      <c r="F5514" s="1" t="s">
        <v>13</v>
      </c>
    </row>
    <row r="5515" spans="1:6" ht="30" customHeight="1" x14ac:dyDescent="0.25">
      <c r="A5515" s="1" t="s">
        <v>11023</v>
      </c>
      <c r="B5515" s="1" t="str">
        <f>"9788897419082"</f>
        <v>9788897419082</v>
      </c>
      <c r="C5515" s="1" t="s">
        <v>11011</v>
      </c>
      <c r="D5515" s="2">
        <v>40544</v>
      </c>
      <c r="E5515" s="1" t="s">
        <v>11024</v>
      </c>
      <c r="F5515" s="1" t="s">
        <v>13</v>
      </c>
    </row>
    <row r="5516" spans="1:6" ht="30" customHeight="1" x14ac:dyDescent="0.25">
      <c r="A5516" s="1" t="s">
        <v>11025</v>
      </c>
      <c r="B5516" s="1" t="str">
        <f>"9780826106780"</f>
        <v>9780826106780</v>
      </c>
      <c r="C5516" s="1" t="s">
        <v>2339</v>
      </c>
      <c r="D5516" s="2">
        <v>40897</v>
      </c>
      <c r="E5516" s="1" t="s">
        <v>11026</v>
      </c>
      <c r="F5516" s="1" t="s">
        <v>95</v>
      </c>
    </row>
    <row r="5517" spans="1:6" ht="30" customHeight="1" x14ac:dyDescent="0.25">
      <c r="A5517" s="1" t="s">
        <v>11027</v>
      </c>
      <c r="B5517" s="1" t="str">
        <f>"9780807877326"</f>
        <v>9780807877326</v>
      </c>
      <c r="C5517" s="1" t="s">
        <v>4843</v>
      </c>
      <c r="D5517" s="2">
        <v>38866</v>
      </c>
      <c r="E5517" s="1" t="s">
        <v>11028</v>
      </c>
      <c r="F5517" s="1" t="s">
        <v>13</v>
      </c>
    </row>
    <row r="5518" spans="1:6" ht="30" customHeight="1" x14ac:dyDescent="0.25">
      <c r="A5518" s="1" t="s">
        <v>11029</v>
      </c>
      <c r="B5518" s="1" t="str">
        <f>"9781119959571"</f>
        <v>9781119959571</v>
      </c>
      <c r="C5518" s="1" t="s">
        <v>11</v>
      </c>
      <c r="D5518" s="2">
        <v>40939</v>
      </c>
      <c r="E5518" s="1" t="s">
        <v>11030</v>
      </c>
      <c r="F5518" s="1" t="s">
        <v>137</v>
      </c>
    </row>
    <row r="5519" spans="1:6" ht="30" customHeight="1" x14ac:dyDescent="0.25">
      <c r="A5519" s="1" t="s">
        <v>11031</v>
      </c>
      <c r="B5519" s="1" t="str">
        <f>"9781444346930"</f>
        <v>9781444346930</v>
      </c>
      <c r="C5519" s="1" t="s">
        <v>11</v>
      </c>
      <c r="D5519" s="2">
        <v>40918</v>
      </c>
      <c r="E5519" s="1" t="s">
        <v>11032</v>
      </c>
      <c r="F5519" s="1" t="s">
        <v>13</v>
      </c>
    </row>
    <row r="5520" spans="1:6" ht="30" customHeight="1" x14ac:dyDescent="0.25">
      <c r="A5520" s="1" t="s">
        <v>11033</v>
      </c>
      <c r="B5520" s="1" t="str">
        <f>"9781604730685"</f>
        <v>9781604730685</v>
      </c>
      <c r="C5520" s="1" t="s">
        <v>7711</v>
      </c>
      <c r="D5520" s="2">
        <v>38734</v>
      </c>
      <c r="E5520" s="1" t="s">
        <v>11034</v>
      </c>
      <c r="F5520" s="1" t="s">
        <v>13</v>
      </c>
    </row>
    <row r="5521" spans="1:6" ht="30" customHeight="1" x14ac:dyDescent="0.25">
      <c r="A5521" s="1" t="s">
        <v>11035</v>
      </c>
      <c r="B5521" s="1" t="str">
        <f>"9781843318972"</f>
        <v>9781843318972</v>
      </c>
      <c r="C5521" s="1" t="s">
        <v>11036</v>
      </c>
      <c r="D5521" s="2">
        <v>40238</v>
      </c>
      <c r="E5521" s="1" t="s">
        <v>11037</v>
      </c>
      <c r="F5521" s="1" t="s">
        <v>148</v>
      </c>
    </row>
    <row r="5522" spans="1:6" ht="30" customHeight="1" x14ac:dyDescent="0.25">
      <c r="A5522" s="1" t="s">
        <v>11038</v>
      </c>
      <c r="B5522" s="1" t="str">
        <f>"9789814299312"</f>
        <v>9789814299312</v>
      </c>
      <c r="C5522" s="1" t="s">
        <v>881</v>
      </c>
      <c r="D5522" s="2">
        <v>40613</v>
      </c>
      <c r="E5522" s="1" t="s">
        <v>11039</v>
      </c>
      <c r="F5522" s="1" t="s">
        <v>650</v>
      </c>
    </row>
    <row r="5523" spans="1:6" ht="30" customHeight="1" x14ac:dyDescent="0.25">
      <c r="A5523" s="1" t="s">
        <v>11040</v>
      </c>
      <c r="B5523" s="1" t="str">
        <f>"9789814338875"</f>
        <v>9789814338875</v>
      </c>
      <c r="C5523" s="1" t="s">
        <v>881</v>
      </c>
      <c r="D5523" s="2">
        <v>41773</v>
      </c>
      <c r="E5523" s="1" t="s">
        <v>11041</v>
      </c>
      <c r="F5523" s="1" t="s">
        <v>13</v>
      </c>
    </row>
    <row r="5524" spans="1:6" ht="30" customHeight="1" x14ac:dyDescent="0.25">
      <c r="A5524" s="1" t="s">
        <v>11042</v>
      </c>
      <c r="B5524" s="1" t="str">
        <f>"9789814340304"</f>
        <v>9789814340304</v>
      </c>
      <c r="C5524" s="1" t="s">
        <v>881</v>
      </c>
      <c r="D5524" s="2">
        <v>40617</v>
      </c>
      <c r="E5524" s="1" t="s">
        <v>11043</v>
      </c>
      <c r="F5524" s="1" t="s">
        <v>362</v>
      </c>
    </row>
    <row r="5525" spans="1:6" ht="30" customHeight="1" x14ac:dyDescent="0.25">
      <c r="A5525" s="1" t="s">
        <v>11044</v>
      </c>
      <c r="B5525" s="1" t="str">
        <f>"9789814291828"</f>
        <v>9789814291828</v>
      </c>
      <c r="C5525" s="1" t="s">
        <v>881</v>
      </c>
      <c r="D5525" s="2">
        <v>41773</v>
      </c>
      <c r="E5525" s="1" t="s">
        <v>11045</v>
      </c>
      <c r="F5525" s="1" t="s">
        <v>70</v>
      </c>
    </row>
    <row r="5526" spans="1:6" ht="30" customHeight="1" x14ac:dyDescent="0.25">
      <c r="A5526" s="1" t="s">
        <v>11046</v>
      </c>
      <c r="B5526" s="1" t="str">
        <f>"9789814335669"</f>
        <v>9789814335669</v>
      </c>
      <c r="C5526" s="1" t="s">
        <v>881</v>
      </c>
      <c r="D5526" s="2">
        <v>41773</v>
      </c>
      <c r="E5526" s="1" t="s">
        <v>11047</v>
      </c>
      <c r="F5526" s="1" t="s">
        <v>13</v>
      </c>
    </row>
    <row r="5527" spans="1:6" ht="30" customHeight="1" x14ac:dyDescent="0.25">
      <c r="A5527" s="1" t="s">
        <v>11048</v>
      </c>
      <c r="B5527" s="1" t="str">
        <f>"9789814343701"</f>
        <v>9789814343701</v>
      </c>
      <c r="C5527" s="1" t="s">
        <v>881</v>
      </c>
      <c r="D5527" s="2">
        <v>41773</v>
      </c>
      <c r="E5527" s="1" t="s">
        <v>11049</v>
      </c>
      <c r="F5527" s="1" t="s">
        <v>13</v>
      </c>
    </row>
    <row r="5528" spans="1:6" ht="30" customHeight="1" x14ac:dyDescent="0.25">
      <c r="A5528" s="1" t="s">
        <v>11050</v>
      </c>
      <c r="B5528" s="1" t="str">
        <f>"9789814317788"</f>
        <v>9789814317788</v>
      </c>
      <c r="C5528" s="1" t="s">
        <v>881</v>
      </c>
      <c r="D5528" s="2">
        <v>40771</v>
      </c>
      <c r="E5528" s="1" t="s">
        <v>11051</v>
      </c>
      <c r="F5528" s="1" t="s">
        <v>13</v>
      </c>
    </row>
    <row r="5529" spans="1:6" ht="30" customHeight="1" x14ac:dyDescent="0.25">
      <c r="A5529" s="1" t="s">
        <v>11052</v>
      </c>
      <c r="B5529" s="1" t="str">
        <f>"9789814313247"</f>
        <v>9789814313247</v>
      </c>
      <c r="C5529" s="1" t="s">
        <v>881</v>
      </c>
      <c r="D5529" s="2">
        <v>41773</v>
      </c>
      <c r="E5529" s="1" t="s">
        <v>11053</v>
      </c>
      <c r="F5529" s="1" t="s">
        <v>13</v>
      </c>
    </row>
    <row r="5530" spans="1:6" ht="30" customHeight="1" x14ac:dyDescent="0.25">
      <c r="A5530" s="1" t="s">
        <v>11054</v>
      </c>
      <c r="B5530" s="1" t="str">
        <f>"9780821388082"</f>
        <v>9780821388082</v>
      </c>
      <c r="C5530" s="1" t="s">
        <v>6702</v>
      </c>
      <c r="D5530" s="2">
        <v>40864</v>
      </c>
      <c r="E5530" s="1" t="s">
        <v>11055</v>
      </c>
      <c r="F5530" s="1" t="s">
        <v>30</v>
      </c>
    </row>
    <row r="5531" spans="1:6" ht="30" customHeight="1" x14ac:dyDescent="0.25">
      <c r="A5531" s="1" t="s">
        <v>11056</v>
      </c>
      <c r="B5531" s="1" t="str">
        <f>"9781599474014"</f>
        <v>9781599474014</v>
      </c>
      <c r="C5531" s="1" t="s">
        <v>9984</v>
      </c>
      <c r="D5531" s="2">
        <v>40923</v>
      </c>
      <c r="E5531" s="1" t="s">
        <v>11057</v>
      </c>
      <c r="F5531" s="1" t="s">
        <v>13</v>
      </c>
    </row>
    <row r="5532" spans="1:6" ht="30" customHeight="1" x14ac:dyDescent="0.25">
      <c r="A5532" s="1" t="s">
        <v>11058</v>
      </c>
      <c r="B5532" s="1" t="str">
        <f>"9781849409551"</f>
        <v>9781849409551</v>
      </c>
      <c r="C5532" s="1" t="s">
        <v>68</v>
      </c>
      <c r="D5532" s="2">
        <v>40914</v>
      </c>
      <c r="E5532" s="1" t="s">
        <v>11059</v>
      </c>
      <c r="F5532" s="1" t="s">
        <v>291</v>
      </c>
    </row>
    <row r="5533" spans="1:6" ht="30" customHeight="1" x14ac:dyDescent="0.25">
      <c r="A5533" s="1" t="s">
        <v>11060</v>
      </c>
      <c r="B5533" s="1" t="str">
        <f>"9781587297137"</f>
        <v>9781587297137</v>
      </c>
      <c r="C5533" s="1" t="s">
        <v>10985</v>
      </c>
      <c r="D5533" s="2">
        <v>39934</v>
      </c>
      <c r="E5533" s="1" t="s">
        <v>11061</v>
      </c>
      <c r="F5533" s="1" t="s">
        <v>13</v>
      </c>
    </row>
    <row r="5534" spans="1:6" ht="30" customHeight="1" x14ac:dyDescent="0.25">
      <c r="A5534" s="1" t="s">
        <v>11062</v>
      </c>
      <c r="B5534" s="1" t="str">
        <f>"9781587297526"</f>
        <v>9781587297526</v>
      </c>
      <c r="C5534" s="1" t="s">
        <v>10985</v>
      </c>
      <c r="D5534" s="2">
        <v>39539</v>
      </c>
      <c r="E5534" s="1" t="s">
        <v>11063</v>
      </c>
      <c r="F5534" s="1" t="s">
        <v>33</v>
      </c>
    </row>
    <row r="5535" spans="1:6" ht="30" customHeight="1" x14ac:dyDescent="0.25">
      <c r="A5535" s="1" t="s">
        <v>11064</v>
      </c>
      <c r="B5535" s="1" t="str">
        <f>"9781587298523"</f>
        <v>9781587298523</v>
      </c>
      <c r="C5535" s="1" t="s">
        <v>10985</v>
      </c>
      <c r="D5535" s="2">
        <v>39873</v>
      </c>
      <c r="E5535" s="1" t="s">
        <v>11065</v>
      </c>
      <c r="F5535" s="1" t="s">
        <v>13</v>
      </c>
    </row>
    <row r="5536" spans="1:6" ht="30" customHeight="1" x14ac:dyDescent="0.25">
      <c r="A5536" s="1" t="s">
        <v>11066</v>
      </c>
      <c r="B5536" s="1" t="str">
        <f>"9781587298493"</f>
        <v>9781587298493</v>
      </c>
      <c r="C5536" s="1" t="s">
        <v>10985</v>
      </c>
      <c r="D5536" s="2">
        <v>39904</v>
      </c>
      <c r="E5536" s="1" t="s">
        <v>11067</v>
      </c>
      <c r="F5536" s="1" t="s">
        <v>13</v>
      </c>
    </row>
    <row r="5537" spans="1:6" ht="30" customHeight="1" x14ac:dyDescent="0.25">
      <c r="A5537" s="1" t="s">
        <v>11068</v>
      </c>
      <c r="B5537" s="1" t="str">
        <f>"9781119959656"</f>
        <v>9781119959656</v>
      </c>
      <c r="C5537" s="1" t="s">
        <v>11</v>
      </c>
      <c r="D5537" s="2">
        <v>40920</v>
      </c>
      <c r="E5537" s="1" t="s">
        <v>11069</v>
      </c>
      <c r="F5537" s="1" t="s">
        <v>268</v>
      </c>
    </row>
    <row r="5538" spans="1:6" ht="30" customHeight="1" x14ac:dyDescent="0.25">
      <c r="A5538" s="1" t="s">
        <v>11070</v>
      </c>
      <c r="B5538" s="1" t="str">
        <f>"9781444398489"</f>
        <v>9781444398489</v>
      </c>
      <c r="C5538" s="1" t="s">
        <v>11</v>
      </c>
      <c r="D5538" s="2">
        <v>40919</v>
      </c>
      <c r="E5538" s="1" t="s">
        <v>11071</v>
      </c>
      <c r="F5538" s="1" t="s">
        <v>13</v>
      </c>
    </row>
    <row r="5539" spans="1:6" ht="30" customHeight="1" x14ac:dyDescent="0.25">
      <c r="A5539" s="1" t="s">
        <v>11072</v>
      </c>
      <c r="B5539" s="1" t="str">
        <f>"9783527645275"</f>
        <v>9783527645275</v>
      </c>
      <c r="C5539" s="1" t="s">
        <v>65</v>
      </c>
      <c r="D5539" s="2">
        <v>40921</v>
      </c>
      <c r="E5539" s="1" t="s">
        <v>11073</v>
      </c>
      <c r="F5539" s="1" t="s">
        <v>268</v>
      </c>
    </row>
    <row r="5540" spans="1:6" ht="30" customHeight="1" x14ac:dyDescent="0.25">
      <c r="A5540" s="1" t="s">
        <v>11074</v>
      </c>
      <c r="B5540" s="1" t="str">
        <f>"9781118221990"</f>
        <v>9781118221990</v>
      </c>
      <c r="C5540" s="1" t="s">
        <v>11</v>
      </c>
      <c r="D5540" s="2">
        <v>41869</v>
      </c>
      <c r="E5540" s="1" t="s">
        <v>11075</v>
      </c>
      <c r="F5540" s="1" t="s">
        <v>13</v>
      </c>
    </row>
    <row r="5541" spans="1:6" ht="30" customHeight="1" x14ac:dyDescent="0.25">
      <c r="A5541" s="1" t="s">
        <v>11076</v>
      </c>
      <c r="B5541" s="1" t="str">
        <f>"9781118285961"</f>
        <v>9781118285961</v>
      </c>
      <c r="C5541" s="1" t="s">
        <v>65</v>
      </c>
      <c r="D5541" s="2">
        <v>41010</v>
      </c>
      <c r="E5541" s="1" t="s">
        <v>11077</v>
      </c>
      <c r="F5541" s="1" t="s">
        <v>268</v>
      </c>
    </row>
    <row r="5542" spans="1:6" ht="30" customHeight="1" x14ac:dyDescent="0.25">
      <c r="A5542" s="1" t="s">
        <v>11078</v>
      </c>
      <c r="B5542" s="1" t="str">
        <f>"9781118309384"</f>
        <v>9781118309384</v>
      </c>
      <c r="C5542" s="1" t="s">
        <v>11</v>
      </c>
      <c r="D5542" s="2">
        <v>41066</v>
      </c>
      <c r="E5542" s="1" t="s">
        <v>11079</v>
      </c>
      <c r="F5542" s="1" t="s">
        <v>13</v>
      </c>
    </row>
    <row r="5543" spans="1:6" ht="30" customHeight="1" x14ac:dyDescent="0.25">
      <c r="A5543" s="1" t="s">
        <v>11080</v>
      </c>
      <c r="B5543" s="1" t="str">
        <f>"9781849409568"</f>
        <v>9781849409568</v>
      </c>
      <c r="C5543" s="1" t="s">
        <v>8994</v>
      </c>
      <c r="D5543" s="2">
        <v>40922</v>
      </c>
      <c r="E5543" s="1" t="s">
        <v>11081</v>
      </c>
      <c r="F5543" s="1" t="s">
        <v>13</v>
      </c>
    </row>
    <row r="5544" spans="1:6" ht="30" customHeight="1" x14ac:dyDescent="0.25">
      <c r="A5544" s="1" t="s">
        <v>11082</v>
      </c>
      <c r="B5544" s="1" t="str">
        <f>"9780520951747"</f>
        <v>9780520951747</v>
      </c>
      <c r="C5544" s="1" t="s">
        <v>818</v>
      </c>
      <c r="D5544" s="2">
        <v>40981</v>
      </c>
      <c r="E5544" s="1" t="s">
        <v>11083</v>
      </c>
      <c r="F5544" s="1" t="s">
        <v>13</v>
      </c>
    </row>
    <row r="5545" spans="1:6" ht="30" customHeight="1" x14ac:dyDescent="0.25">
      <c r="A5545" s="1" t="s">
        <v>11084</v>
      </c>
      <c r="B5545" s="1" t="str">
        <f>"9781118286562"</f>
        <v>9781118286562</v>
      </c>
      <c r="C5545" s="1" t="s">
        <v>65</v>
      </c>
      <c r="D5545" s="2">
        <v>41773</v>
      </c>
      <c r="E5545" s="1" t="s">
        <v>11085</v>
      </c>
      <c r="F5545" s="1" t="s">
        <v>70</v>
      </c>
    </row>
    <row r="5546" spans="1:6" ht="30" customHeight="1" x14ac:dyDescent="0.25">
      <c r="A5546" s="1" t="s">
        <v>11086</v>
      </c>
      <c r="B5546" s="1" t="str">
        <f>"9781444361278"</f>
        <v>9781444361278</v>
      </c>
      <c r="C5546" s="1" t="s">
        <v>11</v>
      </c>
      <c r="D5546" s="2">
        <v>40925</v>
      </c>
      <c r="E5546" s="1" t="s">
        <v>11087</v>
      </c>
      <c r="F5546" s="1" t="s">
        <v>13</v>
      </c>
    </row>
    <row r="5547" spans="1:6" ht="30" customHeight="1" x14ac:dyDescent="0.25">
      <c r="A5547" s="1" t="s">
        <v>11088</v>
      </c>
      <c r="B5547" s="1" t="str">
        <f>"9781849409575"</f>
        <v>9781849409575</v>
      </c>
      <c r="C5547" s="1" t="s">
        <v>8994</v>
      </c>
      <c r="D5547" s="2">
        <v>40928</v>
      </c>
      <c r="E5547" s="1" t="s">
        <v>11089</v>
      </c>
      <c r="F5547" s="1" t="s">
        <v>13</v>
      </c>
    </row>
    <row r="5548" spans="1:6" ht="30" customHeight="1" x14ac:dyDescent="0.25">
      <c r="A5548" s="1" t="s">
        <v>11090</v>
      </c>
      <c r="B5548" s="1" t="str">
        <f>"9780191628641"</f>
        <v>9780191628641</v>
      </c>
      <c r="C5548" s="1" t="s">
        <v>1117</v>
      </c>
      <c r="D5548" s="2">
        <v>40909</v>
      </c>
      <c r="E5548" s="1" t="s">
        <v>11091</v>
      </c>
      <c r="F5548" s="1" t="s">
        <v>268</v>
      </c>
    </row>
    <row r="5549" spans="1:6" ht="30" customHeight="1" x14ac:dyDescent="0.25">
      <c r="A5549" s="1" t="s">
        <v>11092</v>
      </c>
      <c r="B5549" s="1" t="str">
        <f>"9780191628740"</f>
        <v>9780191628740</v>
      </c>
      <c r="C5549" s="1" t="s">
        <v>1120</v>
      </c>
      <c r="D5549" s="2">
        <v>40871</v>
      </c>
      <c r="E5549" s="1" t="s">
        <v>11093</v>
      </c>
      <c r="F5549" s="1" t="s">
        <v>13</v>
      </c>
    </row>
    <row r="5550" spans="1:6" ht="30" customHeight="1" x14ac:dyDescent="0.25">
      <c r="A5550" s="1" t="s">
        <v>11094</v>
      </c>
      <c r="B5550" s="1" t="str">
        <f>"9780191629853"</f>
        <v>9780191629853</v>
      </c>
      <c r="C5550" s="1" t="s">
        <v>1117</v>
      </c>
      <c r="D5550" s="2">
        <v>40745</v>
      </c>
      <c r="E5550" s="1" t="s">
        <v>11095</v>
      </c>
      <c r="F5550" s="1" t="s">
        <v>137</v>
      </c>
    </row>
    <row r="5551" spans="1:6" ht="30" customHeight="1" x14ac:dyDescent="0.25">
      <c r="A5551" s="1" t="s">
        <v>11096</v>
      </c>
      <c r="B5551" s="1" t="str">
        <f>"9780191629877"</f>
        <v>9780191629877</v>
      </c>
      <c r="C5551" s="1" t="s">
        <v>1123</v>
      </c>
      <c r="D5551" s="2">
        <v>40842</v>
      </c>
      <c r="E5551" s="1" t="s">
        <v>11097</v>
      </c>
      <c r="F5551" s="1" t="s">
        <v>137</v>
      </c>
    </row>
    <row r="5552" spans="1:6" ht="30" customHeight="1" x14ac:dyDescent="0.25">
      <c r="A5552" s="1" t="s">
        <v>11098</v>
      </c>
      <c r="B5552" s="1" t="str">
        <f>"9780191628566"</f>
        <v>9780191628566</v>
      </c>
      <c r="C5552" s="1" t="s">
        <v>1120</v>
      </c>
      <c r="D5552" s="2">
        <v>40857</v>
      </c>
      <c r="E5552" s="1" t="s">
        <v>11099</v>
      </c>
      <c r="F5552" s="1" t="s">
        <v>13</v>
      </c>
    </row>
    <row r="5553" spans="1:6" ht="30" customHeight="1" x14ac:dyDescent="0.25">
      <c r="A5553" s="1" t="s">
        <v>11100</v>
      </c>
      <c r="B5553" s="1" t="str">
        <f>"9780199930531"</f>
        <v>9780199930531</v>
      </c>
      <c r="C5553" s="1" t="s">
        <v>1123</v>
      </c>
      <c r="D5553" s="2">
        <v>40962</v>
      </c>
      <c r="E5553" s="1" t="s">
        <v>11101</v>
      </c>
      <c r="F5553" s="1" t="s">
        <v>13</v>
      </c>
    </row>
    <row r="5554" spans="1:6" ht="30" customHeight="1" x14ac:dyDescent="0.25">
      <c r="A5554" s="1" t="s">
        <v>11102</v>
      </c>
      <c r="B5554" s="1" t="str">
        <f>"9780191547867"</f>
        <v>9780191547867</v>
      </c>
      <c r="C5554" s="1" t="s">
        <v>1120</v>
      </c>
      <c r="D5554" s="2">
        <v>39478</v>
      </c>
      <c r="E5554" s="1" t="s">
        <v>11103</v>
      </c>
      <c r="F5554" s="1" t="s">
        <v>13</v>
      </c>
    </row>
    <row r="5555" spans="1:6" ht="30" customHeight="1" x14ac:dyDescent="0.25">
      <c r="A5555" s="1" t="s">
        <v>11104</v>
      </c>
      <c r="B5555" s="1" t="str">
        <f>"9780191567087"</f>
        <v>9780191567087</v>
      </c>
      <c r="C5555" s="1" t="s">
        <v>1120</v>
      </c>
      <c r="D5555" s="2">
        <v>39037</v>
      </c>
      <c r="E5555" s="1" t="s">
        <v>11105</v>
      </c>
      <c r="F5555" s="1" t="s">
        <v>13</v>
      </c>
    </row>
    <row r="5556" spans="1:6" ht="30" customHeight="1" x14ac:dyDescent="0.25">
      <c r="A5556" s="1" t="s">
        <v>11106</v>
      </c>
      <c r="B5556" s="1" t="str">
        <f>"9780191589713"</f>
        <v>9780191589713</v>
      </c>
      <c r="C5556" s="1" t="s">
        <v>1120</v>
      </c>
      <c r="D5556" s="2">
        <v>38743</v>
      </c>
      <c r="E5556" s="1" t="s">
        <v>11107</v>
      </c>
      <c r="F5556" s="1" t="s">
        <v>13</v>
      </c>
    </row>
    <row r="5557" spans="1:6" ht="30" customHeight="1" x14ac:dyDescent="0.25">
      <c r="A5557" s="1" t="s">
        <v>11108</v>
      </c>
      <c r="B5557" s="1" t="str">
        <f>"9780191550171"</f>
        <v>9780191550171</v>
      </c>
      <c r="C5557" s="1" t="s">
        <v>1120</v>
      </c>
      <c r="D5557" s="2">
        <v>39464</v>
      </c>
      <c r="E5557" s="1" t="s">
        <v>11109</v>
      </c>
      <c r="F5557" s="1" t="s">
        <v>13</v>
      </c>
    </row>
    <row r="5558" spans="1:6" ht="30" customHeight="1" x14ac:dyDescent="0.25">
      <c r="A5558" s="1" t="s">
        <v>11110</v>
      </c>
      <c r="B5558" s="1" t="str">
        <f>"9780191548642"</f>
        <v>9780191548642</v>
      </c>
      <c r="C5558" s="1" t="s">
        <v>1120</v>
      </c>
      <c r="D5558" s="2">
        <v>39450</v>
      </c>
      <c r="E5558" s="1" t="s">
        <v>11111</v>
      </c>
      <c r="F5558" s="1" t="s">
        <v>13</v>
      </c>
    </row>
    <row r="5559" spans="1:6" ht="30" customHeight="1" x14ac:dyDescent="0.25">
      <c r="A5559" s="1" t="s">
        <v>11112</v>
      </c>
      <c r="B5559" s="1" t="str">
        <f>"9781848165571"</f>
        <v>9781848165571</v>
      </c>
      <c r="C5559" s="1" t="s">
        <v>876</v>
      </c>
      <c r="D5559" s="2">
        <v>41773</v>
      </c>
      <c r="E5559" s="1" t="s">
        <v>11113</v>
      </c>
      <c r="F5559" s="1" t="s">
        <v>13</v>
      </c>
    </row>
    <row r="5560" spans="1:6" ht="30" customHeight="1" x14ac:dyDescent="0.25">
      <c r="A5560" s="1" t="s">
        <v>11114</v>
      </c>
      <c r="B5560" s="1" t="str">
        <f>"9789814295413"</f>
        <v>9789814295413</v>
      </c>
      <c r="C5560" s="1" t="s">
        <v>881</v>
      </c>
      <c r="D5560" s="2">
        <v>41773</v>
      </c>
      <c r="E5560" s="1" t="s">
        <v>11115</v>
      </c>
      <c r="F5560" s="1" t="s">
        <v>13</v>
      </c>
    </row>
    <row r="5561" spans="1:6" ht="30" customHeight="1" x14ac:dyDescent="0.25">
      <c r="A5561" s="1" t="s">
        <v>11116</v>
      </c>
      <c r="B5561" s="1" t="str">
        <f>"9780826121776"</f>
        <v>9780826121776</v>
      </c>
      <c r="C5561" s="1" t="s">
        <v>2339</v>
      </c>
      <c r="D5561" s="2">
        <v>40817</v>
      </c>
      <c r="E5561" s="1" t="s">
        <v>11117</v>
      </c>
      <c r="F5561" s="1" t="s">
        <v>126</v>
      </c>
    </row>
    <row r="5562" spans="1:6" ht="30" customHeight="1" x14ac:dyDescent="0.25">
      <c r="A5562" s="1" t="s">
        <v>11118</v>
      </c>
      <c r="B5562" s="1" t="str">
        <f>"9780826171290"</f>
        <v>9780826171290</v>
      </c>
      <c r="C5562" s="1" t="s">
        <v>2339</v>
      </c>
      <c r="D5562" s="2">
        <v>40878</v>
      </c>
      <c r="E5562" s="1" t="s">
        <v>11119</v>
      </c>
      <c r="F5562" s="1" t="s">
        <v>13</v>
      </c>
    </row>
    <row r="5563" spans="1:6" ht="30" customHeight="1" x14ac:dyDescent="0.25">
      <c r="A5563" s="1" t="s">
        <v>11120</v>
      </c>
      <c r="B5563" s="1" t="str">
        <f>"9780826105783"</f>
        <v>9780826105783</v>
      </c>
      <c r="C5563" s="1" t="s">
        <v>2339</v>
      </c>
      <c r="D5563" s="2">
        <v>40450</v>
      </c>
      <c r="E5563" s="1" t="s">
        <v>11121</v>
      </c>
      <c r="F5563" s="1" t="s">
        <v>126</v>
      </c>
    </row>
    <row r="5564" spans="1:6" ht="30" customHeight="1" x14ac:dyDescent="0.25">
      <c r="A5564" s="1" t="s">
        <v>11122</v>
      </c>
      <c r="B5564" s="1" t="str">
        <f>"9781572246867"</f>
        <v>9781572246867</v>
      </c>
      <c r="C5564" s="1" t="s">
        <v>10294</v>
      </c>
      <c r="D5564" s="2">
        <v>38565</v>
      </c>
      <c r="E5564" s="1" t="s">
        <v>11123</v>
      </c>
      <c r="F5564" s="1" t="s">
        <v>13</v>
      </c>
    </row>
    <row r="5565" spans="1:6" ht="30" customHeight="1" x14ac:dyDescent="0.25">
      <c r="A5565" s="1" t="s">
        <v>11124</v>
      </c>
      <c r="B5565" s="1" t="str">
        <f>"9781118220481"</f>
        <v>9781118220481</v>
      </c>
      <c r="C5565" s="1" t="s">
        <v>11</v>
      </c>
      <c r="D5565" s="2">
        <v>41066</v>
      </c>
      <c r="E5565" s="1" t="s">
        <v>11125</v>
      </c>
      <c r="F5565" s="1" t="s">
        <v>13</v>
      </c>
    </row>
    <row r="5566" spans="1:6" ht="30" customHeight="1" x14ac:dyDescent="0.25">
      <c r="A5566" s="1" t="s">
        <v>11126</v>
      </c>
      <c r="B5566" s="1" t="str">
        <f>"9781118232927"</f>
        <v>9781118232927</v>
      </c>
      <c r="C5566" s="1" t="s">
        <v>65</v>
      </c>
      <c r="D5566" s="2">
        <v>42249</v>
      </c>
      <c r="E5566" s="1" t="s">
        <v>11127</v>
      </c>
      <c r="F5566" s="1" t="s">
        <v>13</v>
      </c>
    </row>
    <row r="5567" spans="1:6" ht="30" customHeight="1" x14ac:dyDescent="0.25">
      <c r="A5567" s="1" t="s">
        <v>11128</v>
      </c>
      <c r="B5567" s="1" t="str">
        <f>"9781118271902"</f>
        <v>9781118271902</v>
      </c>
      <c r="C5567" s="1" t="s">
        <v>11</v>
      </c>
      <c r="D5567" s="2">
        <v>41008</v>
      </c>
      <c r="E5567" s="1" t="s">
        <v>11129</v>
      </c>
      <c r="F5567" s="1" t="s">
        <v>13</v>
      </c>
    </row>
    <row r="5568" spans="1:6" ht="30" customHeight="1" x14ac:dyDescent="0.25">
      <c r="A5568" s="1" t="s">
        <v>11130</v>
      </c>
      <c r="B5568" s="1" t="str">
        <f>"9781118275412"</f>
        <v>9781118275412</v>
      </c>
      <c r="C5568" s="1" t="s">
        <v>11</v>
      </c>
      <c r="D5568" s="2">
        <v>41037</v>
      </c>
      <c r="E5568" s="1" t="s">
        <v>11131</v>
      </c>
      <c r="F5568" s="1" t="s">
        <v>13</v>
      </c>
    </row>
    <row r="5569" spans="1:6" ht="30" customHeight="1" x14ac:dyDescent="0.25">
      <c r="A5569" s="1" t="s">
        <v>11132</v>
      </c>
      <c r="B5569" s="1" t="str">
        <f>"9780813551074"</f>
        <v>9780813551074</v>
      </c>
      <c r="C5569" s="1" t="s">
        <v>3656</v>
      </c>
      <c r="D5569" s="2">
        <v>40648</v>
      </c>
      <c r="E5569" s="1" t="s">
        <v>11133</v>
      </c>
      <c r="F5569" s="1" t="s">
        <v>13</v>
      </c>
    </row>
    <row r="5570" spans="1:6" ht="30" customHeight="1" x14ac:dyDescent="0.25">
      <c r="A5570" s="1" t="s">
        <v>11134</v>
      </c>
      <c r="B5570" s="1" t="str">
        <f>"9781118221228"</f>
        <v>9781118221228</v>
      </c>
      <c r="C5570" s="1" t="s">
        <v>65</v>
      </c>
      <c r="D5570" s="2">
        <v>40933</v>
      </c>
      <c r="E5570" s="1" t="s">
        <v>11135</v>
      </c>
      <c r="F5570" s="1" t="s">
        <v>13</v>
      </c>
    </row>
    <row r="5571" spans="1:6" ht="30" customHeight="1" x14ac:dyDescent="0.25">
      <c r="A5571" s="1" t="s">
        <v>11136</v>
      </c>
      <c r="B5571" s="1" t="str">
        <f>"9780470975121"</f>
        <v>9780470975121</v>
      </c>
      <c r="C5571" s="1" t="s">
        <v>65</v>
      </c>
      <c r="D5571" s="2">
        <v>40932</v>
      </c>
      <c r="E5571" s="1" t="s">
        <v>11137</v>
      </c>
      <c r="F5571" s="1" t="s">
        <v>13</v>
      </c>
    </row>
    <row r="5572" spans="1:6" ht="30" customHeight="1" x14ac:dyDescent="0.25">
      <c r="A5572" s="1" t="s">
        <v>11138</v>
      </c>
      <c r="B5572" s="1" t="str">
        <f>"9781119949862"</f>
        <v>9781119949862</v>
      </c>
      <c r="C5572" s="1" t="s">
        <v>11</v>
      </c>
      <c r="D5572" s="2">
        <v>40932</v>
      </c>
      <c r="E5572" s="1" t="s">
        <v>11139</v>
      </c>
      <c r="F5572" s="1" t="s">
        <v>2897</v>
      </c>
    </row>
    <row r="5573" spans="1:6" ht="30" customHeight="1" x14ac:dyDescent="0.25">
      <c r="A5573" s="1" t="s">
        <v>11140</v>
      </c>
      <c r="B5573" s="1" t="str">
        <f>"9781444345261"</f>
        <v>9781444345261</v>
      </c>
      <c r="C5573" s="1" t="s">
        <v>11</v>
      </c>
      <c r="D5573" s="2">
        <v>40932</v>
      </c>
      <c r="E5573" s="1" t="s">
        <v>11141</v>
      </c>
      <c r="F5573" s="1" t="s">
        <v>13</v>
      </c>
    </row>
    <row r="5574" spans="1:6" ht="30" customHeight="1" x14ac:dyDescent="0.25">
      <c r="A5574" s="1" t="s">
        <v>11142</v>
      </c>
      <c r="B5574" s="1" t="str">
        <f>"9780813551029"</f>
        <v>9780813551029</v>
      </c>
      <c r="C5574" s="1" t="s">
        <v>3656</v>
      </c>
      <c r="D5574" s="2">
        <v>40739</v>
      </c>
      <c r="E5574" s="1" t="s">
        <v>11143</v>
      </c>
      <c r="F5574" s="1" t="s">
        <v>13</v>
      </c>
    </row>
    <row r="5575" spans="1:6" ht="30" customHeight="1" x14ac:dyDescent="0.25">
      <c r="A5575" s="1" t="s">
        <v>11144</v>
      </c>
      <c r="B5575" s="1" t="str">
        <f>"9780470979693"</f>
        <v>9780470979693</v>
      </c>
      <c r="C5575" s="1" t="s">
        <v>65</v>
      </c>
      <c r="D5575" s="2">
        <v>40933</v>
      </c>
      <c r="E5575" s="1" t="s">
        <v>11145</v>
      </c>
      <c r="F5575" s="1" t="s">
        <v>268</v>
      </c>
    </row>
    <row r="5576" spans="1:6" ht="30" customHeight="1" x14ac:dyDescent="0.25">
      <c r="A5576" s="1" t="s">
        <v>11146</v>
      </c>
      <c r="B5576" s="1" t="str">
        <f>"9780765708762"</f>
        <v>9780765708762</v>
      </c>
      <c r="C5576" s="1" t="s">
        <v>6903</v>
      </c>
      <c r="D5576" s="2">
        <v>40899</v>
      </c>
      <c r="E5576" s="1" t="s">
        <v>8421</v>
      </c>
      <c r="F5576" s="1" t="s">
        <v>13</v>
      </c>
    </row>
    <row r="5577" spans="1:6" ht="30" customHeight="1" x14ac:dyDescent="0.25">
      <c r="A5577" s="1" t="s">
        <v>11147</v>
      </c>
      <c r="B5577" s="1" t="str">
        <f>"9781118168653"</f>
        <v>9781118168653</v>
      </c>
      <c r="C5577" s="1" t="s">
        <v>65</v>
      </c>
      <c r="D5577" s="2">
        <v>40939</v>
      </c>
      <c r="E5577" s="1" t="s">
        <v>11148</v>
      </c>
      <c r="F5577" s="1" t="s">
        <v>13</v>
      </c>
    </row>
    <row r="5578" spans="1:6" ht="30" customHeight="1" x14ac:dyDescent="0.25">
      <c r="A5578" s="1" t="s">
        <v>11149</v>
      </c>
      <c r="B5578" s="1" t="str">
        <f>"9781119953111"</f>
        <v>9781119953111</v>
      </c>
      <c r="C5578" s="1" t="s">
        <v>11</v>
      </c>
      <c r="D5578" s="2">
        <v>40938</v>
      </c>
      <c r="E5578" s="1" t="s">
        <v>11150</v>
      </c>
      <c r="F5578" s="1" t="s">
        <v>13</v>
      </c>
    </row>
    <row r="5579" spans="1:6" ht="30" customHeight="1" x14ac:dyDescent="0.25">
      <c r="A5579" s="1" t="s">
        <v>11151</v>
      </c>
      <c r="B5579" s="1" t="str">
        <f>"9781119953654"</f>
        <v>9781119953654</v>
      </c>
      <c r="C5579" s="1" t="s">
        <v>11</v>
      </c>
      <c r="D5579" s="2">
        <v>40940</v>
      </c>
      <c r="E5579" s="1" t="s">
        <v>11152</v>
      </c>
      <c r="F5579" s="1" t="s">
        <v>13</v>
      </c>
    </row>
    <row r="5580" spans="1:6" ht="30" customHeight="1" x14ac:dyDescent="0.25">
      <c r="A5580" s="1" t="s">
        <v>11153</v>
      </c>
      <c r="B5580" s="1" t="str">
        <f>"9783527644797"</f>
        <v>9783527644797</v>
      </c>
      <c r="C5580" s="1" t="s">
        <v>65</v>
      </c>
      <c r="D5580" s="2">
        <v>40892</v>
      </c>
      <c r="E5580" s="1" t="s">
        <v>11154</v>
      </c>
      <c r="F5580" s="1" t="s">
        <v>137</v>
      </c>
    </row>
    <row r="5581" spans="1:6" ht="30" customHeight="1" x14ac:dyDescent="0.25">
      <c r="A5581" s="1" t="s">
        <v>11155</v>
      </c>
      <c r="B5581" s="1" t="str">
        <f>"9781439907009"</f>
        <v>9781439907009</v>
      </c>
      <c r="C5581" s="1" t="s">
        <v>3205</v>
      </c>
      <c r="D5581" s="2">
        <v>40452</v>
      </c>
      <c r="E5581" s="1" t="s">
        <v>11156</v>
      </c>
      <c r="F5581" s="1" t="s">
        <v>13</v>
      </c>
    </row>
    <row r="5582" spans="1:6" ht="30" customHeight="1" x14ac:dyDescent="0.25">
      <c r="A5582" s="1" t="s">
        <v>11157</v>
      </c>
      <c r="B5582" s="1" t="str">
        <f>"9780813550855"</f>
        <v>9780813550855</v>
      </c>
      <c r="C5582" s="1" t="s">
        <v>3656</v>
      </c>
      <c r="D5582" s="2">
        <v>40744</v>
      </c>
      <c r="E5582" s="1" t="s">
        <v>11158</v>
      </c>
      <c r="F5582" s="1" t="s">
        <v>30</v>
      </c>
    </row>
    <row r="5583" spans="1:6" ht="30" customHeight="1" x14ac:dyDescent="0.25">
      <c r="A5583" s="1" t="s">
        <v>11159</v>
      </c>
      <c r="B5583" s="1" t="str">
        <f>"9780813552019"</f>
        <v>9780813552019</v>
      </c>
      <c r="C5583" s="1" t="s">
        <v>3656</v>
      </c>
      <c r="D5583" s="2">
        <v>40770</v>
      </c>
      <c r="E5583" s="1" t="s">
        <v>11160</v>
      </c>
      <c r="F5583" s="1" t="s">
        <v>87</v>
      </c>
    </row>
    <row r="5584" spans="1:6" ht="30" customHeight="1" x14ac:dyDescent="0.25">
      <c r="A5584" s="1" t="s">
        <v>11161</v>
      </c>
      <c r="B5584" s="1" t="str">
        <f>"9780813552026"</f>
        <v>9780813552026</v>
      </c>
      <c r="C5584" s="1" t="s">
        <v>3656</v>
      </c>
      <c r="D5584" s="2">
        <v>40801</v>
      </c>
      <c r="E5584" s="1" t="s">
        <v>11162</v>
      </c>
      <c r="F5584" s="1" t="s">
        <v>30</v>
      </c>
    </row>
    <row r="5585" spans="1:6" ht="30" customHeight="1" x14ac:dyDescent="0.25">
      <c r="A5585" s="1" t="s">
        <v>11163</v>
      </c>
      <c r="B5585" s="1" t="str">
        <f>"9781119945949"</f>
        <v>9781119945949</v>
      </c>
      <c r="C5585" s="1" t="s">
        <v>11</v>
      </c>
      <c r="D5585" s="2">
        <v>40932</v>
      </c>
      <c r="E5585" s="1" t="s">
        <v>11164</v>
      </c>
      <c r="F5585" s="1" t="s">
        <v>7304</v>
      </c>
    </row>
    <row r="5586" spans="1:6" ht="30" customHeight="1" x14ac:dyDescent="0.25">
      <c r="A5586" s="1" t="s">
        <v>11165</v>
      </c>
      <c r="B5586" s="1" t="str">
        <f>"9780123850843"</f>
        <v>9780123850843</v>
      </c>
      <c r="C5586" s="1" t="s">
        <v>900</v>
      </c>
      <c r="D5586" s="2">
        <v>40933</v>
      </c>
      <c r="E5586" s="1" t="s">
        <v>11166</v>
      </c>
      <c r="F5586" s="1" t="s">
        <v>13</v>
      </c>
    </row>
    <row r="5587" spans="1:6" ht="30" customHeight="1" x14ac:dyDescent="0.25">
      <c r="A5587" s="1" t="s">
        <v>11167</v>
      </c>
      <c r="B5587" s="1" t="str">
        <f>"9780813552224"</f>
        <v>9780813552224</v>
      </c>
      <c r="C5587" s="1" t="s">
        <v>3656</v>
      </c>
      <c r="D5587" s="2">
        <v>41773</v>
      </c>
      <c r="E5587" s="1" t="s">
        <v>11168</v>
      </c>
      <c r="F5587" s="1" t="s">
        <v>148</v>
      </c>
    </row>
    <row r="5588" spans="1:6" ht="30" customHeight="1" x14ac:dyDescent="0.25">
      <c r="A5588" s="1" t="s">
        <v>11169</v>
      </c>
      <c r="B5588" s="1" t="str">
        <f>"9780765708663"</f>
        <v>9780765708663</v>
      </c>
      <c r="C5588" s="1" t="s">
        <v>6903</v>
      </c>
      <c r="D5588" s="2">
        <v>40962</v>
      </c>
      <c r="E5588" s="1" t="s">
        <v>11170</v>
      </c>
      <c r="F5588" s="1" t="s">
        <v>13</v>
      </c>
    </row>
    <row r="5589" spans="1:6" ht="30" customHeight="1" x14ac:dyDescent="0.25">
      <c r="A5589" s="1" t="s">
        <v>11171</v>
      </c>
      <c r="B5589" s="1" t="str">
        <f>"9780520952171"</f>
        <v>9780520952171</v>
      </c>
      <c r="C5589" s="1" t="s">
        <v>818</v>
      </c>
      <c r="D5589" s="2">
        <v>41017</v>
      </c>
      <c r="E5589" s="1" t="s">
        <v>11172</v>
      </c>
      <c r="F5589" s="1" t="s">
        <v>200</v>
      </c>
    </row>
    <row r="5590" spans="1:6" ht="30" customHeight="1" x14ac:dyDescent="0.25">
      <c r="A5590" s="1" t="s">
        <v>11173</v>
      </c>
      <c r="B5590" s="1" t="str">
        <f>"9781444361100"</f>
        <v>9781444361100</v>
      </c>
      <c r="C5590" s="1" t="s">
        <v>11</v>
      </c>
      <c r="D5590" s="2">
        <v>40938</v>
      </c>
      <c r="E5590" s="1" t="s">
        <v>11174</v>
      </c>
      <c r="F5590" s="1" t="s">
        <v>13</v>
      </c>
    </row>
    <row r="5591" spans="1:6" ht="30" customHeight="1" x14ac:dyDescent="0.25">
      <c r="A5591" s="1" t="s">
        <v>11175</v>
      </c>
      <c r="B5591" s="1" t="str">
        <f>"9781444398861"</f>
        <v>9781444398861</v>
      </c>
      <c r="C5591" s="1" t="s">
        <v>11</v>
      </c>
      <c r="D5591" s="2">
        <v>40945</v>
      </c>
      <c r="E5591" s="1" t="s">
        <v>11176</v>
      </c>
      <c r="F5591" s="1" t="s">
        <v>13</v>
      </c>
    </row>
    <row r="5592" spans="1:6" ht="30" customHeight="1" x14ac:dyDescent="0.25">
      <c r="A5592" s="1" t="s">
        <v>11177</v>
      </c>
      <c r="B5592" s="1" t="str">
        <f>"9781119963684"</f>
        <v>9781119963684</v>
      </c>
      <c r="C5592" s="1" t="s">
        <v>11</v>
      </c>
      <c r="D5592" s="2">
        <v>40947</v>
      </c>
      <c r="E5592" s="1" t="s">
        <v>11178</v>
      </c>
      <c r="F5592" s="1" t="s">
        <v>13</v>
      </c>
    </row>
    <row r="5593" spans="1:6" ht="30" customHeight="1" x14ac:dyDescent="0.25">
      <c r="A5593" s="1" t="s">
        <v>11179</v>
      </c>
      <c r="B5593" s="1" t="str">
        <f>"9781444355437"</f>
        <v>9781444355437</v>
      </c>
      <c r="C5593" s="1" t="s">
        <v>11</v>
      </c>
      <c r="D5593" s="2">
        <v>40952</v>
      </c>
      <c r="E5593" s="1" t="s">
        <v>11180</v>
      </c>
      <c r="F5593" s="1" t="s">
        <v>137</v>
      </c>
    </row>
    <row r="5594" spans="1:6" ht="30" customHeight="1" x14ac:dyDescent="0.25">
      <c r="A5594" s="1" t="s">
        <v>11181</v>
      </c>
      <c r="B5594" s="1" t="str">
        <f>"9781118220771"</f>
        <v>9781118220771</v>
      </c>
      <c r="C5594" s="1" t="s">
        <v>65</v>
      </c>
      <c r="D5594" s="2">
        <v>40990</v>
      </c>
      <c r="E5594" s="1" t="s">
        <v>11182</v>
      </c>
      <c r="F5594" s="1" t="s">
        <v>13</v>
      </c>
    </row>
    <row r="5595" spans="1:6" ht="30" customHeight="1" x14ac:dyDescent="0.25">
      <c r="A5595" s="1" t="s">
        <v>11183</v>
      </c>
      <c r="B5595" s="1" t="str">
        <f>"9781118221341"</f>
        <v>9781118221341</v>
      </c>
      <c r="C5595" s="1" t="s">
        <v>65</v>
      </c>
      <c r="D5595" s="2">
        <v>41172</v>
      </c>
      <c r="E5595" s="1" t="s">
        <v>11184</v>
      </c>
      <c r="F5595" s="1" t="s">
        <v>95</v>
      </c>
    </row>
    <row r="5596" spans="1:6" ht="30" customHeight="1" x14ac:dyDescent="0.25">
      <c r="A5596" s="1" t="s">
        <v>11185</v>
      </c>
      <c r="B5596" s="1" t="str">
        <f>"9781118223093"</f>
        <v>9781118223093</v>
      </c>
      <c r="C5596" s="1" t="s">
        <v>65</v>
      </c>
      <c r="D5596" s="2">
        <v>41192</v>
      </c>
      <c r="E5596" s="1" t="s">
        <v>11186</v>
      </c>
      <c r="F5596" s="1" t="s">
        <v>30</v>
      </c>
    </row>
    <row r="5597" spans="1:6" ht="30" customHeight="1" x14ac:dyDescent="0.25">
      <c r="A5597" s="1" t="s">
        <v>11187</v>
      </c>
      <c r="B5597" s="1" t="str">
        <f>"9781118312490"</f>
        <v>9781118312490</v>
      </c>
      <c r="C5597" s="1" t="s">
        <v>65</v>
      </c>
      <c r="D5597" s="2">
        <v>41277</v>
      </c>
      <c r="E5597" s="1" t="s">
        <v>11188</v>
      </c>
      <c r="F5597" s="1" t="s">
        <v>356</v>
      </c>
    </row>
    <row r="5598" spans="1:6" ht="30" customHeight="1" x14ac:dyDescent="0.25">
      <c r="A5598" s="1" t="s">
        <v>11189</v>
      </c>
      <c r="B5598" s="1" t="str">
        <f>"9781118310298"</f>
        <v>9781118310298</v>
      </c>
      <c r="C5598" s="1" t="s">
        <v>11</v>
      </c>
      <c r="D5598" s="2">
        <v>41043</v>
      </c>
      <c r="E5598" s="1" t="s">
        <v>11190</v>
      </c>
      <c r="F5598" s="1" t="s">
        <v>13</v>
      </c>
    </row>
    <row r="5599" spans="1:6" ht="30" customHeight="1" x14ac:dyDescent="0.25">
      <c r="A5599" s="1" t="s">
        <v>11191</v>
      </c>
      <c r="B5599" s="1" t="str">
        <f>"9781118313336"</f>
        <v>9781118313336</v>
      </c>
      <c r="C5599" s="1" t="s">
        <v>11</v>
      </c>
      <c r="D5599" s="2">
        <v>41039</v>
      </c>
      <c r="E5599" s="1" t="s">
        <v>11192</v>
      </c>
      <c r="F5599" s="1" t="s">
        <v>13</v>
      </c>
    </row>
    <row r="5600" spans="1:6" ht="30" customHeight="1" x14ac:dyDescent="0.25">
      <c r="A5600" s="1" t="s">
        <v>11193</v>
      </c>
      <c r="B5600" s="1" t="str">
        <f>"9781118371190"</f>
        <v>9781118371190</v>
      </c>
      <c r="C5600" s="1" t="s">
        <v>11</v>
      </c>
      <c r="D5600" s="2">
        <v>41003</v>
      </c>
      <c r="E5600" s="1" t="s">
        <v>11194</v>
      </c>
      <c r="F5600" s="1" t="s">
        <v>13</v>
      </c>
    </row>
    <row r="5601" spans="1:6" ht="30" customHeight="1" x14ac:dyDescent="0.25">
      <c r="A5601" s="1" t="s">
        <v>11195</v>
      </c>
      <c r="B5601" s="1" t="str">
        <f>"9783527651221"</f>
        <v>9783527651221</v>
      </c>
      <c r="C5601" s="1" t="s">
        <v>65</v>
      </c>
      <c r="D5601" s="2">
        <v>41038</v>
      </c>
      <c r="E5601" s="1" t="s">
        <v>11196</v>
      </c>
      <c r="F5601" s="1" t="s">
        <v>359</v>
      </c>
    </row>
    <row r="5602" spans="1:6" ht="30" customHeight="1" x14ac:dyDescent="0.25">
      <c r="A5602" s="1" t="s">
        <v>11197</v>
      </c>
      <c r="B5602" s="1" t="str">
        <f>"9781907830006"</f>
        <v>9781907830006</v>
      </c>
      <c r="C5602" s="1" t="s">
        <v>11198</v>
      </c>
      <c r="D5602" s="2">
        <v>38978</v>
      </c>
      <c r="E5602" s="1" t="s">
        <v>11199</v>
      </c>
      <c r="F5602" s="1" t="s">
        <v>13</v>
      </c>
    </row>
    <row r="5603" spans="1:6" ht="30" customHeight="1" x14ac:dyDescent="0.25">
      <c r="A5603" s="1" t="s">
        <v>11200</v>
      </c>
      <c r="B5603" s="1" t="str">
        <f>"9781907830020"</f>
        <v>9781907830020</v>
      </c>
      <c r="C5603" s="1" t="s">
        <v>11198</v>
      </c>
      <c r="D5603" s="2">
        <v>40742</v>
      </c>
      <c r="E5603" s="1" t="s">
        <v>11201</v>
      </c>
      <c r="F5603" s="1" t="s">
        <v>13</v>
      </c>
    </row>
    <row r="5604" spans="1:6" ht="30" customHeight="1" x14ac:dyDescent="0.25">
      <c r="A5604" s="1" t="s">
        <v>11202</v>
      </c>
      <c r="B5604" s="1" t="str">
        <f>"9781907830037"</f>
        <v>9781907830037</v>
      </c>
      <c r="C5604" s="1" t="s">
        <v>11198</v>
      </c>
      <c r="D5604" s="2">
        <v>40189</v>
      </c>
      <c r="E5604" s="1" t="s">
        <v>11203</v>
      </c>
      <c r="F5604" s="1" t="s">
        <v>13</v>
      </c>
    </row>
    <row r="5605" spans="1:6" ht="30" customHeight="1" x14ac:dyDescent="0.25">
      <c r="A5605" s="1" t="s">
        <v>11204</v>
      </c>
      <c r="B5605" s="1" t="str">
        <f>"9781907830044"</f>
        <v>9781907830044</v>
      </c>
      <c r="C5605" s="1" t="s">
        <v>11198</v>
      </c>
      <c r="D5605" s="2">
        <v>39675</v>
      </c>
      <c r="E5605" s="1" t="s">
        <v>11205</v>
      </c>
      <c r="F5605" s="1" t="s">
        <v>13</v>
      </c>
    </row>
    <row r="5606" spans="1:6" ht="30" customHeight="1" x14ac:dyDescent="0.25">
      <c r="A5606" s="1" t="s">
        <v>11206</v>
      </c>
      <c r="B5606" s="1" t="str">
        <f>"9781907830051"</f>
        <v>9781907830051</v>
      </c>
      <c r="C5606" s="1" t="s">
        <v>11198</v>
      </c>
      <c r="D5606" s="2">
        <v>39554</v>
      </c>
      <c r="E5606" s="1" t="s">
        <v>11207</v>
      </c>
      <c r="F5606" s="1" t="s">
        <v>214</v>
      </c>
    </row>
    <row r="5607" spans="1:6" ht="30" customHeight="1" x14ac:dyDescent="0.25">
      <c r="A5607" s="1" t="s">
        <v>11208</v>
      </c>
      <c r="B5607" s="1" t="str">
        <f>"9781907830068"</f>
        <v>9781907830068</v>
      </c>
      <c r="C5607" s="1" t="s">
        <v>11198</v>
      </c>
      <c r="D5607" s="2">
        <v>39295</v>
      </c>
      <c r="E5607" s="1" t="s">
        <v>11209</v>
      </c>
      <c r="F5607" s="1" t="s">
        <v>5958</v>
      </c>
    </row>
    <row r="5608" spans="1:6" ht="30" customHeight="1" x14ac:dyDescent="0.25">
      <c r="A5608" s="1" t="s">
        <v>11210</v>
      </c>
      <c r="B5608" s="1" t="str">
        <f>"9781907830075"</f>
        <v>9781907830075</v>
      </c>
      <c r="C5608" s="1" t="s">
        <v>11198</v>
      </c>
      <c r="D5608" s="2">
        <v>39989</v>
      </c>
      <c r="E5608" s="1" t="s">
        <v>11211</v>
      </c>
      <c r="F5608" s="1" t="s">
        <v>13</v>
      </c>
    </row>
    <row r="5609" spans="1:6" ht="30" customHeight="1" x14ac:dyDescent="0.25">
      <c r="A5609" s="1" t="s">
        <v>11212</v>
      </c>
      <c r="B5609" s="1" t="str">
        <f>"9781907830082"</f>
        <v>9781907830082</v>
      </c>
      <c r="C5609" s="1" t="s">
        <v>11198</v>
      </c>
      <c r="D5609" s="2">
        <v>39447</v>
      </c>
      <c r="E5609" s="1" t="s">
        <v>11213</v>
      </c>
      <c r="F5609" s="1" t="s">
        <v>13</v>
      </c>
    </row>
    <row r="5610" spans="1:6" ht="30" customHeight="1" x14ac:dyDescent="0.25">
      <c r="A5610" s="1" t="s">
        <v>11214</v>
      </c>
      <c r="B5610" s="1" t="str">
        <f>"9781907830099"</f>
        <v>9781907830099</v>
      </c>
      <c r="C5610" s="1" t="s">
        <v>11198</v>
      </c>
      <c r="D5610" s="2">
        <v>39402</v>
      </c>
      <c r="E5610" s="1" t="s">
        <v>11215</v>
      </c>
      <c r="F5610" s="1" t="s">
        <v>11216</v>
      </c>
    </row>
    <row r="5611" spans="1:6" ht="30" customHeight="1" x14ac:dyDescent="0.25">
      <c r="A5611" s="1" t="s">
        <v>11217</v>
      </c>
      <c r="B5611" s="1" t="str">
        <f>"9781907830112"</f>
        <v>9781907830112</v>
      </c>
      <c r="C5611" s="1" t="s">
        <v>11198</v>
      </c>
      <c r="D5611" s="2">
        <v>39326</v>
      </c>
      <c r="E5611" s="1" t="s">
        <v>11218</v>
      </c>
      <c r="F5611" s="1" t="s">
        <v>13</v>
      </c>
    </row>
    <row r="5612" spans="1:6" ht="30" customHeight="1" x14ac:dyDescent="0.25">
      <c r="A5612" s="1" t="s">
        <v>11219</v>
      </c>
      <c r="B5612" s="1" t="str">
        <f>"9781907830129"</f>
        <v>9781907830129</v>
      </c>
      <c r="C5612" s="1" t="s">
        <v>11198</v>
      </c>
      <c r="D5612" s="2">
        <v>39094</v>
      </c>
      <c r="E5612" s="1" t="s">
        <v>11220</v>
      </c>
      <c r="F5612" s="1" t="s">
        <v>30</v>
      </c>
    </row>
    <row r="5613" spans="1:6" ht="30" customHeight="1" x14ac:dyDescent="0.25">
      <c r="A5613" s="1" t="s">
        <v>11221</v>
      </c>
      <c r="B5613" s="1" t="str">
        <f>"9781907830136"</f>
        <v>9781907830136</v>
      </c>
      <c r="C5613" s="1" t="s">
        <v>11198</v>
      </c>
      <c r="D5613" s="2">
        <v>39055</v>
      </c>
      <c r="E5613" s="1" t="s">
        <v>11222</v>
      </c>
      <c r="F5613" s="1" t="s">
        <v>13</v>
      </c>
    </row>
    <row r="5614" spans="1:6" ht="30" customHeight="1" x14ac:dyDescent="0.25">
      <c r="A5614" s="1" t="s">
        <v>11223</v>
      </c>
      <c r="B5614" s="1" t="str">
        <f>"9781907830341"</f>
        <v>9781907830341</v>
      </c>
      <c r="C5614" s="1" t="s">
        <v>11198</v>
      </c>
      <c r="D5614" s="2">
        <v>39588</v>
      </c>
      <c r="E5614" s="1" t="s">
        <v>11222</v>
      </c>
      <c r="F5614" s="1" t="s">
        <v>13</v>
      </c>
    </row>
    <row r="5615" spans="1:6" ht="30" customHeight="1" x14ac:dyDescent="0.25">
      <c r="A5615" s="1" t="s">
        <v>11224</v>
      </c>
      <c r="B5615" s="1" t="str">
        <f>"9781907830471"</f>
        <v>9781907830471</v>
      </c>
      <c r="C5615" s="1" t="s">
        <v>11198</v>
      </c>
      <c r="D5615" s="2">
        <v>40039</v>
      </c>
      <c r="E5615" s="1" t="s">
        <v>11222</v>
      </c>
      <c r="F5615" s="1" t="s">
        <v>13</v>
      </c>
    </row>
    <row r="5616" spans="1:6" ht="30" customHeight="1" x14ac:dyDescent="0.25">
      <c r="A5616" s="1" t="s">
        <v>11225</v>
      </c>
      <c r="B5616" s="1" t="str">
        <f>"9781907830617"</f>
        <v>9781907830617</v>
      </c>
      <c r="C5616" s="1" t="s">
        <v>11198</v>
      </c>
      <c r="D5616" s="2">
        <v>40833</v>
      </c>
      <c r="E5616" s="1" t="s">
        <v>11222</v>
      </c>
      <c r="F5616" s="1" t="s">
        <v>11226</v>
      </c>
    </row>
    <row r="5617" spans="1:6" ht="30" customHeight="1" x14ac:dyDescent="0.25">
      <c r="A5617" s="1" t="s">
        <v>11227</v>
      </c>
      <c r="B5617" s="1" t="str">
        <f>"9781907830150"</f>
        <v>9781907830150</v>
      </c>
      <c r="C5617" s="1" t="s">
        <v>11198</v>
      </c>
      <c r="D5617" s="2">
        <v>39599</v>
      </c>
      <c r="E5617" s="1" t="s">
        <v>11228</v>
      </c>
      <c r="F5617" s="1" t="s">
        <v>13</v>
      </c>
    </row>
    <row r="5618" spans="1:6" ht="30" customHeight="1" x14ac:dyDescent="0.25">
      <c r="A5618" s="1" t="s">
        <v>11229</v>
      </c>
      <c r="B5618" s="1" t="str">
        <f>"9781907830167"</f>
        <v>9781907830167</v>
      </c>
      <c r="C5618" s="1" t="s">
        <v>11198</v>
      </c>
      <c r="D5618" s="2">
        <v>39782</v>
      </c>
      <c r="E5618" s="1" t="s">
        <v>11230</v>
      </c>
      <c r="F5618" s="1" t="s">
        <v>13</v>
      </c>
    </row>
    <row r="5619" spans="1:6" ht="30" customHeight="1" x14ac:dyDescent="0.25">
      <c r="A5619" s="1" t="s">
        <v>11231</v>
      </c>
      <c r="B5619" s="1" t="str">
        <f>"9781907830174"</f>
        <v>9781907830174</v>
      </c>
      <c r="C5619" s="1" t="s">
        <v>11198</v>
      </c>
      <c r="D5619" s="2">
        <v>40025</v>
      </c>
      <c r="E5619" s="1" t="s">
        <v>11232</v>
      </c>
      <c r="F5619" s="1" t="s">
        <v>13</v>
      </c>
    </row>
    <row r="5620" spans="1:6" ht="30" customHeight="1" x14ac:dyDescent="0.25">
      <c r="A5620" s="1" t="s">
        <v>11233</v>
      </c>
      <c r="B5620" s="1" t="str">
        <f>"9781907830181"</f>
        <v>9781907830181</v>
      </c>
      <c r="C5620" s="1" t="s">
        <v>11198</v>
      </c>
      <c r="D5620" s="2">
        <v>40869</v>
      </c>
      <c r="E5620" s="1" t="s">
        <v>11234</v>
      </c>
      <c r="F5620" s="1" t="s">
        <v>13</v>
      </c>
    </row>
    <row r="5621" spans="1:6" ht="30" customHeight="1" x14ac:dyDescent="0.25">
      <c r="A5621" s="1" t="s">
        <v>11235</v>
      </c>
      <c r="B5621" s="1" t="str">
        <f>"9781907830204"</f>
        <v>9781907830204</v>
      </c>
      <c r="C5621" s="1" t="s">
        <v>11198</v>
      </c>
      <c r="D5621" s="2">
        <v>39873</v>
      </c>
      <c r="E5621" s="1" t="s">
        <v>11236</v>
      </c>
      <c r="F5621" s="1" t="s">
        <v>30</v>
      </c>
    </row>
    <row r="5622" spans="1:6" ht="30" customHeight="1" x14ac:dyDescent="0.25">
      <c r="A5622" s="1" t="s">
        <v>11237</v>
      </c>
      <c r="B5622" s="1" t="str">
        <f>"9781907830211"</f>
        <v>9781907830211</v>
      </c>
      <c r="C5622" s="1" t="s">
        <v>11198</v>
      </c>
      <c r="D5622" s="2">
        <v>40014</v>
      </c>
      <c r="E5622" s="1" t="s">
        <v>11218</v>
      </c>
      <c r="F5622" s="1" t="s">
        <v>3075</v>
      </c>
    </row>
    <row r="5623" spans="1:6" ht="30" customHeight="1" x14ac:dyDescent="0.25">
      <c r="A5623" s="1" t="s">
        <v>11238</v>
      </c>
      <c r="B5623" s="1" t="str">
        <f>"9781907830228"</f>
        <v>9781907830228</v>
      </c>
      <c r="C5623" s="1" t="s">
        <v>11198</v>
      </c>
      <c r="D5623" s="2">
        <v>39083</v>
      </c>
      <c r="E5623" s="1" t="s">
        <v>11239</v>
      </c>
      <c r="F5623" s="1" t="s">
        <v>13</v>
      </c>
    </row>
    <row r="5624" spans="1:6" ht="30" customHeight="1" x14ac:dyDescent="0.25">
      <c r="A5624" s="1" t="s">
        <v>11240</v>
      </c>
      <c r="B5624" s="1" t="str">
        <f>"9781907830235"</f>
        <v>9781907830235</v>
      </c>
      <c r="C5624" s="1" t="s">
        <v>11198</v>
      </c>
      <c r="D5624" s="2">
        <v>39715</v>
      </c>
      <c r="E5624" s="1" t="s">
        <v>11241</v>
      </c>
      <c r="F5624" s="1" t="s">
        <v>126</v>
      </c>
    </row>
    <row r="5625" spans="1:6" ht="30" customHeight="1" x14ac:dyDescent="0.25">
      <c r="A5625" s="1" t="s">
        <v>11242</v>
      </c>
      <c r="B5625" s="1" t="str">
        <f>"9781907830266"</f>
        <v>9781907830266</v>
      </c>
      <c r="C5625" s="1" t="s">
        <v>11198</v>
      </c>
      <c r="D5625" s="2">
        <v>39629</v>
      </c>
      <c r="E5625" s="1" t="s">
        <v>11243</v>
      </c>
      <c r="F5625" s="1" t="s">
        <v>356</v>
      </c>
    </row>
    <row r="5626" spans="1:6" ht="30" customHeight="1" x14ac:dyDescent="0.25">
      <c r="A5626" s="1" t="s">
        <v>11244</v>
      </c>
      <c r="B5626" s="1" t="str">
        <f>"9781907830273"</f>
        <v>9781907830273</v>
      </c>
      <c r="C5626" s="1" t="s">
        <v>11198</v>
      </c>
      <c r="D5626" s="2">
        <v>40381</v>
      </c>
      <c r="E5626" s="1" t="s">
        <v>11245</v>
      </c>
      <c r="F5626" s="1" t="s">
        <v>13</v>
      </c>
    </row>
    <row r="5627" spans="1:6" ht="30" customHeight="1" x14ac:dyDescent="0.25">
      <c r="A5627" s="1" t="s">
        <v>11246</v>
      </c>
      <c r="B5627" s="1" t="str">
        <f>"9781907830280"</f>
        <v>9781907830280</v>
      </c>
      <c r="C5627" s="1" t="s">
        <v>11198</v>
      </c>
      <c r="D5627" s="2">
        <v>39416</v>
      </c>
      <c r="E5627" s="1" t="s">
        <v>11247</v>
      </c>
      <c r="F5627" s="1" t="s">
        <v>13</v>
      </c>
    </row>
    <row r="5628" spans="1:6" ht="30" customHeight="1" x14ac:dyDescent="0.25">
      <c r="A5628" s="1" t="s">
        <v>11248</v>
      </c>
      <c r="B5628" s="1" t="str">
        <f>"9781907830297"</f>
        <v>9781907830297</v>
      </c>
      <c r="C5628" s="1" t="s">
        <v>11198</v>
      </c>
      <c r="D5628" s="2">
        <v>39708</v>
      </c>
      <c r="E5628" s="1" t="s">
        <v>11249</v>
      </c>
      <c r="F5628" s="1" t="s">
        <v>87</v>
      </c>
    </row>
    <row r="5629" spans="1:6" ht="30" customHeight="1" x14ac:dyDescent="0.25">
      <c r="A5629" s="1" t="s">
        <v>11250</v>
      </c>
      <c r="B5629" s="1" t="str">
        <f>"9781907830310"</f>
        <v>9781907830310</v>
      </c>
      <c r="C5629" s="1" t="s">
        <v>11198</v>
      </c>
      <c r="D5629" s="2">
        <v>40057</v>
      </c>
      <c r="E5629" s="1" t="s">
        <v>11251</v>
      </c>
      <c r="F5629" s="1" t="s">
        <v>126</v>
      </c>
    </row>
    <row r="5630" spans="1:6" ht="30" customHeight="1" x14ac:dyDescent="0.25">
      <c r="A5630" s="1" t="s">
        <v>11252</v>
      </c>
      <c r="B5630" s="1" t="str">
        <f>"9781907830358"</f>
        <v>9781907830358</v>
      </c>
      <c r="C5630" s="1" t="s">
        <v>11198</v>
      </c>
      <c r="D5630" s="2">
        <v>39629</v>
      </c>
      <c r="E5630" s="1" t="s">
        <v>11253</v>
      </c>
      <c r="F5630" s="1" t="s">
        <v>13</v>
      </c>
    </row>
    <row r="5631" spans="1:6" ht="30" customHeight="1" x14ac:dyDescent="0.25">
      <c r="A5631" s="1" t="s">
        <v>11254</v>
      </c>
      <c r="B5631" s="1" t="str">
        <f>"9781907830372"</f>
        <v>9781907830372</v>
      </c>
      <c r="C5631" s="1" t="s">
        <v>11198</v>
      </c>
      <c r="D5631" s="2">
        <v>39264</v>
      </c>
      <c r="E5631" s="1" t="s">
        <v>11255</v>
      </c>
      <c r="F5631" s="1" t="s">
        <v>11256</v>
      </c>
    </row>
    <row r="5632" spans="1:6" ht="30" customHeight="1" x14ac:dyDescent="0.25">
      <c r="A5632" s="1" t="s">
        <v>11257</v>
      </c>
      <c r="B5632" s="1" t="str">
        <f>"9781907830389"</f>
        <v>9781907830389</v>
      </c>
      <c r="C5632" s="1" t="s">
        <v>11198</v>
      </c>
      <c r="D5632" s="2">
        <v>39233</v>
      </c>
      <c r="E5632" s="1" t="s">
        <v>11258</v>
      </c>
      <c r="F5632" s="1" t="s">
        <v>13</v>
      </c>
    </row>
    <row r="5633" spans="1:6" ht="30" customHeight="1" x14ac:dyDescent="0.25">
      <c r="A5633" s="1" t="s">
        <v>11259</v>
      </c>
      <c r="B5633" s="1" t="str">
        <f>"9781907830396"</f>
        <v>9781907830396</v>
      </c>
      <c r="C5633" s="1" t="s">
        <v>11198</v>
      </c>
      <c r="D5633" s="2">
        <v>40254</v>
      </c>
      <c r="E5633" s="1" t="s">
        <v>11260</v>
      </c>
      <c r="F5633" s="1" t="s">
        <v>599</v>
      </c>
    </row>
    <row r="5634" spans="1:6" ht="30" customHeight="1" x14ac:dyDescent="0.25">
      <c r="A5634" s="1" t="s">
        <v>11261</v>
      </c>
      <c r="B5634" s="1" t="str">
        <f>"9781907830402"</f>
        <v>9781907830402</v>
      </c>
      <c r="C5634" s="1" t="s">
        <v>11198</v>
      </c>
      <c r="D5634" s="2">
        <v>40122</v>
      </c>
      <c r="E5634" s="1" t="s">
        <v>11262</v>
      </c>
      <c r="F5634" s="1" t="s">
        <v>13</v>
      </c>
    </row>
    <row r="5635" spans="1:6" ht="30" customHeight="1" x14ac:dyDescent="0.25">
      <c r="A5635" s="1" t="s">
        <v>11263</v>
      </c>
      <c r="B5635" s="1" t="str">
        <f>"9781907830419"</f>
        <v>9781907830419</v>
      </c>
      <c r="C5635" s="1" t="s">
        <v>11198</v>
      </c>
      <c r="D5635" s="2">
        <v>39384</v>
      </c>
      <c r="E5635" s="1" t="s">
        <v>11264</v>
      </c>
      <c r="F5635" s="1" t="s">
        <v>13</v>
      </c>
    </row>
    <row r="5636" spans="1:6" ht="30" customHeight="1" x14ac:dyDescent="0.25">
      <c r="A5636" s="1" t="s">
        <v>11265</v>
      </c>
      <c r="B5636" s="1" t="str">
        <f>"9781907830426"</f>
        <v>9781907830426</v>
      </c>
      <c r="C5636" s="1" t="s">
        <v>11198</v>
      </c>
      <c r="D5636" s="2">
        <v>40333</v>
      </c>
      <c r="E5636" s="1" t="s">
        <v>11266</v>
      </c>
      <c r="F5636" s="1" t="s">
        <v>13</v>
      </c>
    </row>
    <row r="5637" spans="1:6" ht="30" customHeight="1" x14ac:dyDescent="0.25">
      <c r="A5637" s="1" t="s">
        <v>11267</v>
      </c>
      <c r="B5637" s="1" t="str">
        <f>"9781907830433"</f>
        <v>9781907830433</v>
      </c>
      <c r="C5637" s="1" t="s">
        <v>11198</v>
      </c>
      <c r="D5637" s="2">
        <v>39264</v>
      </c>
      <c r="E5637" s="1" t="s">
        <v>11255</v>
      </c>
      <c r="F5637" s="1" t="s">
        <v>127</v>
      </c>
    </row>
    <row r="5638" spans="1:6" ht="30" customHeight="1" x14ac:dyDescent="0.25">
      <c r="A5638" s="1" t="s">
        <v>11268</v>
      </c>
      <c r="B5638" s="1" t="str">
        <f>"9781907830464"</f>
        <v>9781907830464</v>
      </c>
      <c r="C5638" s="1" t="s">
        <v>11198</v>
      </c>
      <c r="D5638" s="2">
        <v>39873</v>
      </c>
      <c r="E5638" s="1" t="s">
        <v>11205</v>
      </c>
      <c r="F5638" s="1" t="s">
        <v>13</v>
      </c>
    </row>
    <row r="5639" spans="1:6" ht="30" customHeight="1" x14ac:dyDescent="0.25">
      <c r="A5639" s="1" t="s">
        <v>11269</v>
      </c>
      <c r="B5639" s="1" t="str">
        <f>"9781907830518"</f>
        <v>9781907830518</v>
      </c>
      <c r="C5639" s="1" t="s">
        <v>11198</v>
      </c>
      <c r="D5639" s="2">
        <v>39873</v>
      </c>
      <c r="E5639" s="1" t="s">
        <v>11258</v>
      </c>
      <c r="F5639" s="1" t="s">
        <v>13</v>
      </c>
    </row>
    <row r="5640" spans="1:6" ht="30" customHeight="1" x14ac:dyDescent="0.25">
      <c r="A5640" s="1" t="s">
        <v>11270</v>
      </c>
      <c r="B5640" s="1" t="str">
        <f>"9781907830532"</f>
        <v>9781907830532</v>
      </c>
      <c r="C5640" s="1" t="s">
        <v>11198</v>
      </c>
      <c r="D5640" s="2">
        <v>40243</v>
      </c>
      <c r="E5640" s="1" t="s">
        <v>11205</v>
      </c>
      <c r="F5640" s="1" t="s">
        <v>13</v>
      </c>
    </row>
    <row r="5641" spans="1:6" ht="30" customHeight="1" x14ac:dyDescent="0.25">
      <c r="A5641" s="1" t="s">
        <v>11271</v>
      </c>
      <c r="B5641" s="1" t="str">
        <f>"9781907830549"</f>
        <v>9781907830549</v>
      </c>
      <c r="C5641" s="1" t="s">
        <v>11198</v>
      </c>
      <c r="D5641" s="2">
        <v>40773</v>
      </c>
      <c r="E5641" s="1" t="s">
        <v>11272</v>
      </c>
      <c r="F5641" s="1" t="s">
        <v>221</v>
      </c>
    </row>
    <row r="5642" spans="1:6" ht="30" customHeight="1" x14ac:dyDescent="0.25">
      <c r="A5642" s="1" t="s">
        <v>11273</v>
      </c>
      <c r="B5642" s="1" t="str">
        <f>"9781907830570"</f>
        <v>9781907830570</v>
      </c>
      <c r="C5642" s="1" t="s">
        <v>11198</v>
      </c>
      <c r="D5642" s="2">
        <v>40276</v>
      </c>
      <c r="E5642" s="1" t="s">
        <v>11274</v>
      </c>
      <c r="F5642" s="1" t="s">
        <v>214</v>
      </c>
    </row>
    <row r="5643" spans="1:6" ht="30" customHeight="1" x14ac:dyDescent="0.25">
      <c r="A5643" s="1" t="s">
        <v>11275</v>
      </c>
      <c r="B5643" s="1" t="str">
        <f>"9781907830587"</f>
        <v>9781907830587</v>
      </c>
      <c r="C5643" s="1" t="s">
        <v>11198</v>
      </c>
      <c r="D5643" s="2">
        <v>40641</v>
      </c>
      <c r="E5643" s="1" t="s">
        <v>11276</v>
      </c>
      <c r="F5643" s="1" t="s">
        <v>13</v>
      </c>
    </row>
    <row r="5644" spans="1:6" ht="30" customHeight="1" x14ac:dyDescent="0.25">
      <c r="A5644" s="1" t="s">
        <v>11277</v>
      </c>
      <c r="B5644" s="1" t="str">
        <f>"9781907830778"</f>
        <v>9781907830778</v>
      </c>
      <c r="C5644" s="1" t="s">
        <v>11198</v>
      </c>
      <c r="D5644" s="2">
        <v>40743</v>
      </c>
      <c r="E5644" s="1" t="s">
        <v>11278</v>
      </c>
      <c r="F5644" s="1" t="s">
        <v>13</v>
      </c>
    </row>
    <row r="5645" spans="1:6" ht="30" customHeight="1" x14ac:dyDescent="0.25">
      <c r="A5645" s="1" t="s">
        <v>11279</v>
      </c>
      <c r="B5645" s="1" t="str">
        <f>"9781907830105"</f>
        <v>9781907830105</v>
      </c>
      <c r="C5645" s="1" t="s">
        <v>11198</v>
      </c>
      <c r="D5645" s="2">
        <v>40603</v>
      </c>
      <c r="E5645" s="1" t="s">
        <v>11280</v>
      </c>
      <c r="F5645" s="1" t="s">
        <v>11281</v>
      </c>
    </row>
    <row r="5646" spans="1:6" ht="30" customHeight="1" x14ac:dyDescent="0.25">
      <c r="A5646" s="1" t="s">
        <v>11282</v>
      </c>
      <c r="B5646" s="1" t="str">
        <f>"9781907830495"</f>
        <v>9781907830495</v>
      </c>
      <c r="C5646" s="1" t="s">
        <v>11198</v>
      </c>
      <c r="D5646" s="2">
        <v>40603</v>
      </c>
      <c r="E5646" s="1" t="s">
        <v>11283</v>
      </c>
      <c r="F5646" s="1" t="s">
        <v>13</v>
      </c>
    </row>
    <row r="5647" spans="1:6" ht="30" customHeight="1" x14ac:dyDescent="0.25">
      <c r="A5647" s="1" t="s">
        <v>11284</v>
      </c>
      <c r="B5647" s="1" t="str">
        <f>"9780520927216"</f>
        <v>9780520927216</v>
      </c>
      <c r="C5647" s="1" t="s">
        <v>818</v>
      </c>
      <c r="D5647" s="2">
        <v>38051</v>
      </c>
      <c r="E5647" s="1" t="s">
        <v>11285</v>
      </c>
      <c r="F5647" s="1" t="s">
        <v>13</v>
      </c>
    </row>
    <row r="5648" spans="1:6" ht="30" customHeight="1" x14ac:dyDescent="0.25">
      <c r="A5648" s="1" t="s">
        <v>11286</v>
      </c>
      <c r="B5648" s="1" t="str">
        <f>"9780813552033"</f>
        <v>9780813552033</v>
      </c>
      <c r="C5648" s="1" t="s">
        <v>3656</v>
      </c>
      <c r="D5648" s="2">
        <v>40869</v>
      </c>
      <c r="E5648" s="1" t="s">
        <v>11287</v>
      </c>
      <c r="F5648" s="1" t="s">
        <v>13</v>
      </c>
    </row>
    <row r="5649" spans="1:6" ht="30" customHeight="1" x14ac:dyDescent="0.25">
      <c r="A5649" s="1" t="s">
        <v>11288</v>
      </c>
      <c r="B5649" s="1" t="str">
        <f>"9780765708571"</f>
        <v>9780765708571</v>
      </c>
      <c r="C5649" s="1" t="s">
        <v>6903</v>
      </c>
      <c r="D5649" s="2">
        <v>41614</v>
      </c>
      <c r="E5649" s="1" t="s">
        <v>11289</v>
      </c>
      <c r="F5649" s="1" t="s">
        <v>13</v>
      </c>
    </row>
    <row r="5650" spans="1:6" ht="30" customHeight="1" x14ac:dyDescent="0.25">
      <c r="A5650" s="1" t="s">
        <v>11290</v>
      </c>
      <c r="B5650" s="1" t="str">
        <f>"9781849409629"</f>
        <v>9781849409629</v>
      </c>
      <c r="C5650" s="1" t="s">
        <v>68</v>
      </c>
      <c r="D5650" s="2">
        <v>41274</v>
      </c>
      <c r="E5650" s="1" t="s">
        <v>11291</v>
      </c>
      <c r="F5650" s="1" t="s">
        <v>13</v>
      </c>
    </row>
    <row r="5651" spans="1:6" ht="30" customHeight="1" x14ac:dyDescent="0.25">
      <c r="A5651" s="1" t="s">
        <v>11292</v>
      </c>
      <c r="B5651" s="1" t="str">
        <f>"9781849409605"</f>
        <v>9781849409605</v>
      </c>
      <c r="C5651" s="1" t="s">
        <v>8994</v>
      </c>
      <c r="D5651" s="2">
        <v>40955</v>
      </c>
      <c r="E5651" s="1" t="s">
        <v>11293</v>
      </c>
      <c r="F5651" s="1" t="s">
        <v>304</v>
      </c>
    </row>
    <row r="5652" spans="1:6" ht="30" customHeight="1" x14ac:dyDescent="0.25">
      <c r="A5652" s="1" t="s">
        <v>11294</v>
      </c>
      <c r="B5652" s="1" t="str">
        <f>"9780813552378"</f>
        <v>9780813552378</v>
      </c>
      <c r="C5652" s="1" t="s">
        <v>3656</v>
      </c>
      <c r="D5652" s="2">
        <v>40558</v>
      </c>
      <c r="E5652" s="1" t="s">
        <v>11295</v>
      </c>
      <c r="F5652" s="1" t="s">
        <v>127</v>
      </c>
    </row>
    <row r="5653" spans="1:6" ht="30" customHeight="1" x14ac:dyDescent="0.25">
      <c r="A5653" s="1" t="s">
        <v>11296</v>
      </c>
      <c r="B5653" s="1" t="str">
        <f>"9780813552385"</f>
        <v>9780813552385</v>
      </c>
      <c r="C5653" s="1" t="s">
        <v>3656</v>
      </c>
      <c r="D5653" s="2">
        <v>40483</v>
      </c>
      <c r="E5653" s="1" t="s">
        <v>11297</v>
      </c>
      <c r="F5653" s="1" t="s">
        <v>30</v>
      </c>
    </row>
    <row r="5654" spans="1:6" ht="30" customHeight="1" x14ac:dyDescent="0.25">
      <c r="A5654" s="1" t="s">
        <v>11298</v>
      </c>
      <c r="B5654" s="1" t="str">
        <f>"9789221245421"</f>
        <v>9789221245421</v>
      </c>
      <c r="C5654" s="1" t="s">
        <v>8374</v>
      </c>
      <c r="D5654" s="2">
        <v>40544</v>
      </c>
      <c r="E5654" s="1" t="s">
        <v>8374</v>
      </c>
      <c r="F5654" s="1" t="s">
        <v>13</v>
      </c>
    </row>
    <row r="5655" spans="1:6" ht="30" customHeight="1" x14ac:dyDescent="0.25">
      <c r="A5655" s="1" t="s">
        <v>11299</v>
      </c>
      <c r="B5655" s="1" t="str">
        <f>"9789221254492"</f>
        <v>9789221254492</v>
      </c>
      <c r="C5655" s="1" t="s">
        <v>8374</v>
      </c>
      <c r="D5655" s="2">
        <v>40909</v>
      </c>
      <c r="E5655" s="1" t="s">
        <v>11300</v>
      </c>
      <c r="F5655" s="1" t="s">
        <v>9413</v>
      </c>
    </row>
    <row r="5656" spans="1:6" ht="30" customHeight="1" x14ac:dyDescent="0.25">
      <c r="A5656" s="1" t="s">
        <v>11301</v>
      </c>
      <c r="B5656" s="1" t="str">
        <f>"9780826155733"</f>
        <v>9780826155733</v>
      </c>
      <c r="C5656" s="1" t="s">
        <v>2339</v>
      </c>
      <c r="D5656" s="2">
        <v>40921</v>
      </c>
      <c r="E5656" s="1" t="s">
        <v>11302</v>
      </c>
      <c r="F5656" s="1" t="s">
        <v>132</v>
      </c>
    </row>
    <row r="5657" spans="1:6" ht="30" customHeight="1" x14ac:dyDescent="0.25">
      <c r="A5657" s="1" t="s">
        <v>11303</v>
      </c>
      <c r="B5657" s="1" t="str">
        <f>"9780826105844"</f>
        <v>9780826105844</v>
      </c>
      <c r="C5657" s="1" t="s">
        <v>2339</v>
      </c>
      <c r="D5657" s="2">
        <v>40360</v>
      </c>
      <c r="E5657" s="1" t="s">
        <v>11304</v>
      </c>
      <c r="F5657" s="1" t="s">
        <v>126</v>
      </c>
    </row>
    <row r="5658" spans="1:6" ht="30" customHeight="1" x14ac:dyDescent="0.25">
      <c r="A5658" s="1" t="s">
        <v>11305</v>
      </c>
      <c r="B5658" s="1" t="str">
        <f>"9780826132581"</f>
        <v>9780826132581</v>
      </c>
      <c r="C5658" s="1" t="s">
        <v>2339</v>
      </c>
      <c r="D5658" s="2">
        <v>40448</v>
      </c>
      <c r="E5658" s="1" t="s">
        <v>11306</v>
      </c>
      <c r="F5658" s="1" t="s">
        <v>13</v>
      </c>
    </row>
    <row r="5659" spans="1:6" ht="30" customHeight="1" x14ac:dyDescent="0.25">
      <c r="A5659" s="1" t="s">
        <v>11307</v>
      </c>
      <c r="B5659" s="1" t="str">
        <f>"9780826105769"</f>
        <v>9780826105769</v>
      </c>
      <c r="C5659" s="1" t="s">
        <v>2339</v>
      </c>
      <c r="D5659" s="2">
        <v>40483</v>
      </c>
      <c r="E5659" s="1" t="s">
        <v>11308</v>
      </c>
      <c r="F5659" s="1" t="s">
        <v>13</v>
      </c>
    </row>
    <row r="5660" spans="1:6" ht="30" customHeight="1" x14ac:dyDescent="0.25">
      <c r="A5660" s="1" t="s">
        <v>11309</v>
      </c>
      <c r="B5660" s="1" t="str">
        <f>"9780826106667"</f>
        <v>9780826106667</v>
      </c>
      <c r="C5660" s="1" t="s">
        <v>2339</v>
      </c>
      <c r="D5660" s="2">
        <v>40513</v>
      </c>
      <c r="E5660" s="1" t="s">
        <v>11310</v>
      </c>
      <c r="F5660" s="1" t="s">
        <v>126</v>
      </c>
    </row>
    <row r="5661" spans="1:6" ht="30" customHeight="1" x14ac:dyDescent="0.25">
      <c r="A5661" s="1" t="s">
        <v>11311</v>
      </c>
      <c r="B5661" s="1" t="str">
        <f>"9780826108289"</f>
        <v>9780826108289</v>
      </c>
      <c r="C5661" s="1" t="s">
        <v>2339</v>
      </c>
      <c r="D5661" s="2">
        <v>40909</v>
      </c>
      <c r="E5661" s="1" t="s">
        <v>11312</v>
      </c>
      <c r="F5661" s="1" t="s">
        <v>13</v>
      </c>
    </row>
    <row r="5662" spans="1:6" ht="30" customHeight="1" x14ac:dyDescent="0.25">
      <c r="A5662" s="1" t="s">
        <v>11313</v>
      </c>
      <c r="B5662" s="1" t="str">
        <f>"9781847355386"</f>
        <v>9781847355386</v>
      </c>
      <c r="C5662" s="1" t="s">
        <v>7299</v>
      </c>
      <c r="D5662" s="2">
        <v>40908</v>
      </c>
      <c r="E5662" s="1" t="s">
        <v>11314</v>
      </c>
      <c r="F5662" s="1" t="s">
        <v>137</v>
      </c>
    </row>
    <row r="5663" spans="1:6" ht="30" customHeight="1" x14ac:dyDescent="0.25">
      <c r="A5663" s="1" t="s">
        <v>11315</v>
      </c>
      <c r="B5663" s="1" t="str">
        <f>"9781847355645"</f>
        <v>9781847355645</v>
      </c>
      <c r="C5663" s="1" t="s">
        <v>7299</v>
      </c>
      <c r="D5663" s="2">
        <v>40897</v>
      </c>
      <c r="E5663" s="1" t="s">
        <v>11316</v>
      </c>
      <c r="F5663" s="1" t="s">
        <v>268</v>
      </c>
    </row>
    <row r="5664" spans="1:6" ht="30" customHeight="1" x14ac:dyDescent="0.25">
      <c r="A5664" s="1" t="s">
        <v>11317</v>
      </c>
      <c r="B5664" s="1" t="str">
        <f>"9780335242016"</f>
        <v>9780335242016</v>
      </c>
      <c r="C5664" s="1" t="s">
        <v>2247</v>
      </c>
      <c r="D5664" s="2">
        <v>40817</v>
      </c>
      <c r="E5664" s="1" t="s">
        <v>11318</v>
      </c>
      <c r="F5664" s="1" t="s">
        <v>13</v>
      </c>
    </row>
    <row r="5665" spans="1:6" ht="30" customHeight="1" x14ac:dyDescent="0.25">
      <c r="A5665" s="1" t="s">
        <v>11319</v>
      </c>
      <c r="B5665" s="1" t="str">
        <f>"9780335245581"</f>
        <v>9780335245581</v>
      </c>
      <c r="C5665" s="1" t="s">
        <v>2247</v>
      </c>
      <c r="D5665" s="2">
        <v>40848</v>
      </c>
      <c r="E5665" s="1" t="s">
        <v>11320</v>
      </c>
      <c r="F5665" s="1" t="s">
        <v>11321</v>
      </c>
    </row>
    <row r="5666" spans="1:6" ht="30" customHeight="1" x14ac:dyDescent="0.25">
      <c r="A5666" s="1" t="s">
        <v>11322</v>
      </c>
      <c r="B5666" s="1" t="str">
        <f>"9780335244621"</f>
        <v>9780335244621</v>
      </c>
      <c r="C5666" s="1" t="s">
        <v>2247</v>
      </c>
      <c r="D5666" s="2">
        <v>40787</v>
      </c>
      <c r="E5666" s="1" t="s">
        <v>11323</v>
      </c>
      <c r="F5666" s="1" t="s">
        <v>158</v>
      </c>
    </row>
    <row r="5667" spans="1:6" ht="30" customHeight="1" x14ac:dyDescent="0.25">
      <c r="A5667" s="1" t="s">
        <v>11324</v>
      </c>
      <c r="B5667" s="1" t="str">
        <f>"9780335243716"</f>
        <v>9780335243716</v>
      </c>
      <c r="C5667" s="1" t="s">
        <v>2247</v>
      </c>
      <c r="D5667" s="2">
        <v>40787</v>
      </c>
      <c r="E5667" s="1" t="s">
        <v>11325</v>
      </c>
      <c r="F5667" s="1" t="s">
        <v>1372</v>
      </c>
    </row>
    <row r="5668" spans="1:6" ht="30" customHeight="1" x14ac:dyDescent="0.25">
      <c r="A5668" s="1" t="s">
        <v>11326</v>
      </c>
      <c r="B5668" s="1" t="str">
        <f>"9780335244522"</f>
        <v>9780335244522</v>
      </c>
      <c r="C5668" s="1" t="s">
        <v>2247</v>
      </c>
      <c r="D5668" s="2">
        <v>40787</v>
      </c>
      <c r="E5668" s="1" t="s">
        <v>11325</v>
      </c>
      <c r="F5668" s="1" t="s">
        <v>3803</v>
      </c>
    </row>
    <row r="5669" spans="1:6" ht="30" customHeight="1" x14ac:dyDescent="0.25">
      <c r="A5669" s="1" t="s">
        <v>11327</v>
      </c>
      <c r="B5669" s="1" t="str">
        <f>"9780335238514"</f>
        <v>9780335238514</v>
      </c>
      <c r="C5669" s="1" t="s">
        <v>2247</v>
      </c>
      <c r="D5669" s="2">
        <v>40817</v>
      </c>
      <c r="E5669" s="1" t="s">
        <v>11328</v>
      </c>
      <c r="F5669" s="1" t="s">
        <v>291</v>
      </c>
    </row>
    <row r="5670" spans="1:6" ht="30" customHeight="1" x14ac:dyDescent="0.25">
      <c r="A5670" s="1" t="s">
        <v>11329</v>
      </c>
      <c r="B5670" s="1" t="str">
        <f>"9780833040695"</f>
        <v>9780833040695</v>
      </c>
      <c r="C5670" s="1" t="s">
        <v>516</v>
      </c>
      <c r="D5670" s="2">
        <v>36228</v>
      </c>
      <c r="E5670" s="1" t="s">
        <v>11330</v>
      </c>
      <c r="F5670" s="1" t="s">
        <v>13</v>
      </c>
    </row>
    <row r="5671" spans="1:6" ht="30" customHeight="1" x14ac:dyDescent="0.25">
      <c r="A5671" s="1" t="s">
        <v>11331</v>
      </c>
      <c r="B5671" s="1" t="str">
        <f>"9781608050178"</f>
        <v>9781608050178</v>
      </c>
      <c r="C5671" s="1" t="s">
        <v>11332</v>
      </c>
      <c r="D5671" s="2">
        <v>40911</v>
      </c>
      <c r="E5671" s="1" t="s">
        <v>11333</v>
      </c>
      <c r="F5671" s="1" t="s">
        <v>13</v>
      </c>
    </row>
    <row r="5672" spans="1:6" ht="30" customHeight="1" x14ac:dyDescent="0.25">
      <c r="A5672" s="1" t="s">
        <v>11334</v>
      </c>
      <c r="B5672" s="1" t="str">
        <f>"9781608050413"</f>
        <v>9781608050413</v>
      </c>
      <c r="C5672" s="1" t="s">
        <v>11332</v>
      </c>
      <c r="D5672" s="2">
        <v>40906</v>
      </c>
      <c r="E5672" s="1" t="s">
        <v>11335</v>
      </c>
      <c r="F5672" s="1" t="s">
        <v>27</v>
      </c>
    </row>
    <row r="5673" spans="1:6" ht="30" customHeight="1" x14ac:dyDescent="0.25">
      <c r="A5673" s="1" t="s">
        <v>11336</v>
      </c>
      <c r="B5673" s="1" t="str">
        <f>"9781608052059"</f>
        <v>9781608052059</v>
      </c>
      <c r="C5673" s="1" t="s">
        <v>11332</v>
      </c>
      <c r="D5673" s="2">
        <v>38353</v>
      </c>
      <c r="E5673" s="1" t="s">
        <v>11337</v>
      </c>
      <c r="F5673" s="1" t="s">
        <v>137</v>
      </c>
    </row>
    <row r="5674" spans="1:6" ht="30" customHeight="1" x14ac:dyDescent="0.25">
      <c r="A5674" s="1" t="s">
        <v>11338</v>
      </c>
      <c r="B5674" s="1" t="str">
        <f>"9781608052073"</f>
        <v>9781608052073</v>
      </c>
      <c r="C5674" s="1" t="s">
        <v>11332</v>
      </c>
      <c r="D5674" s="2">
        <v>39814</v>
      </c>
      <c r="E5674" s="1" t="s">
        <v>11337</v>
      </c>
      <c r="F5674" s="1" t="s">
        <v>268</v>
      </c>
    </row>
    <row r="5675" spans="1:6" ht="30" customHeight="1" x14ac:dyDescent="0.25">
      <c r="A5675" s="1" t="s">
        <v>11339</v>
      </c>
      <c r="B5675" s="1" t="str">
        <f>"9781608052080"</f>
        <v>9781608052080</v>
      </c>
      <c r="C5675" s="1" t="s">
        <v>11332</v>
      </c>
      <c r="D5675" s="2">
        <v>40505</v>
      </c>
      <c r="E5675" s="1" t="s">
        <v>11337</v>
      </c>
      <c r="F5675" s="1" t="s">
        <v>137</v>
      </c>
    </row>
    <row r="5676" spans="1:6" ht="30" customHeight="1" x14ac:dyDescent="0.25">
      <c r="A5676" s="1" t="s">
        <v>11340</v>
      </c>
      <c r="B5676" s="1" t="str">
        <f>"9781608052004"</f>
        <v>9781608052004</v>
      </c>
      <c r="C5676" s="1" t="s">
        <v>11332</v>
      </c>
      <c r="D5676" s="2">
        <v>38718</v>
      </c>
      <c r="E5676" s="1" t="s">
        <v>11341</v>
      </c>
      <c r="F5676" s="1" t="s">
        <v>137</v>
      </c>
    </row>
    <row r="5677" spans="1:6" ht="30" customHeight="1" x14ac:dyDescent="0.25">
      <c r="A5677" s="1" t="s">
        <v>11342</v>
      </c>
      <c r="B5677" s="1" t="str">
        <f>"9781608051946"</f>
        <v>9781608051946</v>
      </c>
      <c r="C5677" s="1" t="s">
        <v>11332</v>
      </c>
      <c r="D5677" s="2">
        <v>40932</v>
      </c>
      <c r="E5677" s="1" t="s">
        <v>11343</v>
      </c>
      <c r="F5677" s="1" t="s">
        <v>11344</v>
      </c>
    </row>
    <row r="5678" spans="1:6" ht="30" customHeight="1" x14ac:dyDescent="0.25">
      <c r="A5678" s="1" t="s">
        <v>11345</v>
      </c>
      <c r="B5678" s="1" t="str">
        <f>"9781608053025"</f>
        <v>9781608053025</v>
      </c>
      <c r="C5678" s="1" t="s">
        <v>11332</v>
      </c>
      <c r="D5678" s="2">
        <v>40934</v>
      </c>
      <c r="E5678" s="1" t="s">
        <v>11346</v>
      </c>
      <c r="F5678" s="1" t="s">
        <v>13</v>
      </c>
    </row>
    <row r="5679" spans="1:6" ht="30" customHeight="1" x14ac:dyDescent="0.25">
      <c r="A5679" s="1" t="s">
        <v>11347</v>
      </c>
      <c r="B5679" s="1" t="str">
        <f>"9781608052189"</f>
        <v>9781608052189</v>
      </c>
      <c r="C5679" s="1" t="s">
        <v>11332</v>
      </c>
      <c r="D5679" s="2">
        <v>40794</v>
      </c>
      <c r="E5679" s="1" t="s">
        <v>11348</v>
      </c>
      <c r="F5679" s="1" t="s">
        <v>11349</v>
      </c>
    </row>
    <row r="5680" spans="1:6" ht="30" customHeight="1" x14ac:dyDescent="0.25">
      <c r="A5680" s="1" t="s">
        <v>11350</v>
      </c>
      <c r="B5680" s="1" t="str">
        <f>"9781608050079"</f>
        <v>9781608050079</v>
      </c>
      <c r="C5680" s="1" t="s">
        <v>11332</v>
      </c>
      <c r="D5680" s="2">
        <v>40511</v>
      </c>
      <c r="E5680" s="1" t="s">
        <v>11351</v>
      </c>
      <c r="F5680" s="1" t="s">
        <v>11352</v>
      </c>
    </row>
    <row r="5681" spans="1:6" ht="30" customHeight="1" x14ac:dyDescent="0.25">
      <c r="A5681" s="1" t="s">
        <v>11353</v>
      </c>
      <c r="B5681" s="1" t="str">
        <f>"9781608050307"</f>
        <v>9781608050307</v>
      </c>
      <c r="C5681" s="1" t="s">
        <v>11332</v>
      </c>
      <c r="D5681" s="2">
        <v>40673</v>
      </c>
      <c r="E5681" s="1" t="s">
        <v>11354</v>
      </c>
      <c r="F5681" s="1" t="s">
        <v>13</v>
      </c>
    </row>
    <row r="5682" spans="1:6" ht="30" customHeight="1" x14ac:dyDescent="0.25">
      <c r="A5682" s="1" t="s">
        <v>11355</v>
      </c>
      <c r="B5682" s="1" t="str">
        <f>"9781608050727"</f>
        <v>9781608050727</v>
      </c>
      <c r="C5682" s="1" t="s">
        <v>11332</v>
      </c>
      <c r="D5682" s="2">
        <v>40934</v>
      </c>
      <c r="E5682" s="1" t="s">
        <v>11356</v>
      </c>
      <c r="F5682" s="1" t="s">
        <v>9413</v>
      </c>
    </row>
    <row r="5683" spans="1:6" ht="30" customHeight="1" x14ac:dyDescent="0.25">
      <c r="A5683" s="1" t="s">
        <v>11357</v>
      </c>
      <c r="B5683" s="1" t="str">
        <f>"9781608052721"</f>
        <v>9781608052721</v>
      </c>
      <c r="C5683" s="1" t="s">
        <v>11332</v>
      </c>
      <c r="D5683" s="2">
        <v>40766</v>
      </c>
      <c r="E5683" s="1" t="s">
        <v>11358</v>
      </c>
      <c r="F5683" s="1" t="s">
        <v>13</v>
      </c>
    </row>
    <row r="5684" spans="1:6" ht="30" customHeight="1" x14ac:dyDescent="0.25">
      <c r="A5684" s="1" t="s">
        <v>11359</v>
      </c>
      <c r="B5684" s="1" t="str">
        <f>"9781608052974"</f>
        <v>9781608052974</v>
      </c>
      <c r="C5684" s="1" t="s">
        <v>11332</v>
      </c>
      <c r="D5684" s="2">
        <v>40911</v>
      </c>
      <c r="E5684" s="1" t="s">
        <v>11360</v>
      </c>
      <c r="F5684" s="1" t="s">
        <v>13</v>
      </c>
    </row>
    <row r="5685" spans="1:6" ht="30" customHeight="1" x14ac:dyDescent="0.25">
      <c r="A5685" s="1" t="s">
        <v>11361</v>
      </c>
      <c r="B5685" s="1" t="str">
        <f>"9781608051076"</f>
        <v>9781608051076</v>
      </c>
      <c r="C5685" s="1" t="s">
        <v>11332</v>
      </c>
      <c r="D5685" s="2">
        <v>40505</v>
      </c>
      <c r="E5685" s="1" t="s">
        <v>11362</v>
      </c>
      <c r="F5685" s="1" t="s">
        <v>13</v>
      </c>
    </row>
    <row r="5686" spans="1:6" ht="30" customHeight="1" x14ac:dyDescent="0.25">
      <c r="A5686" s="1" t="s">
        <v>11363</v>
      </c>
      <c r="B5686" s="1" t="str">
        <f>"9781608051328"</f>
        <v>9781608051328</v>
      </c>
      <c r="C5686" s="1" t="s">
        <v>11332</v>
      </c>
      <c r="D5686" s="2">
        <v>40540</v>
      </c>
      <c r="E5686" s="1" t="s">
        <v>11364</v>
      </c>
      <c r="F5686" s="1" t="s">
        <v>13</v>
      </c>
    </row>
    <row r="5687" spans="1:6" ht="30" customHeight="1" x14ac:dyDescent="0.25">
      <c r="A5687" s="1" t="s">
        <v>11365</v>
      </c>
      <c r="B5687" s="1" t="str">
        <f>"9781608051588"</f>
        <v>9781608051588</v>
      </c>
      <c r="C5687" s="1" t="s">
        <v>11332</v>
      </c>
      <c r="D5687" s="2">
        <v>40401</v>
      </c>
      <c r="E5687" s="1" t="s">
        <v>11366</v>
      </c>
      <c r="F5687" s="1" t="s">
        <v>137</v>
      </c>
    </row>
    <row r="5688" spans="1:6" ht="30" customHeight="1" x14ac:dyDescent="0.25">
      <c r="A5688" s="1" t="s">
        <v>11367</v>
      </c>
      <c r="B5688" s="1" t="str">
        <f>"9781608051601"</f>
        <v>9781608051601</v>
      </c>
      <c r="C5688" s="1" t="s">
        <v>11332</v>
      </c>
      <c r="D5688" s="2">
        <v>40401</v>
      </c>
      <c r="E5688" s="1" t="s">
        <v>11366</v>
      </c>
      <c r="F5688" s="1" t="s">
        <v>11368</v>
      </c>
    </row>
    <row r="5689" spans="1:6" ht="30" customHeight="1" x14ac:dyDescent="0.25">
      <c r="A5689" s="1" t="s">
        <v>11369</v>
      </c>
      <c r="B5689" s="1" t="str">
        <f>"9781608051625"</f>
        <v>9781608051625</v>
      </c>
      <c r="C5689" s="1" t="s">
        <v>11332</v>
      </c>
      <c r="D5689" s="2">
        <v>40630</v>
      </c>
      <c r="E5689" s="1" t="s">
        <v>11366</v>
      </c>
      <c r="F5689" s="1" t="s">
        <v>11352</v>
      </c>
    </row>
    <row r="5690" spans="1:6" ht="30" customHeight="1" x14ac:dyDescent="0.25">
      <c r="A5690" s="1" t="s">
        <v>11370</v>
      </c>
      <c r="B5690" s="1" t="str">
        <f>"9781608052035"</f>
        <v>9781608052035</v>
      </c>
      <c r="C5690" s="1" t="s">
        <v>11332</v>
      </c>
      <c r="D5690" s="2">
        <v>40179</v>
      </c>
      <c r="E5690" s="1" t="s">
        <v>11366</v>
      </c>
      <c r="F5690" s="1" t="s">
        <v>137</v>
      </c>
    </row>
    <row r="5691" spans="1:6" ht="30" customHeight="1" x14ac:dyDescent="0.25">
      <c r="A5691" s="1" t="s">
        <v>11371</v>
      </c>
      <c r="B5691" s="1" t="str">
        <f>"9781608050314"</f>
        <v>9781608050314</v>
      </c>
      <c r="C5691" s="1" t="s">
        <v>11332</v>
      </c>
      <c r="D5691" s="2">
        <v>40847</v>
      </c>
      <c r="E5691" s="1" t="s">
        <v>11372</v>
      </c>
      <c r="F5691" s="1" t="s">
        <v>13</v>
      </c>
    </row>
    <row r="5692" spans="1:6" ht="30" customHeight="1" x14ac:dyDescent="0.25">
      <c r="A5692" s="1" t="s">
        <v>11373</v>
      </c>
      <c r="B5692" s="1" t="str">
        <f>"9781608052868"</f>
        <v>9781608052868</v>
      </c>
      <c r="C5692" s="1" t="s">
        <v>11332</v>
      </c>
      <c r="D5692" s="2">
        <v>40833</v>
      </c>
      <c r="E5692" s="1" t="s">
        <v>11374</v>
      </c>
      <c r="F5692" s="1" t="s">
        <v>11352</v>
      </c>
    </row>
    <row r="5693" spans="1:6" ht="30" customHeight="1" x14ac:dyDescent="0.25">
      <c r="A5693" s="1" t="s">
        <v>11375</v>
      </c>
      <c r="B5693" s="1" t="str">
        <f>"9781608050925"</f>
        <v>9781608050925</v>
      </c>
      <c r="C5693" s="1" t="s">
        <v>11332</v>
      </c>
      <c r="D5693" s="2">
        <v>40568</v>
      </c>
      <c r="E5693" s="1" t="s">
        <v>11376</v>
      </c>
      <c r="F5693" s="1" t="s">
        <v>11352</v>
      </c>
    </row>
    <row r="5694" spans="1:6" ht="30" customHeight="1" x14ac:dyDescent="0.25">
      <c r="A5694" s="1" t="s">
        <v>11377</v>
      </c>
      <c r="B5694" s="1" t="str">
        <f>"9781608052745"</f>
        <v>9781608052745</v>
      </c>
      <c r="C5694" s="1" t="s">
        <v>11332</v>
      </c>
      <c r="D5694" s="2">
        <v>40806</v>
      </c>
      <c r="E5694" s="1" t="s">
        <v>11378</v>
      </c>
      <c r="F5694" s="1" t="s">
        <v>3429</v>
      </c>
    </row>
    <row r="5695" spans="1:6" ht="30" customHeight="1" x14ac:dyDescent="0.25">
      <c r="A5695" s="1" t="s">
        <v>11379</v>
      </c>
      <c r="B5695" s="1" t="str">
        <f>"9781608051083"</f>
        <v>9781608051083</v>
      </c>
      <c r="C5695" s="1" t="s">
        <v>11332</v>
      </c>
      <c r="D5695" s="2">
        <v>40834</v>
      </c>
      <c r="E5695" s="1" t="s">
        <v>11380</v>
      </c>
      <c r="F5695" s="1" t="s">
        <v>13</v>
      </c>
    </row>
    <row r="5696" spans="1:6" ht="30" customHeight="1" x14ac:dyDescent="0.25">
      <c r="A5696" s="1" t="s">
        <v>11381</v>
      </c>
      <c r="B5696" s="1" t="str">
        <f>"9781608052714"</f>
        <v>9781608052714</v>
      </c>
      <c r="C5696" s="1" t="s">
        <v>11332</v>
      </c>
      <c r="D5696" s="2">
        <v>40753</v>
      </c>
      <c r="E5696" s="1" t="s">
        <v>11382</v>
      </c>
      <c r="F5696" s="1" t="s">
        <v>599</v>
      </c>
    </row>
    <row r="5697" spans="1:6" ht="30" customHeight="1" x14ac:dyDescent="0.25">
      <c r="A5697" s="1" t="s">
        <v>11383</v>
      </c>
      <c r="B5697" s="1" t="str">
        <f>"9781608050239"</f>
        <v>9781608050239</v>
      </c>
      <c r="C5697" s="1" t="s">
        <v>11332</v>
      </c>
      <c r="D5697" s="2">
        <v>40806</v>
      </c>
      <c r="E5697" s="1" t="s">
        <v>11384</v>
      </c>
      <c r="F5697" s="1" t="s">
        <v>1948</v>
      </c>
    </row>
    <row r="5698" spans="1:6" ht="30" customHeight="1" x14ac:dyDescent="0.25">
      <c r="A5698" s="1" t="s">
        <v>11385</v>
      </c>
      <c r="B5698" s="1" t="str">
        <f>"9781608051205"</f>
        <v>9781608051205</v>
      </c>
      <c r="C5698" s="1" t="s">
        <v>11332</v>
      </c>
      <c r="D5698" s="2">
        <v>40806</v>
      </c>
      <c r="E5698" s="1" t="s">
        <v>11386</v>
      </c>
      <c r="F5698" s="1" t="s">
        <v>137</v>
      </c>
    </row>
    <row r="5699" spans="1:6" ht="30" customHeight="1" x14ac:dyDescent="0.25">
      <c r="A5699" s="1" t="s">
        <v>11387</v>
      </c>
      <c r="B5699" s="1" t="str">
        <f>"9781608051908"</f>
        <v>9781608051908</v>
      </c>
      <c r="C5699" s="1" t="s">
        <v>11332</v>
      </c>
      <c r="D5699" s="2">
        <v>40512</v>
      </c>
      <c r="E5699" s="1" t="s">
        <v>11388</v>
      </c>
      <c r="F5699" s="1" t="s">
        <v>11389</v>
      </c>
    </row>
    <row r="5700" spans="1:6" ht="30" customHeight="1" x14ac:dyDescent="0.25">
      <c r="A5700" s="1" t="s">
        <v>11390</v>
      </c>
      <c r="B5700" s="1" t="str">
        <f>"9781608052660"</f>
        <v>9781608052660</v>
      </c>
      <c r="C5700" s="1" t="s">
        <v>11332</v>
      </c>
      <c r="D5700" s="2">
        <v>40757</v>
      </c>
      <c r="E5700" s="1" t="s">
        <v>11391</v>
      </c>
      <c r="F5700" s="1" t="s">
        <v>27</v>
      </c>
    </row>
    <row r="5701" spans="1:6" ht="30" customHeight="1" x14ac:dyDescent="0.25">
      <c r="A5701" s="1" t="s">
        <v>11392</v>
      </c>
      <c r="B5701" s="1" t="str">
        <f>"9781608052516"</f>
        <v>9781608052516</v>
      </c>
      <c r="C5701" s="1" t="s">
        <v>11332</v>
      </c>
      <c r="D5701" s="2">
        <v>40700</v>
      </c>
      <c r="E5701" s="1" t="s">
        <v>11393</v>
      </c>
      <c r="F5701" s="1" t="s">
        <v>7847</v>
      </c>
    </row>
    <row r="5702" spans="1:6" ht="30" customHeight="1" x14ac:dyDescent="0.25">
      <c r="A5702" s="1" t="s">
        <v>11394</v>
      </c>
      <c r="B5702" s="1" t="str">
        <f>"9781608051915"</f>
        <v>9781608051915</v>
      </c>
      <c r="C5702" s="1" t="s">
        <v>11332</v>
      </c>
      <c r="D5702" s="2">
        <v>40508</v>
      </c>
      <c r="E5702" s="1" t="s">
        <v>11395</v>
      </c>
      <c r="F5702" s="1" t="s">
        <v>268</v>
      </c>
    </row>
    <row r="5703" spans="1:6" ht="30" customHeight="1" x14ac:dyDescent="0.25">
      <c r="A5703" s="1" t="s">
        <v>11396</v>
      </c>
      <c r="B5703" s="1" t="str">
        <f>"9781608052325"</f>
        <v>9781608052325</v>
      </c>
      <c r="C5703" s="1" t="s">
        <v>11332</v>
      </c>
      <c r="D5703" s="2">
        <v>40794</v>
      </c>
      <c r="E5703" s="1" t="s">
        <v>11397</v>
      </c>
      <c r="F5703" s="1" t="s">
        <v>13</v>
      </c>
    </row>
    <row r="5704" spans="1:6" ht="30" customHeight="1" x14ac:dyDescent="0.25">
      <c r="A5704" s="1" t="s">
        <v>11398</v>
      </c>
      <c r="B5704" s="1" t="str">
        <f>"9781608052677"</f>
        <v>9781608052677</v>
      </c>
      <c r="C5704" s="1" t="s">
        <v>11332</v>
      </c>
      <c r="D5704" s="2">
        <v>40812</v>
      </c>
      <c r="E5704" s="1" t="s">
        <v>11399</v>
      </c>
      <c r="F5704" s="1" t="s">
        <v>13</v>
      </c>
    </row>
    <row r="5705" spans="1:6" ht="30" customHeight="1" x14ac:dyDescent="0.25">
      <c r="A5705" s="1" t="s">
        <v>11400</v>
      </c>
      <c r="B5705" s="1" t="str">
        <f>"9781608051533"</f>
        <v>9781608051533</v>
      </c>
      <c r="C5705" s="1" t="s">
        <v>11332</v>
      </c>
      <c r="D5705" s="2">
        <v>40823</v>
      </c>
      <c r="E5705" s="1" t="s">
        <v>11399</v>
      </c>
      <c r="F5705" s="1" t="s">
        <v>3429</v>
      </c>
    </row>
    <row r="5706" spans="1:6" ht="30" customHeight="1" x14ac:dyDescent="0.25">
      <c r="A5706" s="1" t="s">
        <v>11401</v>
      </c>
      <c r="B5706" s="1" t="str">
        <f>"9781608051007"</f>
        <v>9781608051007</v>
      </c>
      <c r="C5706" s="1" t="s">
        <v>11332</v>
      </c>
      <c r="D5706" s="2">
        <v>40512</v>
      </c>
      <c r="E5706" s="1" t="s">
        <v>11402</v>
      </c>
      <c r="F5706" s="1" t="s">
        <v>95</v>
      </c>
    </row>
    <row r="5707" spans="1:6" ht="30" customHeight="1" x14ac:dyDescent="0.25">
      <c r="A5707" s="1" t="s">
        <v>11403</v>
      </c>
      <c r="B5707" s="1" t="str">
        <f>"9781608050932"</f>
        <v>9781608050932</v>
      </c>
      <c r="C5707" s="1" t="s">
        <v>11332</v>
      </c>
      <c r="D5707" s="2">
        <v>40806</v>
      </c>
      <c r="E5707" s="1" t="s">
        <v>11404</v>
      </c>
      <c r="F5707" s="1" t="s">
        <v>2966</v>
      </c>
    </row>
    <row r="5708" spans="1:6" ht="30" customHeight="1" x14ac:dyDescent="0.25">
      <c r="A5708" s="1" t="s">
        <v>11405</v>
      </c>
      <c r="B5708" s="1" t="str">
        <f>"9781608051427"</f>
        <v>9781608051427</v>
      </c>
      <c r="C5708" s="1" t="s">
        <v>11332</v>
      </c>
      <c r="D5708" s="2">
        <v>40687</v>
      </c>
      <c r="E5708" s="1" t="s">
        <v>11406</v>
      </c>
      <c r="F5708" s="1" t="s">
        <v>137</v>
      </c>
    </row>
    <row r="5709" spans="1:6" ht="30" customHeight="1" x14ac:dyDescent="0.25">
      <c r="A5709" s="1" t="s">
        <v>11407</v>
      </c>
      <c r="B5709" s="1" t="str">
        <f>"9781608052738"</f>
        <v>9781608052738</v>
      </c>
      <c r="C5709" s="1" t="s">
        <v>11332</v>
      </c>
      <c r="D5709" s="2">
        <v>40771</v>
      </c>
      <c r="E5709" s="1" t="s">
        <v>11408</v>
      </c>
      <c r="F5709" s="1" t="s">
        <v>6449</v>
      </c>
    </row>
    <row r="5710" spans="1:6" ht="30" customHeight="1" x14ac:dyDescent="0.25">
      <c r="A5710" s="1" t="s">
        <v>11409</v>
      </c>
      <c r="B5710" s="1" t="str">
        <f>"9781608051199"</f>
        <v>9781608051199</v>
      </c>
      <c r="C5710" s="1" t="s">
        <v>11332</v>
      </c>
      <c r="D5710" s="2">
        <v>40819</v>
      </c>
      <c r="E5710" s="1" t="s">
        <v>11410</v>
      </c>
      <c r="F5710" s="1" t="s">
        <v>3429</v>
      </c>
    </row>
    <row r="5711" spans="1:6" ht="30" customHeight="1" x14ac:dyDescent="0.25">
      <c r="A5711" s="1" t="s">
        <v>11411</v>
      </c>
      <c r="B5711" s="1" t="str">
        <f>"9781608051960"</f>
        <v>9781608051960</v>
      </c>
      <c r="C5711" s="1" t="s">
        <v>11332</v>
      </c>
      <c r="D5711" s="2">
        <v>40536</v>
      </c>
      <c r="E5711" s="1" t="s">
        <v>11412</v>
      </c>
      <c r="F5711" s="1" t="s">
        <v>13</v>
      </c>
    </row>
    <row r="5712" spans="1:6" ht="30" customHeight="1" x14ac:dyDescent="0.25">
      <c r="A5712" s="1" t="s">
        <v>11413</v>
      </c>
      <c r="B5712" s="1" t="str">
        <f>"9781608051892"</f>
        <v>9781608051892</v>
      </c>
      <c r="C5712" s="1" t="s">
        <v>11332</v>
      </c>
      <c r="D5712" s="2">
        <v>40655</v>
      </c>
      <c r="E5712" s="1" t="s">
        <v>11414</v>
      </c>
      <c r="F5712" s="1" t="s">
        <v>13</v>
      </c>
    </row>
    <row r="5713" spans="1:6" ht="30" customHeight="1" x14ac:dyDescent="0.25">
      <c r="A5713" s="1" t="s">
        <v>11415</v>
      </c>
      <c r="B5713" s="1" t="str">
        <f>"9781608051922"</f>
        <v>9781608051922</v>
      </c>
      <c r="C5713" s="1" t="s">
        <v>11332</v>
      </c>
      <c r="D5713" s="2">
        <v>40512</v>
      </c>
      <c r="E5713" s="1" t="s">
        <v>11416</v>
      </c>
      <c r="F5713" s="1" t="s">
        <v>11417</v>
      </c>
    </row>
    <row r="5714" spans="1:6" ht="30" customHeight="1" x14ac:dyDescent="0.25">
      <c r="A5714" s="1" t="s">
        <v>11418</v>
      </c>
      <c r="B5714" s="1" t="str">
        <f>"9780813549736"</f>
        <v>9780813549736</v>
      </c>
      <c r="C5714" s="1" t="s">
        <v>3656</v>
      </c>
      <c r="D5714" s="2">
        <v>40274</v>
      </c>
      <c r="E5714" s="1" t="s">
        <v>11419</v>
      </c>
      <c r="F5714" s="1" t="s">
        <v>87</v>
      </c>
    </row>
    <row r="5715" spans="1:6" ht="30" customHeight="1" x14ac:dyDescent="0.25">
      <c r="A5715" s="1" t="s">
        <v>11420</v>
      </c>
      <c r="B5715" s="1" t="str">
        <f>"9780813549767"</f>
        <v>9780813549767</v>
      </c>
      <c r="C5715" s="1" t="s">
        <v>3656</v>
      </c>
      <c r="D5715" s="2">
        <v>40299</v>
      </c>
      <c r="E5715" s="1" t="s">
        <v>11421</v>
      </c>
      <c r="F5715" s="1" t="s">
        <v>30</v>
      </c>
    </row>
    <row r="5716" spans="1:6" ht="30" customHeight="1" x14ac:dyDescent="0.25">
      <c r="A5716" s="1" t="s">
        <v>11422</v>
      </c>
      <c r="B5716" s="1" t="str">
        <f>"9781119962960"</f>
        <v>9781119962960</v>
      </c>
      <c r="C5716" s="1" t="s">
        <v>11</v>
      </c>
      <c r="D5716" s="2">
        <v>40955</v>
      </c>
      <c r="E5716" s="1" t="s">
        <v>11423</v>
      </c>
      <c r="F5716" s="1" t="s">
        <v>137</v>
      </c>
    </row>
    <row r="5717" spans="1:6" ht="30" customHeight="1" x14ac:dyDescent="0.25">
      <c r="A5717" s="1" t="s">
        <v>11424</v>
      </c>
      <c r="B5717" s="1" t="str">
        <f>"9781118313657"</f>
        <v>9781118313657</v>
      </c>
      <c r="C5717" s="1" t="s">
        <v>65</v>
      </c>
      <c r="D5717" s="2">
        <v>40991</v>
      </c>
      <c r="E5717" s="1" t="s">
        <v>11425</v>
      </c>
      <c r="F5717" s="1" t="s">
        <v>70</v>
      </c>
    </row>
    <row r="5718" spans="1:6" ht="30" customHeight="1" x14ac:dyDescent="0.25">
      <c r="A5718" s="1" t="s">
        <v>643</v>
      </c>
      <c r="B5718" s="1" t="str">
        <f>"9781444355635"</f>
        <v>9781444355635</v>
      </c>
      <c r="C5718" s="1" t="s">
        <v>11</v>
      </c>
      <c r="D5718" s="2">
        <v>40938</v>
      </c>
      <c r="E5718" s="1" t="s">
        <v>11426</v>
      </c>
      <c r="F5718" s="1" t="s">
        <v>205</v>
      </c>
    </row>
    <row r="5719" spans="1:6" ht="30" customHeight="1" x14ac:dyDescent="0.25">
      <c r="A5719" s="1" t="s">
        <v>11427</v>
      </c>
      <c r="B5719" s="1" t="str">
        <f>"9781118307441"</f>
        <v>9781118307441</v>
      </c>
      <c r="C5719" s="1" t="s">
        <v>65</v>
      </c>
      <c r="D5719" s="2">
        <v>40940</v>
      </c>
      <c r="E5719" s="1" t="s">
        <v>11428</v>
      </c>
      <c r="F5719" s="1" t="s">
        <v>3875</v>
      </c>
    </row>
    <row r="5720" spans="1:6" ht="30" customHeight="1" x14ac:dyDescent="0.25">
      <c r="A5720" s="1" t="s">
        <v>11429</v>
      </c>
      <c r="B5720" s="1" t="str">
        <f>"9781118274507"</f>
        <v>9781118274507</v>
      </c>
      <c r="C5720" s="1" t="s">
        <v>65</v>
      </c>
      <c r="D5720" s="2">
        <v>40963</v>
      </c>
      <c r="E5720" s="1" t="s">
        <v>11430</v>
      </c>
      <c r="F5720" s="1" t="s">
        <v>13</v>
      </c>
    </row>
    <row r="5721" spans="1:6" ht="30" customHeight="1" x14ac:dyDescent="0.25">
      <c r="A5721" s="1" t="s">
        <v>11431</v>
      </c>
      <c r="B5721" s="1" t="str">
        <f>"9781118321454"</f>
        <v>9781118321454</v>
      </c>
      <c r="C5721" s="1" t="s">
        <v>65</v>
      </c>
      <c r="D5721" s="2">
        <v>40939</v>
      </c>
      <c r="E5721" s="1" t="s">
        <v>11432</v>
      </c>
      <c r="F5721" s="1" t="s">
        <v>13</v>
      </c>
    </row>
    <row r="5722" spans="1:6" ht="30" customHeight="1" x14ac:dyDescent="0.25">
      <c r="A5722" s="1" t="s">
        <v>11433</v>
      </c>
      <c r="B5722" s="1" t="str">
        <f>"9781444355703"</f>
        <v>9781444355703</v>
      </c>
      <c r="C5722" s="1" t="s">
        <v>11</v>
      </c>
      <c r="D5722" s="2">
        <v>40939</v>
      </c>
      <c r="E5722" s="1" t="s">
        <v>11434</v>
      </c>
      <c r="F5722" s="1" t="s">
        <v>13</v>
      </c>
    </row>
    <row r="5723" spans="1:6" ht="30" customHeight="1" x14ac:dyDescent="0.25">
      <c r="A5723" s="1" t="s">
        <v>11435</v>
      </c>
      <c r="B5723" s="1" t="str">
        <f>"9781444355741"</f>
        <v>9781444355741</v>
      </c>
      <c r="C5723" s="1" t="s">
        <v>65</v>
      </c>
      <c r="D5723" s="2">
        <v>40942</v>
      </c>
      <c r="E5723" s="1" t="s">
        <v>11436</v>
      </c>
      <c r="F5723" s="1" t="s">
        <v>13</v>
      </c>
    </row>
    <row r="5724" spans="1:6" ht="30" customHeight="1" x14ac:dyDescent="0.25">
      <c r="A5724" s="1" t="s">
        <v>11437</v>
      </c>
      <c r="B5724" s="1" t="str">
        <f>"9780814705353"</f>
        <v>9780814705353</v>
      </c>
      <c r="C5724" s="1" t="s">
        <v>11438</v>
      </c>
      <c r="D5724" s="2">
        <v>37591</v>
      </c>
      <c r="E5724" s="1" t="s">
        <v>11439</v>
      </c>
      <c r="F5724" s="1" t="s">
        <v>95</v>
      </c>
    </row>
    <row r="5725" spans="1:6" ht="30" customHeight="1" x14ac:dyDescent="0.25">
      <c r="A5725" s="1" t="s">
        <v>11440</v>
      </c>
      <c r="B5725" s="1" t="str">
        <f>"9780814722824"</f>
        <v>9780814722824</v>
      </c>
      <c r="C5725" s="1" t="s">
        <v>11438</v>
      </c>
      <c r="D5725" s="2">
        <v>39083</v>
      </c>
      <c r="E5725" s="1" t="s">
        <v>11441</v>
      </c>
      <c r="F5725" s="1" t="s">
        <v>33</v>
      </c>
    </row>
    <row r="5726" spans="1:6" ht="30" customHeight="1" x14ac:dyDescent="0.25">
      <c r="A5726" s="1" t="s">
        <v>11442</v>
      </c>
      <c r="B5726" s="1" t="str">
        <f>"9780814749074"</f>
        <v>9780814749074</v>
      </c>
      <c r="C5726" s="1" t="s">
        <v>11438</v>
      </c>
      <c r="D5726" s="2">
        <v>39508</v>
      </c>
      <c r="E5726" s="1" t="s">
        <v>11443</v>
      </c>
      <c r="F5726" s="1" t="s">
        <v>3261</v>
      </c>
    </row>
    <row r="5727" spans="1:6" ht="30" customHeight="1" x14ac:dyDescent="0.25">
      <c r="A5727" s="1" t="s">
        <v>11444</v>
      </c>
      <c r="B5727" s="1" t="str">
        <f>"9780814749104"</f>
        <v>9780814749104</v>
      </c>
      <c r="C5727" s="1" t="s">
        <v>11438</v>
      </c>
      <c r="D5727" s="2">
        <v>40026</v>
      </c>
      <c r="E5727" s="1" t="s">
        <v>11445</v>
      </c>
      <c r="F5727" s="1" t="s">
        <v>95</v>
      </c>
    </row>
    <row r="5728" spans="1:6" ht="30" customHeight="1" x14ac:dyDescent="0.25">
      <c r="A5728" s="1" t="s">
        <v>11446</v>
      </c>
      <c r="B5728" s="1" t="str">
        <f>"9780814759127"</f>
        <v>9780814759127</v>
      </c>
      <c r="C5728" s="1" t="s">
        <v>11438</v>
      </c>
      <c r="D5728" s="2">
        <v>38384</v>
      </c>
      <c r="E5728" s="1" t="s">
        <v>11447</v>
      </c>
      <c r="F5728" s="1" t="s">
        <v>13</v>
      </c>
    </row>
    <row r="5729" spans="1:6" ht="30" customHeight="1" x14ac:dyDescent="0.25">
      <c r="A5729" s="1" t="s">
        <v>11448</v>
      </c>
      <c r="B5729" s="1" t="str">
        <f>"9780814759622"</f>
        <v>9780814759622</v>
      </c>
      <c r="C5729" s="1" t="s">
        <v>11438</v>
      </c>
      <c r="D5729" s="2">
        <v>39264</v>
      </c>
      <c r="E5729" s="1" t="s">
        <v>11449</v>
      </c>
      <c r="F5729" s="1" t="s">
        <v>87</v>
      </c>
    </row>
    <row r="5730" spans="1:6" ht="30" customHeight="1" x14ac:dyDescent="0.25">
      <c r="A5730" s="1" t="s">
        <v>11450</v>
      </c>
      <c r="B5730" s="1" t="str">
        <f>"9780814759639"</f>
        <v>9780814759639</v>
      </c>
      <c r="C5730" s="1" t="s">
        <v>11438</v>
      </c>
      <c r="D5730" s="2">
        <v>40497</v>
      </c>
      <c r="E5730" s="1" t="s">
        <v>11451</v>
      </c>
      <c r="F5730" s="1" t="s">
        <v>30</v>
      </c>
    </row>
    <row r="5731" spans="1:6" ht="30" customHeight="1" x14ac:dyDescent="0.25">
      <c r="A5731" s="1" t="s">
        <v>11452</v>
      </c>
      <c r="B5731" s="1" t="str">
        <f>"9780814761144"</f>
        <v>9780814761144</v>
      </c>
      <c r="C5731" s="1" t="s">
        <v>11438</v>
      </c>
      <c r="D5731" s="2">
        <v>39264</v>
      </c>
      <c r="E5731" s="1" t="s">
        <v>11453</v>
      </c>
      <c r="F5731" s="1" t="s">
        <v>87</v>
      </c>
    </row>
    <row r="5732" spans="1:6" ht="30" customHeight="1" x14ac:dyDescent="0.25">
      <c r="A5732" s="1" t="s">
        <v>11454</v>
      </c>
      <c r="B5732" s="1" t="str">
        <f>"9780814784426"</f>
        <v>9780814784426</v>
      </c>
      <c r="C5732" s="1" t="s">
        <v>11438</v>
      </c>
      <c r="D5732" s="2">
        <v>39090</v>
      </c>
      <c r="E5732" s="1" t="s">
        <v>11455</v>
      </c>
      <c r="F5732" s="1" t="s">
        <v>268</v>
      </c>
    </row>
    <row r="5733" spans="1:6" ht="30" customHeight="1" x14ac:dyDescent="0.25">
      <c r="A5733" s="1" t="s">
        <v>11456</v>
      </c>
      <c r="B5733" s="1" t="str">
        <f>"9780814785355"</f>
        <v>9780814785355</v>
      </c>
      <c r="C5733" s="1" t="s">
        <v>11438</v>
      </c>
      <c r="D5733" s="2">
        <v>37834</v>
      </c>
      <c r="E5733" s="1" t="s">
        <v>11457</v>
      </c>
      <c r="F5733" s="1" t="s">
        <v>13</v>
      </c>
    </row>
    <row r="5734" spans="1:6" ht="30" customHeight="1" x14ac:dyDescent="0.25">
      <c r="A5734" s="1" t="s">
        <v>11458</v>
      </c>
      <c r="B5734" s="1" t="str">
        <f>"9780814777350"</f>
        <v>9780814777350</v>
      </c>
      <c r="C5734" s="1" t="s">
        <v>11438</v>
      </c>
      <c r="D5734" s="2">
        <v>39508</v>
      </c>
      <c r="E5734" s="1" t="s">
        <v>11459</v>
      </c>
      <c r="F5734" s="1" t="s">
        <v>11460</v>
      </c>
    </row>
    <row r="5735" spans="1:6" ht="30" customHeight="1" x14ac:dyDescent="0.25">
      <c r="A5735" s="1" t="s">
        <v>11461</v>
      </c>
      <c r="B5735" s="1" t="str">
        <f>"9780814790021"</f>
        <v>9780814790021</v>
      </c>
      <c r="C5735" s="1" t="s">
        <v>11438</v>
      </c>
      <c r="D5735" s="2">
        <v>39814</v>
      </c>
      <c r="E5735" s="1" t="s">
        <v>11462</v>
      </c>
      <c r="F5735" s="1" t="s">
        <v>11463</v>
      </c>
    </row>
    <row r="5736" spans="1:6" ht="30" customHeight="1" x14ac:dyDescent="0.25">
      <c r="A5736" s="1" t="s">
        <v>11464</v>
      </c>
      <c r="B5736" s="1" t="str">
        <f>"9781118276082"</f>
        <v>9781118276082</v>
      </c>
      <c r="C5736" s="1" t="s">
        <v>65</v>
      </c>
      <c r="D5736" s="2">
        <v>40954</v>
      </c>
      <c r="E5736" s="1" t="s">
        <v>11465</v>
      </c>
      <c r="F5736" s="1" t="s">
        <v>126</v>
      </c>
    </row>
    <row r="5737" spans="1:6" ht="30" customHeight="1" x14ac:dyDescent="0.25">
      <c r="A5737" s="1" t="s">
        <v>11466</v>
      </c>
      <c r="B5737" s="1" t="str">
        <f>"9781118276112"</f>
        <v>9781118276112</v>
      </c>
      <c r="C5737" s="1" t="s">
        <v>65</v>
      </c>
      <c r="D5737" s="2">
        <v>40954</v>
      </c>
      <c r="E5737" s="1" t="s">
        <v>11467</v>
      </c>
      <c r="F5737" s="1" t="s">
        <v>13</v>
      </c>
    </row>
    <row r="5738" spans="1:6" ht="30" customHeight="1" x14ac:dyDescent="0.25">
      <c r="A5738" s="1" t="s">
        <v>11468</v>
      </c>
      <c r="B5738" s="1" t="str">
        <f>"9781444346978"</f>
        <v>9781444346978</v>
      </c>
      <c r="C5738" s="1" t="s">
        <v>11</v>
      </c>
      <c r="D5738" s="2">
        <v>40955</v>
      </c>
      <c r="E5738" s="1" t="s">
        <v>11469</v>
      </c>
      <c r="F5738" s="1" t="s">
        <v>13</v>
      </c>
    </row>
    <row r="5739" spans="1:6" ht="30" customHeight="1" x14ac:dyDescent="0.25">
      <c r="A5739" s="1" t="s">
        <v>11470</v>
      </c>
      <c r="B5739" s="1" t="str">
        <f>"9780520951846"</f>
        <v>9780520951846</v>
      </c>
      <c r="C5739" s="1" t="s">
        <v>818</v>
      </c>
      <c r="D5739" s="2">
        <v>41264</v>
      </c>
      <c r="E5739" s="1" t="s">
        <v>922</v>
      </c>
      <c r="F5739" s="1" t="s">
        <v>95</v>
      </c>
    </row>
    <row r="5740" spans="1:6" ht="30" customHeight="1" x14ac:dyDescent="0.25">
      <c r="A5740" s="1" t="s">
        <v>11471</v>
      </c>
      <c r="B5740" s="1" t="str">
        <f>"9780813549453"</f>
        <v>9780813549453</v>
      </c>
      <c r="C5740" s="1" t="s">
        <v>3656</v>
      </c>
      <c r="D5740" s="2">
        <v>40268</v>
      </c>
      <c r="E5740" s="1" t="s">
        <v>11472</v>
      </c>
      <c r="F5740" s="1" t="s">
        <v>11473</v>
      </c>
    </row>
    <row r="5741" spans="1:6" ht="30" customHeight="1" x14ac:dyDescent="0.25">
      <c r="A5741" s="1" t="s">
        <v>11474</v>
      </c>
      <c r="B5741" s="1" t="str">
        <f>"9781849409636"</f>
        <v>9781849409636</v>
      </c>
      <c r="C5741" s="1" t="s">
        <v>68</v>
      </c>
      <c r="D5741" s="2">
        <v>40345</v>
      </c>
      <c r="E5741" s="1" t="s">
        <v>11475</v>
      </c>
      <c r="F5741" s="1" t="s">
        <v>13</v>
      </c>
    </row>
    <row r="5742" spans="1:6" ht="30" customHeight="1" x14ac:dyDescent="0.25">
      <c r="A5742" s="1" t="s">
        <v>11476</v>
      </c>
      <c r="B5742" s="1" t="str">
        <f>"9780821387665"</f>
        <v>9780821387665</v>
      </c>
      <c r="C5742" s="1" t="s">
        <v>6702</v>
      </c>
      <c r="D5742" s="2">
        <v>40899</v>
      </c>
      <c r="E5742" s="1" t="s">
        <v>11477</v>
      </c>
      <c r="F5742" s="1" t="s">
        <v>30</v>
      </c>
    </row>
    <row r="5743" spans="1:6" ht="30" customHeight="1" x14ac:dyDescent="0.25">
      <c r="A5743" s="1" t="s">
        <v>11478</v>
      </c>
      <c r="B5743" s="1" t="str">
        <f>"9780821389539"</f>
        <v>9780821389539</v>
      </c>
      <c r="C5743" s="1" t="s">
        <v>6702</v>
      </c>
      <c r="D5743" s="2">
        <v>40897</v>
      </c>
      <c r="E5743" s="1" t="s">
        <v>11479</v>
      </c>
      <c r="F5743" s="1" t="s">
        <v>95</v>
      </c>
    </row>
    <row r="5744" spans="1:6" ht="30" customHeight="1" x14ac:dyDescent="0.25">
      <c r="A5744" s="1" t="s">
        <v>11480</v>
      </c>
      <c r="B5744" s="1" t="str">
        <f>"9780821389584"</f>
        <v>9780821389584</v>
      </c>
      <c r="C5744" s="1" t="s">
        <v>6702</v>
      </c>
      <c r="D5744" s="2">
        <v>40920</v>
      </c>
      <c r="E5744" s="1" t="s">
        <v>11481</v>
      </c>
      <c r="F5744" s="1" t="s">
        <v>5103</v>
      </c>
    </row>
    <row r="5745" spans="1:6" ht="30" customHeight="1" x14ac:dyDescent="0.25">
      <c r="A5745" s="1" t="s">
        <v>11482</v>
      </c>
      <c r="B5745" s="1" t="str">
        <f>"9780821394748"</f>
        <v>9780821394748</v>
      </c>
      <c r="C5745" s="1" t="s">
        <v>6702</v>
      </c>
      <c r="D5745" s="2">
        <v>40909</v>
      </c>
      <c r="E5745" s="1" t="s">
        <v>11483</v>
      </c>
      <c r="F5745" s="1" t="s">
        <v>95</v>
      </c>
    </row>
    <row r="5746" spans="1:6" ht="30" customHeight="1" x14ac:dyDescent="0.25">
      <c r="A5746" s="1" t="s">
        <v>11484</v>
      </c>
      <c r="B5746" s="1" t="str">
        <f>"9780520950436"</f>
        <v>9780520950436</v>
      </c>
      <c r="C5746" s="1" t="s">
        <v>818</v>
      </c>
      <c r="D5746" s="2">
        <v>40946</v>
      </c>
      <c r="E5746" s="1" t="s">
        <v>11485</v>
      </c>
      <c r="F5746" s="1" t="s">
        <v>6769</v>
      </c>
    </row>
    <row r="5747" spans="1:6" ht="30" customHeight="1" x14ac:dyDescent="0.25">
      <c r="A5747" s="1" t="s">
        <v>11486</v>
      </c>
      <c r="B5747" s="1" t="str">
        <f>"9780813549255"</f>
        <v>9780813549255</v>
      </c>
      <c r="C5747" s="1" t="s">
        <v>3656</v>
      </c>
      <c r="D5747" s="2">
        <v>40252</v>
      </c>
      <c r="E5747" s="1" t="s">
        <v>11487</v>
      </c>
      <c r="F5747" s="1" t="s">
        <v>95</v>
      </c>
    </row>
    <row r="5748" spans="1:6" ht="30" customHeight="1" x14ac:dyDescent="0.25">
      <c r="A5748" s="1" t="s">
        <v>11488</v>
      </c>
      <c r="B5748" s="1" t="str">
        <f>"9780813549224"</f>
        <v>9780813549224</v>
      </c>
      <c r="C5748" s="1" t="s">
        <v>3656</v>
      </c>
      <c r="D5748" s="2">
        <v>40224</v>
      </c>
      <c r="E5748" s="1" t="s">
        <v>11489</v>
      </c>
      <c r="F5748" s="1" t="s">
        <v>13</v>
      </c>
    </row>
    <row r="5749" spans="1:6" ht="30" customHeight="1" x14ac:dyDescent="0.25">
      <c r="A5749" s="1" t="s">
        <v>11490</v>
      </c>
      <c r="B5749" s="1" t="str">
        <f>"9781849409650"</f>
        <v>9781849409650</v>
      </c>
      <c r="C5749" s="1" t="s">
        <v>8994</v>
      </c>
      <c r="D5749" s="2">
        <v>40966</v>
      </c>
      <c r="E5749" s="1" t="s">
        <v>11491</v>
      </c>
      <c r="F5749" s="1" t="s">
        <v>104</v>
      </c>
    </row>
    <row r="5750" spans="1:6" ht="30" customHeight="1" x14ac:dyDescent="0.25">
      <c r="A5750" s="1" t="s">
        <v>11492</v>
      </c>
      <c r="B5750" s="1" t="str">
        <f>"9780520922068"</f>
        <v>9780520922068</v>
      </c>
      <c r="C5750" s="1" t="s">
        <v>818</v>
      </c>
      <c r="D5750" s="2">
        <v>35460</v>
      </c>
      <c r="E5750" s="1" t="s">
        <v>11493</v>
      </c>
      <c r="F5750" s="1" t="s">
        <v>87</v>
      </c>
    </row>
    <row r="5751" spans="1:6" ht="30" customHeight="1" x14ac:dyDescent="0.25">
      <c r="A5751" s="1" t="s">
        <v>11494</v>
      </c>
      <c r="B5751" s="1" t="str">
        <f>"9780813549194"</f>
        <v>9780813549194</v>
      </c>
      <c r="C5751" s="1" t="s">
        <v>3656</v>
      </c>
      <c r="D5751" s="2">
        <v>40224</v>
      </c>
      <c r="E5751" s="1" t="s">
        <v>11495</v>
      </c>
      <c r="F5751" s="1" t="s">
        <v>650</v>
      </c>
    </row>
    <row r="5752" spans="1:6" ht="30" customHeight="1" x14ac:dyDescent="0.25">
      <c r="A5752" s="1" t="s">
        <v>11496</v>
      </c>
      <c r="B5752" s="1" t="str">
        <f>"9780813549088"</f>
        <v>9780813549088</v>
      </c>
      <c r="C5752" s="1" t="s">
        <v>3656</v>
      </c>
      <c r="D5752" s="2">
        <v>40162</v>
      </c>
      <c r="E5752" s="1" t="s">
        <v>11497</v>
      </c>
      <c r="F5752" s="1" t="s">
        <v>87</v>
      </c>
    </row>
    <row r="5753" spans="1:6" ht="30" customHeight="1" x14ac:dyDescent="0.25">
      <c r="A5753" s="1" t="s">
        <v>11498</v>
      </c>
      <c r="B5753" s="1" t="str">
        <f>"9780813549118"</f>
        <v>9780813549118</v>
      </c>
      <c r="C5753" s="1" t="s">
        <v>3656</v>
      </c>
      <c r="D5753" s="2">
        <v>40193</v>
      </c>
      <c r="E5753" s="1" t="s">
        <v>11499</v>
      </c>
      <c r="F5753" s="1" t="s">
        <v>13</v>
      </c>
    </row>
    <row r="5754" spans="1:6" ht="30" customHeight="1" x14ac:dyDescent="0.25">
      <c r="A5754" s="1" t="s">
        <v>11500</v>
      </c>
      <c r="B5754" s="1" t="str">
        <f>"9780813548128"</f>
        <v>9780813548128</v>
      </c>
      <c r="C5754" s="1" t="s">
        <v>3656</v>
      </c>
      <c r="D5754" s="2">
        <v>40130</v>
      </c>
      <c r="E5754" s="1" t="s">
        <v>11501</v>
      </c>
      <c r="F5754" s="1" t="s">
        <v>30</v>
      </c>
    </row>
    <row r="5755" spans="1:6" ht="30" customHeight="1" x14ac:dyDescent="0.25">
      <c r="A5755" s="1" t="s">
        <v>11502</v>
      </c>
      <c r="B5755" s="1" t="str">
        <f>"9780813549095"</f>
        <v>9780813549095</v>
      </c>
      <c r="C5755" s="1" t="s">
        <v>3656</v>
      </c>
      <c r="D5755" s="2">
        <v>41773</v>
      </c>
      <c r="E5755" s="1" t="s">
        <v>11503</v>
      </c>
      <c r="F5755" s="1" t="s">
        <v>13</v>
      </c>
    </row>
    <row r="5756" spans="1:6" ht="30" customHeight="1" x14ac:dyDescent="0.25">
      <c r="A5756" s="1" t="s">
        <v>11504</v>
      </c>
      <c r="B5756" s="1" t="str">
        <f>"9789048514977"</f>
        <v>9789048514977</v>
      </c>
      <c r="C5756" s="1" t="s">
        <v>5455</v>
      </c>
      <c r="D5756" s="2">
        <v>40544</v>
      </c>
      <c r="E5756" s="1" t="s">
        <v>11505</v>
      </c>
      <c r="F5756" s="1" t="s">
        <v>30</v>
      </c>
    </row>
    <row r="5757" spans="1:6" ht="30" customHeight="1" x14ac:dyDescent="0.25">
      <c r="A5757" s="1" t="s">
        <v>11506</v>
      </c>
      <c r="B5757" s="1" t="str">
        <f>"9780813548173"</f>
        <v>9780813548173</v>
      </c>
      <c r="C5757" s="1" t="s">
        <v>3656</v>
      </c>
      <c r="D5757" s="2">
        <v>40101</v>
      </c>
      <c r="E5757" s="1" t="s">
        <v>11507</v>
      </c>
      <c r="F5757" s="1" t="s">
        <v>356</v>
      </c>
    </row>
    <row r="5758" spans="1:6" ht="30" customHeight="1" x14ac:dyDescent="0.25">
      <c r="A5758" s="1" t="s">
        <v>11508</v>
      </c>
      <c r="B5758" s="1" t="str">
        <f>"9780813548197"</f>
        <v>9780813548197</v>
      </c>
      <c r="C5758" s="1" t="s">
        <v>3656</v>
      </c>
      <c r="D5758" s="2">
        <v>40132</v>
      </c>
      <c r="E5758" s="1" t="s">
        <v>11509</v>
      </c>
      <c r="F5758" s="1" t="s">
        <v>13</v>
      </c>
    </row>
    <row r="5759" spans="1:6" ht="30" customHeight="1" x14ac:dyDescent="0.25">
      <c r="A5759" s="1" t="s">
        <v>11510</v>
      </c>
      <c r="B5759" s="1" t="str">
        <f>"9780813548210"</f>
        <v>9780813548210</v>
      </c>
      <c r="C5759" s="1" t="s">
        <v>3656</v>
      </c>
      <c r="D5759" s="2">
        <v>40114</v>
      </c>
      <c r="E5759" s="1" t="s">
        <v>11511</v>
      </c>
      <c r="F5759" s="1" t="s">
        <v>30</v>
      </c>
    </row>
    <row r="5760" spans="1:6" ht="30" customHeight="1" x14ac:dyDescent="0.25">
      <c r="A5760" s="1" t="s">
        <v>11512</v>
      </c>
      <c r="B5760" s="1" t="str">
        <f>"9781599470351"</f>
        <v>9781599470351</v>
      </c>
      <c r="C5760" s="1" t="s">
        <v>9984</v>
      </c>
      <c r="D5760" s="2">
        <v>40026</v>
      </c>
      <c r="E5760" s="1" t="s">
        <v>11513</v>
      </c>
      <c r="F5760" s="1" t="s">
        <v>95</v>
      </c>
    </row>
    <row r="5761" spans="1:6" ht="30" customHeight="1" x14ac:dyDescent="0.25">
      <c r="A5761" s="1" t="s">
        <v>11514</v>
      </c>
      <c r="B5761" s="1" t="str">
        <f>"9781118380765"</f>
        <v>9781118380765</v>
      </c>
      <c r="C5761" s="1" t="s">
        <v>65</v>
      </c>
      <c r="D5761" s="2">
        <v>40962</v>
      </c>
      <c r="E5761" s="1" t="s">
        <v>11515</v>
      </c>
      <c r="F5761" s="1" t="s">
        <v>13</v>
      </c>
    </row>
    <row r="5762" spans="1:6" ht="30" customHeight="1" x14ac:dyDescent="0.25">
      <c r="A5762" s="1" t="s">
        <v>11516</v>
      </c>
      <c r="B5762" s="1" t="str">
        <f>"9780313397165"</f>
        <v>9780313397165</v>
      </c>
      <c r="C5762" s="1" t="s">
        <v>7550</v>
      </c>
      <c r="D5762" s="2">
        <v>40961</v>
      </c>
      <c r="E5762" s="1" t="s">
        <v>11517</v>
      </c>
      <c r="F5762" s="1" t="s">
        <v>13</v>
      </c>
    </row>
    <row r="5763" spans="1:6" ht="30" customHeight="1" x14ac:dyDescent="0.25">
      <c r="A5763" s="1" t="s">
        <v>11518</v>
      </c>
      <c r="B5763" s="1" t="str">
        <f>"9780813548302"</f>
        <v>9780813548302</v>
      </c>
      <c r="C5763" s="1" t="s">
        <v>3656</v>
      </c>
      <c r="D5763" s="2">
        <v>41773</v>
      </c>
      <c r="E5763" s="1" t="s">
        <v>11519</v>
      </c>
      <c r="F5763" s="1" t="s">
        <v>11520</v>
      </c>
    </row>
    <row r="5764" spans="1:6" ht="30" customHeight="1" x14ac:dyDescent="0.25">
      <c r="A5764" s="1" t="s">
        <v>11521</v>
      </c>
      <c r="B5764" s="1" t="str">
        <f>"9783527630912"</f>
        <v>9783527630912</v>
      </c>
      <c r="C5764" s="1" t="s">
        <v>65</v>
      </c>
      <c r="D5764" s="2">
        <v>40962</v>
      </c>
      <c r="E5764" s="1" t="s">
        <v>11522</v>
      </c>
      <c r="F5764" s="1" t="s">
        <v>137</v>
      </c>
    </row>
    <row r="5765" spans="1:6" ht="30" customHeight="1" x14ac:dyDescent="0.25">
      <c r="A5765" s="1" t="s">
        <v>11523</v>
      </c>
      <c r="B5765" s="1" t="str">
        <f>"9781118321409"</f>
        <v>9781118321409</v>
      </c>
      <c r="C5765" s="1" t="s">
        <v>65</v>
      </c>
      <c r="D5765" s="2">
        <v>40967</v>
      </c>
      <c r="E5765" s="1" t="s">
        <v>11524</v>
      </c>
      <c r="F5765" s="1" t="s">
        <v>13</v>
      </c>
    </row>
    <row r="5766" spans="1:6" ht="30" customHeight="1" x14ac:dyDescent="0.25">
      <c r="A5766" s="1" t="s">
        <v>11525</v>
      </c>
      <c r="B5766" s="1" t="str">
        <f>"9781118274170"</f>
        <v>9781118274170</v>
      </c>
      <c r="C5766" s="1" t="s">
        <v>65</v>
      </c>
      <c r="D5766" s="2">
        <v>41012</v>
      </c>
      <c r="E5766" s="1" t="s">
        <v>11526</v>
      </c>
      <c r="F5766" s="1" t="s">
        <v>13</v>
      </c>
    </row>
    <row r="5767" spans="1:6" ht="30" customHeight="1" x14ac:dyDescent="0.25">
      <c r="A5767" s="1" t="s">
        <v>11527</v>
      </c>
      <c r="B5767" s="1" t="str">
        <f>"9781861898227"</f>
        <v>9781861898227</v>
      </c>
      <c r="C5767" s="1" t="s">
        <v>8471</v>
      </c>
      <c r="D5767" s="2">
        <v>40940</v>
      </c>
      <c r="E5767" s="1" t="s">
        <v>11528</v>
      </c>
      <c r="F5767" s="1" t="s">
        <v>13</v>
      </c>
    </row>
    <row r="5768" spans="1:6" ht="30" customHeight="1" x14ac:dyDescent="0.25">
      <c r="A5768" s="1" t="s">
        <v>11529</v>
      </c>
      <c r="B5768" s="1" t="str">
        <f>"9780813552170"</f>
        <v>9780813552170</v>
      </c>
      <c r="C5768" s="1" t="s">
        <v>3656</v>
      </c>
      <c r="D5768" s="2">
        <v>40801</v>
      </c>
      <c r="E5768" s="1" t="s">
        <v>11530</v>
      </c>
      <c r="F5768" s="1" t="s">
        <v>13</v>
      </c>
    </row>
    <row r="5769" spans="1:6" ht="30" customHeight="1" x14ac:dyDescent="0.25">
      <c r="A5769" s="1" t="s">
        <v>11531</v>
      </c>
      <c r="B5769" s="1" t="str">
        <f>"9780813551081"</f>
        <v>9780813551081</v>
      </c>
      <c r="C5769" s="1" t="s">
        <v>3656</v>
      </c>
      <c r="D5769" s="2">
        <v>40611</v>
      </c>
      <c r="E5769" s="1" t="s">
        <v>11532</v>
      </c>
      <c r="F5769" s="1" t="s">
        <v>95</v>
      </c>
    </row>
    <row r="5770" spans="1:6" ht="30" customHeight="1" x14ac:dyDescent="0.25">
      <c r="A5770" s="1" t="s">
        <v>11533</v>
      </c>
      <c r="B5770" s="1" t="str">
        <f>"9780813548357"</f>
        <v>9780813548357</v>
      </c>
      <c r="C5770" s="1" t="s">
        <v>3656</v>
      </c>
      <c r="D5770" s="2">
        <v>40101</v>
      </c>
      <c r="E5770" s="1" t="s">
        <v>11534</v>
      </c>
      <c r="F5770" s="1" t="s">
        <v>95</v>
      </c>
    </row>
    <row r="5771" spans="1:6" ht="30" customHeight="1" x14ac:dyDescent="0.25">
      <c r="A5771" s="1" t="s">
        <v>11535</v>
      </c>
      <c r="B5771" s="1" t="str">
        <f>"9788897419181"</f>
        <v>9788897419181</v>
      </c>
      <c r="C5771" s="1" t="s">
        <v>10553</v>
      </c>
      <c r="D5771" s="2">
        <v>40981</v>
      </c>
      <c r="E5771" s="1" t="s">
        <v>11536</v>
      </c>
      <c r="F5771" s="1" t="s">
        <v>11537</v>
      </c>
    </row>
    <row r="5772" spans="1:6" ht="30" customHeight="1" x14ac:dyDescent="0.25">
      <c r="A5772" s="1" t="s">
        <v>11538</v>
      </c>
      <c r="B5772" s="1" t="str">
        <f>"9781118276143"</f>
        <v>9781118276143</v>
      </c>
      <c r="C5772" s="1" t="s">
        <v>65</v>
      </c>
      <c r="D5772" s="2">
        <v>40963</v>
      </c>
      <c r="E5772" s="1" t="s">
        <v>11539</v>
      </c>
      <c r="F5772" s="1" t="s">
        <v>82</v>
      </c>
    </row>
    <row r="5773" spans="1:6" ht="30" customHeight="1" x14ac:dyDescent="0.25">
      <c r="A5773" s="1" t="s">
        <v>11540</v>
      </c>
      <c r="B5773" s="1" t="str">
        <f>"9781118281512"</f>
        <v>9781118281512</v>
      </c>
      <c r="C5773" s="1" t="s">
        <v>65</v>
      </c>
      <c r="D5773" s="2">
        <v>40975</v>
      </c>
      <c r="E5773" s="1" t="s">
        <v>11541</v>
      </c>
      <c r="F5773" s="1" t="s">
        <v>13</v>
      </c>
    </row>
    <row r="5774" spans="1:6" ht="30" customHeight="1" x14ac:dyDescent="0.25">
      <c r="A5774" s="1" t="s">
        <v>11542</v>
      </c>
      <c r="B5774" s="1" t="str">
        <f>"9781118281789"</f>
        <v>9781118281789</v>
      </c>
      <c r="C5774" s="1" t="s">
        <v>65</v>
      </c>
      <c r="D5774" s="2">
        <v>40977</v>
      </c>
      <c r="E5774" s="1" t="s">
        <v>11543</v>
      </c>
      <c r="F5774" s="1" t="s">
        <v>13</v>
      </c>
    </row>
    <row r="5775" spans="1:6" ht="30" customHeight="1" x14ac:dyDescent="0.25">
      <c r="A5775" s="1" t="s">
        <v>11544</v>
      </c>
      <c r="B5775" s="1" t="str">
        <f>"9781119952947"</f>
        <v>9781119952947</v>
      </c>
      <c r="C5775" s="1" t="s">
        <v>65</v>
      </c>
      <c r="D5775" s="2">
        <v>40981</v>
      </c>
      <c r="E5775" s="1" t="s">
        <v>11545</v>
      </c>
      <c r="F5775" s="1" t="s">
        <v>13</v>
      </c>
    </row>
    <row r="5776" spans="1:6" ht="30" customHeight="1" x14ac:dyDescent="0.25">
      <c r="A5776" s="1" t="s">
        <v>11546</v>
      </c>
      <c r="B5776" s="1" t="str">
        <f>"9781119968542"</f>
        <v>9781119968542</v>
      </c>
      <c r="C5776" s="1" t="s">
        <v>11</v>
      </c>
      <c r="D5776" s="2">
        <v>40967</v>
      </c>
      <c r="E5776" s="1" t="s">
        <v>11547</v>
      </c>
      <c r="F5776" s="1" t="s">
        <v>13</v>
      </c>
    </row>
    <row r="5777" spans="1:6" ht="30" customHeight="1" x14ac:dyDescent="0.25">
      <c r="A5777" s="1" t="s">
        <v>11548</v>
      </c>
      <c r="B5777" s="1" t="str">
        <f>"9781118219386"</f>
        <v>9781118219386</v>
      </c>
      <c r="C5777" s="1" t="s">
        <v>65</v>
      </c>
      <c r="D5777" s="2">
        <v>41170</v>
      </c>
      <c r="E5777" s="1" t="s">
        <v>11549</v>
      </c>
      <c r="F5777" s="1" t="s">
        <v>30</v>
      </c>
    </row>
    <row r="5778" spans="1:6" ht="30" customHeight="1" x14ac:dyDescent="0.25">
      <c r="A5778" s="1" t="s">
        <v>11550</v>
      </c>
      <c r="B5778" s="1" t="str">
        <f>"9781118221013"</f>
        <v>9781118221013</v>
      </c>
      <c r="C5778" s="1" t="s">
        <v>65</v>
      </c>
      <c r="D5778" s="2">
        <v>40991</v>
      </c>
      <c r="E5778" s="1" t="s">
        <v>9470</v>
      </c>
      <c r="F5778" s="1" t="s">
        <v>13</v>
      </c>
    </row>
    <row r="5779" spans="1:6" ht="30" customHeight="1" x14ac:dyDescent="0.25">
      <c r="A5779" s="1" t="s">
        <v>11551</v>
      </c>
      <c r="B5779" s="1" t="str">
        <f>"9781118222348"</f>
        <v>9781118222348</v>
      </c>
      <c r="C5779" s="1" t="s">
        <v>11</v>
      </c>
      <c r="D5779" s="2">
        <v>41131</v>
      </c>
      <c r="E5779" s="1" t="s">
        <v>11552</v>
      </c>
      <c r="F5779" s="1" t="s">
        <v>176</v>
      </c>
    </row>
    <row r="5780" spans="1:6" ht="30" customHeight="1" x14ac:dyDescent="0.25">
      <c r="A5780" s="1" t="s">
        <v>11553</v>
      </c>
      <c r="B5780" s="1" t="str">
        <f>"9781118223710"</f>
        <v>9781118223710</v>
      </c>
      <c r="C5780" s="1" t="s">
        <v>65</v>
      </c>
      <c r="D5780" s="2">
        <v>41080</v>
      </c>
      <c r="E5780" s="1" t="s">
        <v>11554</v>
      </c>
      <c r="F5780" s="1" t="s">
        <v>95</v>
      </c>
    </row>
    <row r="5781" spans="1:6" ht="30" customHeight="1" x14ac:dyDescent="0.25">
      <c r="A5781" s="1" t="s">
        <v>11555</v>
      </c>
      <c r="B5781" s="1" t="str">
        <f>"9781118284902"</f>
        <v>9781118284902</v>
      </c>
      <c r="C5781" s="1" t="s">
        <v>65</v>
      </c>
      <c r="D5781" s="2">
        <v>41110</v>
      </c>
      <c r="E5781" s="1" t="s">
        <v>11556</v>
      </c>
      <c r="F5781" s="1" t="s">
        <v>1078</v>
      </c>
    </row>
    <row r="5782" spans="1:6" ht="30" customHeight="1" x14ac:dyDescent="0.25">
      <c r="A5782" s="1" t="s">
        <v>11557</v>
      </c>
      <c r="B5782" s="1" t="str">
        <f>"9781118342282"</f>
        <v>9781118342282</v>
      </c>
      <c r="C5782" s="1" t="s">
        <v>11</v>
      </c>
      <c r="D5782" s="2">
        <v>41086</v>
      </c>
      <c r="E5782" s="1" t="s">
        <v>11558</v>
      </c>
      <c r="F5782" s="1" t="s">
        <v>963</v>
      </c>
    </row>
    <row r="5783" spans="1:6" ht="30" customHeight="1" x14ac:dyDescent="0.25">
      <c r="A5783" s="1" t="s">
        <v>11559</v>
      </c>
      <c r="B5783" s="1" t="str">
        <f>"9781118354315"</f>
        <v>9781118354315</v>
      </c>
      <c r="C5783" s="1" t="s">
        <v>11</v>
      </c>
      <c r="D5783" s="2">
        <v>41109</v>
      </c>
      <c r="E5783" s="1" t="s">
        <v>11560</v>
      </c>
      <c r="F5783" s="1" t="s">
        <v>137</v>
      </c>
    </row>
    <row r="5784" spans="1:6" ht="30" customHeight="1" x14ac:dyDescent="0.25">
      <c r="A5784" s="1" t="s">
        <v>11561</v>
      </c>
      <c r="B5784" s="1" t="str">
        <f>"9783527645107"</f>
        <v>9783527645107</v>
      </c>
      <c r="C5784" s="1" t="s">
        <v>65</v>
      </c>
      <c r="D5784" s="2">
        <v>41038</v>
      </c>
      <c r="E5784" s="1" t="s">
        <v>11562</v>
      </c>
      <c r="F5784" s="1" t="s">
        <v>54</v>
      </c>
    </row>
    <row r="5785" spans="1:6" ht="30" customHeight="1" x14ac:dyDescent="0.25">
      <c r="A5785" s="1" t="s">
        <v>11563</v>
      </c>
      <c r="B5785" s="1" t="str">
        <f>"9783527651269"</f>
        <v>9783527651269</v>
      </c>
      <c r="C5785" s="1" t="s">
        <v>65</v>
      </c>
      <c r="D5785" s="2">
        <v>40976</v>
      </c>
      <c r="E5785" s="1" t="s">
        <v>11564</v>
      </c>
      <c r="F5785" s="1" t="s">
        <v>268</v>
      </c>
    </row>
    <row r="5786" spans="1:6" ht="30" customHeight="1" x14ac:dyDescent="0.25">
      <c r="A5786" s="1" t="s">
        <v>11565</v>
      </c>
      <c r="B5786" s="1" t="str">
        <f>"9780833059789"</f>
        <v>9780833059789</v>
      </c>
      <c r="C5786" s="1" t="s">
        <v>516</v>
      </c>
      <c r="D5786" s="2">
        <v>40919</v>
      </c>
      <c r="E5786" s="1" t="s">
        <v>11566</v>
      </c>
      <c r="F5786" s="1" t="s">
        <v>148</v>
      </c>
    </row>
    <row r="5787" spans="1:6" ht="30" customHeight="1" x14ac:dyDescent="0.25">
      <c r="A5787" s="1" t="s">
        <v>11567</v>
      </c>
      <c r="B5787" s="1" t="str">
        <f>"9781908541192"</f>
        <v>9781908541192</v>
      </c>
      <c r="C5787" s="1" t="s">
        <v>10006</v>
      </c>
      <c r="D5787" s="2">
        <v>40969</v>
      </c>
      <c r="E5787" s="1" t="s">
        <v>11568</v>
      </c>
      <c r="F5787" s="1" t="s">
        <v>13</v>
      </c>
    </row>
    <row r="5788" spans="1:6" ht="30" customHeight="1" x14ac:dyDescent="0.25">
      <c r="A5788" s="1" t="s">
        <v>11569</v>
      </c>
      <c r="B5788" s="1" t="str">
        <f>"9781907830792"</f>
        <v>9781907830792</v>
      </c>
      <c r="C5788" s="1" t="s">
        <v>11198</v>
      </c>
      <c r="D5788" s="2">
        <v>40969</v>
      </c>
      <c r="E5788" s="1" t="s">
        <v>11570</v>
      </c>
      <c r="F5788" s="1" t="s">
        <v>13</v>
      </c>
    </row>
    <row r="5789" spans="1:6" ht="30" customHeight="1" x14ac:dyDescent="0.25">
      <c r="A5789" s="1" t="s">
        <v>11571</v>
      </c>
      <c r="B5789" s="1" t="str">
        <f>"9781907830808"</f>
        <v>9781907830808</v>
      </c>
      <c r="C5789" s="1" t="s">
        <v>11198</v>
      </c>
      <c r="D5789" s="2">
        <v>40983</v>
      </c>
      <c r="E5789" s="1" t="s">
        <v>11572</v>
      </c>
      <c r="F5789" s="1" t="s">
        <v>234</v>
      </c>
    </row>
    <row r="5790" spans="1:6" ht="30" customHeight="1" x14ac:dyDescent="0.25">
      <c r="A5790" s="1" t="s">
        <v>11573</v>
      </c>
      <c r="B5790" s="1" t="str">
        <f>"9781608052592"</f>
        <v>9781608052592</v>
      </c>
      <c r="C5790" s="1" t="s">
        <v>11332</v>
      </c>
      <c r="D5790" s="2">
        <v>40938</v>
      </c>
      <c r="E5790" s="1" t="s">
        <v>11574</v>
      </c>
      <c r="F5790" s="1" t="s">
        <v>13</v>
      </c>
    </row>
    <row r="5791" spans="1:6" ht="30" customHeight="1" x14ac:dyDescent="0.25">
      <c r="A5791" s="1" t="s">
        <v>11575</v>
      </c>
      <c r="B5791" s="1" t="str">
        <f>"9781608053162"</f>
        <v>9781608053162</v>
      </c>
      <c r="C5791" s="1" t="s">
        <v>11332</v>
      </c>
      <c r="D5791" s="2">
        <v>40939</v>
      </c>
      <c r="E5791" s="1" t="s">
        <v>11576</v>
      </c>
      <c r="F5791" s="1" t="s">
        <v>11577</v>
      </c>
    </row>
    <row r="5792" spans="1:6" ht="30" customHeight="1" x14ac:dyDescent="0.25">
      <c r="A5792" s="1" t="s">
        <v>11578</v>
      </c>
      <c r="B5792" s="1" t="str">
        <f>"9781608051311"</f>
        <v>9781608051311</v>
      </c>
      <c r="C5792" s="1" t="s">
        <v>11332</v>
      </c>
      <c r="D5792" s="2">
        <v>40942</v>
      </c>
      <c r="E5792" s="1" t="s">
        <v>11579</v>
      </c>
      <c r="F5792" s="1" t="s">
        <v>13</v>
      </c>
    </row>
    <row r="5793" spans="1:6" ht="30" customHeight="1" x14ac:dyDescent="0.25">
      <c r="A5793" s="1" t="s">
        <v>11580</v>
      </c>
      <c r="B5793" s="1" t="str">
        <f>"9781608050192"</f>
        <v>9781608050192</v>
      </c>
      <c r="C5793" s="1" t="s">
        <v>11332</v>
      </c>
      <c r="D5793" s="2">
        <v>40942</v>
      </c>
      <c r="E5793" s="1" t="s">
        <v>11581</v>
      </c>
      <c r="F5793" s="1" t="s">
        <v>13</v>
      </c>
    </row>
    <row r="5794" spans="1:6" ht="30" customHeight="1" x14ac:dyDescent="0.25">
      <c r="A5794" s="1" t="s">
        <v>11582</v>
      </c>
      <c r="B5794" s="1" t="str">
        <f>"9781608050161"</f>
        <v>9781608050161</v>
      </c>
      <c r="C5794" s="1" t="s">
        <v>11332</v>
      </c>
      <c r="D5794" s="2">
        <v>40945</v>
      </c>
      <c r="E5794" s="1" t="s">
        <v>11583</v>
      </c>
      <c r="F5794" s="1" t="s">
        <v>13</v>
      </c>
    </row>
    <row r="5795" spans="1:6" ht="30" customHeight="1" x14ac:dyDescent="0.25">
      <c r="A5795" s="1" t="s">
        <v>11584</v>
      </c>
      <c r="B5795" s="1" t="str">
        <f>"9781608052387"</f>
        <v>9781608052387</v>
      </c>
      <c r="C5795" s="1" t="s">
        <v>11332</v>
      </c>
      <c r="D5795" s="2">
        <v>40946</v>
      </c>
      <c r="E5795" s="1" t="s">
        <v>11585</v>
      </c>
      <c r="F5795" s="1" t="s">
        <v>13</v>
      </c>
    </row>
    <row r="5796" spans="1:6" ht="30" customHeight="1" x14ac:dyDescent="0.25">
      <c r="A5796" s="1" t="s">
        <v>11586</v>
      </c>
      <c r="B5796" s="1" t="str">
        <f>"9781608052882"</f>
        <v>9781608052882</v>
      </c>
      <c r="C5796" s="1" t="s">
        <v>11332</v>
      </c>
      <c r="D5796" s="2">
        <v>40948</v>
      </c>
      <c r="E5796" s="1" t="s">
        <v>11587</v>
      </c>
      <c r="F5796" s="1" t="s">
        <v>13</v>
      </c>
    </row>
    <row r="5797" spans="1:6" ht="30" customHeight="1" x14ac:dyDescent="0.25">
      <c r="A5797" s="1" t="s">
        <v>11588</v>
      </c>
      <c r="B5797" s="1" t="str">
        <f>"9781608052936"</f>
        <v>9781608052936</v>
      </c>
      <c r="C5797" s="1" t="s">
        <v>11332</v>
      </c>
      <c r="D5797" s="2">
        <v>40948</v>
      </c>
      <c r="E5797" s="1" t="s">
        <v>11589</v>
      </c>
      <c r="F5797" s="1" t="s">
        <v>13</v>
      </c>
    </row>
    <row r="5798" spans="1:6" ht="30" customHeight="1" x14ac:dyDescent="0.25">
      <c r="A5798" s="1" t="s">
        <v>11590</v>
      </c>
      <c r="B5798" s="1" t="str">
        <f>"9781608053339"</f>
        <v>9781608053339</v>
      </c>
      <c r="C5798" s="1" t="s">
        <v>11332</v>
      </c>
      <c r="D5798" s="2">
        <v>40952</v>
      </c>
      <c r="E5798" s="1" t="s">
        <v>11591</v>
      </c>
      <c r="F5798" s="1" t="s">
        <v>13</v>
      </c>
    </row>
    <row r="5799" spans="1:6" ht="30" customHeight="1" x14ac:dyDescent="0.25">
      <c r="A5799" s="1" t="s">
        <v>11592</v>
      </c>
      <c r="B5799" s="1" t="str">
        <f>"9781608052929"</f>
        <v>9781608052929</v>
      </c>
      <c r="C5799" s="1" t="s">
        <v>11332</v>
      </c>
      <c r="D5799" s="2">
        <v>40953</v>
      </c>
      <c r="E5799" s="1" t="s">
        <v>11593</v>
      </c>
      <c r="F5799" s="1" t="s">
        <v>10770</v>
      </c>
    </row>
    <row r="5800" spans="1:6" ht="30" customHeight="1" x14ac:dyDescent="0.25">
      <c r="A5800" s="1" t="s">
        <v>11594</v>
      </c>
      <c r="B5800" s="1" t="str">
        <f>"9780826133854"</f>
        <v>9780826133854</v>
      </c>
      <c r="C5800" s="1" t="s">
        <v>2339</v>
      </c>
      <c r="D5800" s="2">
        <v>40909</v>
      </c>
      <c r="E5800" s="1" t="s">
        <v>11595</v>
      </c>
      <c r="F5800" s="1" t="s">
        <v>13</v>
      </c>
    </row>
    <row r="5801" spans="1:6" ht="30" customHeight="1" x14ac:dyDescent="0.25">
      <c r="A5801" s="1" t="s">
        <v>11596</v>
      </c>
      <c r="B5801" s="1" t="str">
        <f>"9780826107312"</f>
        <v>9780826107312</v>
      </c>
      <c r="C5801" s="1" t="s">
        <v>2339</v>
      </c>
      <c r="D5801" s="2">
        <v>40897</v>
      </c>
      <c r="E5801" s="1" t="s">
        <v>11597</v>
      </c>
      <c r="F5801" s="1" t="s">
        <v>13</v>
      </c>
    </row>
    <row r="5802" spans="1:6" ht="30" customHeight="1" x14ac:dyDescent="0.25">
      <c r="A5802" s="1" t="s">
        <v>11598</v>
      </c>
      <c r="B5802" s="1" t="str">
        <f>"9781118367476"</f>
        <v>9781118367476</v>
      </c>
      <c r="C5802" s="1" t="s">
        <v>65</v>
      </c>
      <c r="D5802" s="2">
        <v>41024</v>
      </c>
      <c r="E5802" s="1" t="s">
        <v>11599</v>
      </c>
      <c r="F5802" s="1" t="s">
        <v>13</v>
      </c>
    </row>
    <row r="5803" spans="1:6" ht="30" customHeight="1" x14ac:dyDescent="0.25">
      <c r="A5803" s="1" t="s">
        <v>11600</v>
      </c>
      <c r="B5803" s="1" t="str">
        <f>"9780313372124"</f>
        <v>9780313372124</v>
      </c>
      <c r="C5803" s="1" t="s">
        <v>7550</v>
      </c>
      <c r="D5803" s="2">
        <v>40218</v>
      </c>
      <c r="E5803" s="1" t="s">
        <v>11601</v>
      </c>
      <c r="F5803" s="1" t="s">
        <v>214</v>
      </c>
    </row>
    <row r="5804" spans="1:6" ht="30" customHeight="1" x14ac:dyDescent="0.25">
      <c r="A5804" s="1" t="s">
        <v>11602</v>
      </c>
      <c r="B5804" s="1" t="str">
        <f>"9781935281924"</f>
        <v>9781935281924</v>
      </c>
      <c r="C5804" s="1" t="s">
        <v>2339</v>
      </c>
      <c r="D5804" s="2">
        <v>40909</v>
      </c>
      <c r="E5804" s="1" t="s">
        <v>11603</v>
      </c>
      <c r="F5804" s="1" t="s">
        <v>13</v>
      </c>
    </row>
    <row r="5805" spans="1:6" ht="30" customHeight="1" x14ac:dyDescent="0.25">
      <c r="A5805" s="1" t="s">
        <v>11604</v>
      </c>
      <c r="B5805" s="1" t="str">
        <f>"9781118297186"</f>
        <v>9781118297186</v>
      </c>
      <c r="C5805" s="1" t="s">
        <v>65</v>
      </c>
      <c r="D5805" s="2">
        <v>40988</v>
      </c>
      <c r="E5805" s="1" t="s">
        <v>11605</v>
      </c>
      <c r="F5805" s="1" t="s">
        <v>13</v>
      </c>
    </row>
    <row r="5806" spans="1:6" ht="30" customHeight="1" x14ac:dyDescent="0.25">
      <c r="A5806" s="1" t="s">
        <v>11606</v>
      </c>
      <c r="B5806" s="1" t="str">
        <f>"9781119940678"</f>
        <v>9781119940678</v>
      </c>
      <c r="C5806" s="1" t="s">
        <v>11</v>
      </c>
      <c r="D5806" s="2">
        <v>40987</v>
      </c>
      <c r="E5806" s="1" t="s">
        <v>11607</v>
      </c>
      <c r="F5806" s="1" t="s">
        <v>3726</v>
      </c>
    </row>
    <row r="5807" spans="1:6" ht="30" customHeight="1" x14ac:dyDescent="0.25">
      <c r="A5807" s="1" t="s">
        <v>11608</v>
      </c>
      <c r="B5807" s="1" t="str">
        <f>"9780520952423"</f>
        <v>9780520952423</v>
      </c>
      <c r="C5807" s="1" t="s">
        <v>818</v>
      </c>
      <c r="D5807" s="2">
        <v>40884</v>
      </c>
      <c r="E5807" s="1" t="s">
        <v>11609</v>
      </c>
      <c r="F5807" s="1" t="s">
        <v>11610</v>
      </c>
    </row>
    <row r="5808" spans="1:6" ht="30" customHeight="1" x14ac:dyDescent="0.25">
      <c r="A5808" s="1" t="s">
        <v>11611</v>
      </c>
      <c r="B5808" s="1" t="str">
        <f>"9789004224292"</f>
        <v>9789004224292</v>
      </c>
      <c r="C5808" s="1" t="s">
        <v>906</v>
      </c>
      <c r="D5808" s="2">
        <v>40940</v>
      </c>
      <c r="E5808" s="1" t="s">
        <v>11612</v>
      </c>
      <c r="F5808" s="1" t="s">
        <v>13</v>
      </c>
    </row>
    <row r="5809" spans="1:6" ht="30" customHeight="1" x14ac:dyDescent="0.25">
      <c r="A5809" s="1" t="s">
        <v>11613</v>
      </c>
      <c r="B5809" s="1" t="str">
        <f>"9781439907542"</f>
        <v>9781439907542</v>
      </c>
      <c r="C5809" s="1" t="s">
        <v>3205</v>
      </c>
      <c r="D5809" s="2">
        <v>40940</v>
      </c>
      <c r="E5809" s="1" t="s">
        <v>11614</v>
      </c>
      <c r="F5809" s="1" t="s">
        <v>126</v>
      </c>
    </row>
    <row r="5810" spans="1:6" ht="30" customHeight="1" x14ac:dyDescent="0.25">
      <c r="A5810" s="1" t="s">
        <v>11615</v>
      </c>
      <c r="B5810" s="1" t="str">
        <f>"9781439906842"</f>
        <v>9781439906842</v>
      </c>
      <c r="C5810" s="1" t="s">
        <v>3205</v>
      </c>
      <c r="D5810" s="2">
        <v>40969</v>
      </c>
      <c r="E5810" s="1" t="s">
        <v>11616</v>
      </c>
      <c r="F5810" s="1" t="s">
        <v>30</v>
      </c>
    </row>
    <row r="5811" spans="1:6" ht="30" customHeight="1" x14ac:dyDescent="0.25">
      <c r="A5811" s="1" t="s">
        <v>11617</v>
      </c>
      <c r="B5811" s="1" t="str">
        <f>"9781849409704"</f>
        <v>9781849409704</v>
      </c>
      <c r="C5811" s="1" t="s">
        <v>68</v>
      </c>
      <c r="D5811" s="2">
        <v>41274</v>
      </c>
      <c r="E5811" s="1" t="s">
        <v>11618</v>
      </c>
      <c r="F5811" s="1" t="s">
        <v>13</v>
      </c>
    </row>
    <row r="5812" spans="1:6" ht="30" customHeight="1" x14ac:dyDescent="0.25">
      <c r="A5812" s="1" t="s">
        <v>11619</v>
      </c>
      <c r="B5812" s="1" t="str">
        <f>"9781118129739"</f>
        <v>9781118129739</v>
      </c>
      <c r="C5812" s="1" t="s">
        <v>65</v>
      </c>
      <c r="D5812" s="2">
        <v>40848</v>
      </c>
      <c r="E5812" s="1" t="s">
        <v>11620</v>
      </c>
      <c r="F5812" s="1" t="s">
        <v>13</v>
      </c>
    </row>
    <row r="5813" spans="1:6" ht="30" customHeight="1" x14ac:dyDescent="0.25">
      <c r="A5813" s="1" t="s">
        <v>11621</v>
      </c>
      <c r="B5813" s="1" t="str">
        <f>"9781118156353"</f>
        <v>9781118156353</v>
      </c>
      <c r="C5813" s="1" t="s">
        <v>11</v>
      </c>
      <c r="D5813" s="2">
        <v>40809</v>
      </c>
      <c r="E5813" s="1" t="s">
        <v>11622</v>
      </c>
      <c r="F5813" s="1" t="s">
        <v>33</v>
      </c>
    </row>
    <row r="5814" spans="1:6" ht="30" customHeight="1" x14ac:dyDescent="0.25">
      <c r="A5814" s="1" t="s">
        <v>11623</v>
      </c>
      <c r="B5814" s="1" t="str">
        <f>"9781118221235"</f>
        <v>9781118221235</v>
      </c>
      <c r="C5814" s="1" t="s">
        <v>65</v>
      </c>
      <c r="D5814" s="2">
        <v>40990</v>
      </c>
      <c r="E5814" s="1" t="s">
        <v>11624</v>
      </c>
      <c r="F5814" s="1" t="s">
        <v>268</v>
      </c>
    </row>
    <row r="5815" spans="1:6" ht="30" customHeight="1" x14ac:dyDescent="0.25">
      <c r="A5815" s="1" t="s">
        <v>11625</v>
      </c>
      <c r="B5815" s="1" t="str">
        <f>"9781119968597"</f>
        <v>9781119968597</v>
      </c>
      <c r="C5815" s="1" t="s">
        <v>65</v>
      </c>
      <c r="D5815" s="2">
        <v>40990</v>
      </c>
      <c r="E5815" s="1" t="s">
        <v>11626</v>
      </c>
      <c r="F5815" s="1" t="s">
        <v>13</v>
      </c>
    </row>
    <row r="5816" spans="1:6" ht="30" customHeight="1" x14ac:dyDescent="0.25">
      <c r="A5816" s="1" t="s">
        <v>11627</v>
      </c>
      <c r="B5816" s="1" t="str">
        <f>"9781119962212"</f>
        <v>9781119962212</v>
      </c>
      <c r="C5816" s="1" t="s">
        <v>11</v>
      </c>
      <c r="D5816" s="2">
        <v>40991</v>
      </c>
      <c r="E5816" s="1" t="s">
        <v>11628</v>
      </c>
      <c r="F5816" s="1" t="s">
        <v>13</v>
      </c>
    </row>
    <row r="5817" spans="1:6" ht="30" customHeight="1" x14ac:dyDescent="0.25">
      <c r="A5817" s="1" t="s">
        <v>11629</v>
      </c>
      <c r="B5817" s="1" t="str">
        <f>"9781849409582"</f>
        <v>9781849409582</v>
      </c>
      <c r="C5817" s="1" t="s">
        <v>8994</v>
      </c>
      <c r="D5817" s="2">
        <v>40947</v>
      </c>
      <c r="E5817" s="1" t="s">
        <v>11630</v>
      </c>
      <c r="F5817" s="1" t="s">
        <v>13</v>
      </c>
    </row>
    <row r="5818" spans="1:6" ht="30" customHeight="1" x14ac:dyDescent="0.25">
      <c r="A5818" s="1" t="s">
        <v>11631</v>
      </c>
      <c r="B5818" s="1" t="str">
        <f>"9780807869154"</f>
        <v>9780807869154</v>
      </c>
      <c r="C5818" s="1" t="s">
        <v>6600</v>
      </c>
      <c r="D5818" s="2">
        <v>40878</v>
      </c>
      <c r="E5818" s="1" t="s">
        <v>11632</v>
      </c>
      <c r="F5818" s="1" t="s">
        <v>95</v>
      </c>
    </row>
    <row r="5819" spans="1:6" ht="30" customHeight="1" x14ac:dyDescent="0.25">
      <c r="A5819" s="1" t="s">
        <v>11633</v>
      </c>
      <c r="B5819" s="1" t="str">
        <f>"9781119942979"</f>
        <v>9781119942979</v>
      </c>
      <c r="C5819" s="1" t="s">
        <v>11</v>
      </c>
      <c r="D5819" s="2">
        <v>40991</v>
      </c>
      <c r="E5819" s="1" t="s">
        <v>11634</v>
      </c>
      <c r="F5819" s="1" t="s">
        <v>70</v>
      </c>
    </row>
    <row r="5820" spans="1:6" ht="30" customHeight="1" x14ac:dyDescent="0.25">
      <c r="A5820" s="1" t="s">
        <v>11635</v>
      </c>
      <c r="B5820" s="1" t="str">
        <f>"9781118290965"</f>
        <v>9781118290965</v>
      </c>
      <c r="C5820" s="1" t="s">
        <v>65</v>
      </c>
      <c r="D5820" s="2">
        <v>40995</v>
      </c>
      <c r="E5820" s="1" t="s">
        <v>11636</v>
      </c>
      <c r="F5820" s="1" t="s">
        <v>70</v>
      </c>
    </row>
    <row r="5821" spans="1:6" ht="30" customHeight="1" x14ac:dyDescent="0.25">
      <c r="A5821" s="1" t="s">
        <v>11637</v>
      </c>
      <c r="B5821" s="1" t="str">
        <f>"9780313385100"</f>
        <v>9780313385100</v>
      </c>
      <c r="C5821" s="1" t="s">
        <v>7550</v>
      </c>
      <c r="D5821" s="2">
        <v>41005</v>
      </c>
      <c r="E5821" s="1" t="s">
        <v>11638</v>
      </c>
      <c r="F5821" s="1" t="s">
        <v>541</v>
      </c>
    </row>
    <row r="5822" spans="1:6" ht="30" customHeight="1" x14ac:dyDescent="0.25">
      <c r="A5822" s="1" t="s">
        <v>11639</v>
      </c>
      <c r="B5822" s="1" t="str">
        <f>"9781119950929"</f>
        <v>9781119950929</v>
      </c>
      <c r="C5822" s="1" t="s">
        <v>65</v>
      </c>
      <c r="D5822" s="2">
        <v>40876</v>
      </c>
      <c r="E5822" s="1" t="s">
        <v>11640</v>
      </c>
      <c r="F5822" s="1" t="s">
        <v>137</v>
      </c>
    </row>
    <row r="5823" spans="1:6" ht="30" customHeight="1" x14ac:dyDescent="0.25">
      <c r="A5823" s="1" t="s">
        <v>11641</v>
      </c>
      <c r="B5823" s="1" t="str">
        <f>"9781849409728"</f>
        <v>9781849409728</v>
      </c>
      <c r="C5823" s="1" t="s">
        <v>8994</v>
      </c>
      <c r="D5823" s="2">
        <v>40989</v>
      </c>
      <c r="E5823" s="1" t="s">
        <v>6673</v>
      </c>
      <c r="F5823" s="1" t="s">
        <v>13</v>
      </c>
    </row>
    <row r="5824" spans="1:6" ht="30" customHeight="1" x14ac:dyDescent="0.25">
      <c r="A5824" s="1" t="s">
        <v>11642</v>
      </c>
      <c r="B5824" s="1" t="str">
        <f>"9781119945918"</f>
        <v>9781119945918</v>
      </c>
      <c r="C5824" s="1" t="s">
        <v>11</v>
      </c>
      <c r="D5824" s="2">
        <v>40997</v>
      </c>
      <c r="E5824" s="1" t="s">
        <v>11643</v>
      </c>
      <c r="F5824" s="1" t="s">
        <v>13</v>
      </c>
    </row>
    <row r="5825" spans="1:6" ht="30" customHeight="1" x14ac:dyDescent="0.25">
      <c r="A5825" s="1" t="s">
        <v>11644</v>
      </c>
      <c r="B5825" s="1" t="str">
        <f>"9781604431124"</f>
        <v>9781604431124</v>
      </c>
      <c r="C5825" s="1" t="s">
        <v>11645</v>
      </c>
      <c r="D5825" s="2">
        <v>41000</v>
      </c>
      <c r="E5825" s="1" t="s">
        <v>11645</v>
      </c>
      <c r="F5825" s="1" t="s">
        <v>13</v>
      </c>
    </row>
    <row r="5826" spans="1:6" ht="30" customHeight="1" x14ac:dyDescent="0.25">
      <c r="A5826" s="1" t="s">
        <v>11646</v>
      </c>
      <c r="B5826" s="1" t="str">
        <f>"9781908517128"</f>
        <v>9781908517128</v>
      </c>
      <c r="C5826" s="1" t="s">
        <v>11647</v>
      </c>
      <c r="D5826" s="2">
        <v>39448</v>
      </c>
      <c r="E5826" s="1" t="s">
        <v>11648</v>
      </c>
      <c r="F5826" s="1" t="s">
        <v>13</v>
      </c>
    </row>
    <row r="5827" spans="1:6" ht="30" customHeight="1" x14ac:dyDescent="0.25">
      <c r="A5827" s="1" t="s">
        <v>11649</v>
      </c>
      <c r="B5827" s="1" t="str">
        <f>"9780199774500"</f>
        <v>9780199774500</v>
      </c>
      <c r="C5827" s="1" t="s">
        <v>1120</v>
      </c>
      <c r="D5827" s="2">
        <v>35754</v>
      </c>
      <c r="E5827" s="1" t="s">
        <v>6219</v>
      </c>
      <c r="F5827" s="1" t="s">
        <v>13</v>
      </c>
    </row>
    <row r="5828" spans="1:6" ht="30" customHeight="1" x14ac:dyDescent="0.25">
      <c r="A5828" s="1" t="s">
        <v>11650</v>
      </c>
      <c r="B5828" s="1" t="str">
        <f>"9780191634130"</f>
        <v>9780191634130</v>
      </c>
      <c r="C5828" s="1" t="s">
        <v>1120</v>
      </c>
      <c r="D5828" s="2">
        <v>40857</v>
      </c>
      <c r="E5828" s="1" t="s">
        <v>11651</v>
      </c>
      <c r="F5828" s="1" t="s">
        <v>13</v>
      </c>
    </row>
    <row r="5829" spans="1:6" ht="30" customHeight="1" x14ac:dyDescent="0.25">
      <c r="A5829" s="1" t="s">
        <v>11652</v>
      </c>
      <c r="B5829" s="1" t="str">
        <f>"9780199719747"</f>
        <v>9780199719747</v>
      </c>
      <c r="C5829" s="1" t="s">
        <v>1123</v>
      </c>
      <c r="D5829" s="2">
        <v>39023</v>
      </c>
      <c r="E5829" s="1" t="s">
        <v>11653</v>
      </c>
      <c r="F5829" s="1" t="s">
        <v>7847</v>
      </c>
    </row>
    <row r="5830" spans="1:6" ht="30" customHeight="1" x14ac:dyDescent="0.25">
      <c r="A5830" s="1" t="s">
        <v>11654</v>
      </c>
      <c r="B5830" s="1" t="str">
        <f>"9781608053414"</f>
        <v>9781608053414</v>
      </c>
      <c r="C5830" s="1" t="s">
        <v>11332</v>
      </c>
      <c r="D5830" s="2">
        <v>40988</v>
      </c>
      <c r="E5830" s="1" t="s">
        <v>11655</v>
      </c>
      <c r="F5830" s="1" t="s">
        <v>11656</v>
      </c>
    </row>
    <row r="5831" spans="1:6" ht="30" customHeight="1" x14ac:dyDescent="0.25">
      <c r="A5831" s="1" t="s">
        <v>11657</v>
      </c>
      <c r="B5831" s="1" t="str">
        <f>"9781608053483"</f>
        <v>9781608053483</v>
      </c>
      <c r="C5831" s="1" t="s">
        <v>11332</v>
      </c>
      <c r="D5831" s="2">
        <v>40983</v>
      </c>
      <c r="E5831" s="1" t="s">
        <v>11658</v>
      </c>
      <c r="F5831" s="1" t="s">
        <v>11659</v>
      </c>
    </row>
    <row r="5832" spans="1:6" ht="30" customHeight="1" x14ac:dyDescent="0.25">
      <c r="A5832" s="1" t="s">
        <v>11660</v>
      </c>
      <c r="B5832" s="1" t="str">
        <f>"9783110259803"</f>
        <v>9783110259803</v>
      </c>
      <c r="C5832" s="1" t="s">
        <v>1848</v>
      </c>
      <c r="D5832" s="2">
        <v>41001</v>
      </c>
      <c r="E5832" s="1" t="s">
        <v>11661</v>
      </c>
      <c r="F5832" s="1" t="s">
        <v>13</v>
      </c>
    </row>
    <row r="5833" spans="1:6" ht="30" customHeight="1" x14ac:dyDescent="0.25">
      <c r="A5833" s="1" t="s">
        <v>11662</v>
      </c>
      <c r="B5833" s="1" t="str">
        <f>"9783110255706"</f>
        <v>9783110255706</v>
      </c>
      <c r="C5833" s="1" t="s">
        <v>1848</v>
      </c>
      <c r="D5833" s="2">
        <v>41001</v>
      </c>
      <c r="E5833" s="1" t="s">
        <v>11663</v>
      </c>
      <c r="F5833" s="1" t="s">
        <v>13</v>
      </c>
    </row>
    <row r="5834" spans="1:6" ht="30" customHeight="1" x14ac:dyDescent="0.25">
      <c r="A5834" s="1" t="s">
        <v>11664</v>
      </c>
      <c r="B5834" s="1" t="str">
        <f>"9783110276367"</f>
        <v>9783110276367</v>
      </c>
      <c r="C5834" s="1" t="s">
        <v>1848</v>
      </c>
      <c r="D5834" s="2">
        <v>41001</v>
      </c>
      <c r="E5834" s="1" t="s">
        <v>11665</v>
      </c>
      <c r="F5834" s="1" t="s">
        <v>268</v>
      </c>
    </row>
    <row r="5835" spans="1:6" ht="30" customHeight="1" x14ac:dyDescent="0.25">
      <c r="A5835" s="1" t="s">
        <v>11666</v>
      </c>
      <c r="B5835" s="1" t="str">
        <f>"9781118314975"</f>
        <v>9781118314975</v>
      </c>
      <c r="C5835" s="1" t="s">
        <v>65</v>
      </c>
      <c r="D5835" s="2">
        <v>40995</v>
      </c>
      <c r="E5835" s="1" t="s">
        <v>11667</v>
      </c>
      <c r="F5835" s="1" t="s">
        <v>13</v>
      </c>
    </row>
    <row r="5836" spans="1:6" ht="30" customHeight="1" x14ac:dyDescent="0.25">
      <c r="A5836" s="1" t="s">
        <v>11668</v>
      </c>
      <c r="B5836" s="1" t="str">
        <f>"9781118355268"</f>
        <v>9781118355268</v>
      </c>
      <c r="C5836" s="1" t="s">
        <v>65</v>
      </c>
      <c r="D5836" s="2">
        <v>41003</v>
      </c>
      <c r="E5836" s="1" t="s">
        <v>11669</v>
      </c>
      <c r="F5836" s="1" t="s">
        <v>13</v>
      </c>
    </row>
    <row r="5837" spans="1:6" ht="30" customHeight="1" x14ac:dyDescent="0.25">
      <c r="A5837" s="1" t="s">
        <v>11670</v>
      </c>
      <c r="B5837" s="1" t="str">
        <f>"9781119966982"</f>
        <v>9781119966982</v>
      </c>
      <c r="C5837" s="1" t="s">
        <v>65</v>
      </c>
      <c r="D5837" s="2">
        <v>41003</v>
      </c>
      <c r="E5837" s="1" t="s">
        <v>11671</v>
      </c>
      <c r="F5837" s="1" t="s">
        <v>13</v>
      </c>
    </row>
    <row r="5838" spans="1:6" ht="30" customHeight="1" x14ac:dyDescent="0.25">
      <c r="A5838" s="1" t="s">
        <v>11672</v>
      </c>
      <c r="B5838" s="1" t="str">
        <f>"9781118350492"</f>
        <v>9781118350492</v>
      </c>
      <c r="C5838" s="1" t="s">
        <v>65</v>
      </c>
      <c r="D5838" s="2">
        <v>41004</v>
      </c>
      <c r="E5838" s="1" t="s">
        <v>11673</v>
      </c>
      <c r="F5838" s="1" t="s">
        <v>30</v>
      </c>
    </row>
    <row r="5839" spans="1:6" ht="30" customHeight="1" x14ac:dyDescent="0.25">
      <c r="A5839" s="1" t="s">
        <v>11674</v>
      </c>
      <c r="B5839" s="1" t="str">
        <f>"9781607509660"</f>
        <v>9781607509660</v>
      </c>
      <c r="C5839" s="1" t="s">
        <v>1390</v>
      </c>
      <c r="D5839" s="2">
        <v>40919</v>
      </c>
      <c r="E5839" s="1" t="s">
        <v>11675</v>
      </c>
      <c r="F5839" s="1" t="s">
        <v>13</v>
      </c>
    </row>
    <row r="5840" spans="1:6" ht="30" customHeight="1" x14ac:dyDescent="0.25">
      <c r="A5840" s="1" t="s">
        <v>11676</v>
      </c>
      <c r="B5840" s="1" t="str">
        <f>"9781607509943"</f>
        <v>9781607509943</v>
      </c>
      <c r="C5840" s="1" t="s">
        <v>1390</v>
      </c>
      <c r="D5840" s="2">
        <v>40952</v>
      </c>
      <c r="E5840" s="1" t="s">
        <v>11677</v>
      </c>
      <c r="F5840" s="1" t="s">
        <v>33</v>
      </c>
    </row>
    <row r="5841" spans="1:6" ht="30" customHeight="1" x14ac:dyDescent="0.25">
      <c r="A5841" s="1" t="s">
        <v>11678</v>
      </c>
      <c r="B5841" s="1" t="str">
        <f>"9781614990246"</f>
        <v>9781614990246</v>
      </c>
      <c r="C5841" s="1" t="s">
        <v>1390</v>
      </c>
      <c r="D5841" s="2">
        <v>40994</v>
      </c>
      <c r="E5841" s="1" t="s">
        <v>11679</v>
      </c>
      <c r="F5841" s="1" t="s">
        <v>13</v>
      </c>
    </row>
    <row r="5842" spans="1:6" ht="30" customHeight="1" x14ac:dyDescent="0.25">
      <c r="A5842" s="1" t="s">
        <v>11680</v>
      </c>
      <c r="B5842" s="1" t="str">
        <f>"9780826106964"</f>
        <v>9780826106964</v>
      </c>
      <c r="C5842" s="1" t="s">
        <v>2339</v>
      </c>
      <c r="D5842" s="2">
        <v>40897</v>
      </c>
      <c r="E5842" s="1" t="s">
        <v>11681</v>
      </c>
      <c r="F5842" s="1" t="s">
        <v>13</v>
      </c>
    </row>
    <row r="5843" spans="1:6" ht="30" customHeight="1" x14ac:dyDescent="0.25">
      <c r="A5843" s="1" t="s">
        <v>11682</v>
      </c>
      <c r="B5843" s="1" t="str">
        <f>"9781605907581"</f>
        <v>9781605907581</v>
      </c>
      <c r="C5843" s="1" t="s">
        <v>8423</v>
      </c>
      <c r="D5843" s="2">
        <v>40941</v>
      </c>
      <c r="E5843" s="1" t="s">
        <v>11683</v>
      </c>
      <c r="F5843" s="1" t="s">
        <v>30</v>
      </c>
    </row>
    <row r="5844" spans="1:6" ht="30" customHeight="1" x14ac:dyDescent="0.25">
      <c r="A5844" s="1" t="s">
        <v>11684</v>
      </c>
      <c r="B5844" s="1" t="str">
        <f>"9780813548500"</f>
        <v>9780813548500</v>
      </c>
      <c r="C5844" s="1" t="s">
        <v>3656</v>
      </c>
      <c r="D5844" s="2">
        <v>40007</v>
      </c>
      <c r="E5844" s="1" t="s">
        <v>11685</v>
      </c>
      <c r="F5844" s="1" t="s">
        <v>95</v>
      </c>
    </row>
    <row r="5845" spans="1:6" ht="30" customHeight="1" x14ac:dyDescent="0.25">
      <c r="A5845" s="1" t="s">
        <v>11686</v>
      </c>
      <c r="B5845" s="1" t="str">
        <f>"9781119943433"</f>
        <v>9781119943433</v>
      </c>
      <c r="C5845" s="1" t="s">
        <v>11</v>
      </c>
      <c r="D5845" s="2">
        <v>41009</v>
      </c>
      <c r="E5845" s="1" t="s">
        <v>11687</v>
      </c>
      <c r="F5845" s="1" t="s">
        <v>13</v>
      </c>
    </row>
    <row r="5846" spans="1:6" ht="30" customHeight="1" x14ac:dyDescent="0.25">
      <c r="A5846" s="1" t="s">
        <v>11688</v>
      </c>
      <c r="B5846" s="1" t="str">
        <f>"9780813556529"</f>
        <v>9780813556529</v>
      </c>
      <c r="C5846" s="1" t="s">
        <v>3656</v>
      </c>
      <c r="D5846" s="2">
        <v>41786</v>
      </c>
      <c r="E5846" s="1" t="s">
        <v>11689</v>
      </c>
      <c r="F5846" s="1" t="s">
        <v>70</v>
      </c>
    </row>
    <row r="5847" spans="1:6" ht="30" customHeight="1" x14ac:dyDescent="0.25">
      <c r="A5847" s="1" t="s">
        <v>11690</v>
      </c>
      <c r="B5847" s="1" t="str">
        <f>"9781119943303"</f>
        <v>9781119943303</v>
      </c>
      <c r="C5847" s="1" t="s">
        <v>65</v>
      </c>
      <c r="D5847" s="2">
        <v>41012</v>
      </c>
      <c r="E5847" s="1" t="s">
        <v>11691</v>
      </c>
      <c r="F5847" s="1" t="s">
        <v>13</v>
      </c>
    </row>
    <row r="5848" spans="1:6" ht="30" customHeight="1" x14ac:dyDescent="0.25">
      <c r="A5848" s="1" t="s">
        <v>11692</v>
      </c>
      <c r="B5848" s="1" t="str">
        <f>"9781119970941"</f>
        <v>9781119970941</v>
      </c>
      <c r="C5848" s="1" t="s">
        <v>11</v>
      </c>
      <c r="D5848" s="2">
        <v>41011</v>
      </c>
      <c r="E5848" s="1" t="s">
        <v>11693</v>
      </c>
      <c r="F5848" s="1" t="s">
        <v>11694</v>
      </c>
    </row>
    <row r="5849" spans="1:6" ht="30" customHeight="1" x14ac:dyDescent="0.25">
      <c r="A5849" s="1" t="s">
        <v>11695</v>
      </c>
      <c r="B5849" s="1" t="str">
        <f>"9780826105370"</f>
        <v>9780826105370</v>
      </c>
      <c r="C5849" s="1" t="s">
        <v>2339</v>
      </c>
      <c r="D5849" s="2">
        <v>40357</v>
      </c>
      <c r="E5849" s="1" t="s">
        <v>11696</v>
      </c>
      <c r="F5849" s="1" t="s">
        <v>126</v>
      </c>
    </row>
    <row r="5850" spans="1:6" ht="30" customHeight="1" x14ac:dyDescent="0.25">
      <c r="A5850" s="1" t="s">
        <v>11697</v>
      </c>
      <c r="B5850" s="1" t="str">
        <f>"9783110273939"</f>
        <v>9783110273939</v>
      </c>
      <c r="C5850" s="1" t="s">
        <v>1848</v>
      </c>
      <c r="D5850" s="2">
        <v>41249</v>
      </c>
      <c r="E5850" s="1" t="s">
        <v>11698</v>
      </c>
      <c r="F5850" s="1" t="s">
        <v>13</v>
      </c>
    </row>
    <row r="5851" spans="1:6" ht="30" customHeight="1" x14ac:dyDescent="0.25">
      <c r="A5851" s="1" t="s">
        <v>11699</v>
      </c>
      <c r="B5851" s="1" t="str">
        <f>"9783110276114"</f>
        <v>9783110276114</v>
      </c>
      <c r="C5851" s="1" t="s">
        <v>1848</v>
      </c>
      <c r="D5851" s="2">
        <v>41921</v>
      </c>
      <c r="E5851" s="1" t="s">
        <v>11700</v>
      </c>
      <c r="F5851" s="1" t="s">
        <v>13</v>
      </c>
    </row>
    <row r="5852" spans="1:6" ht="30" customHeight="1" x14ac:dyDescent="0.25">
      <c r="A5852" s="1" t="s">
        <v>11701</v>
      </c>
      <c r="B5852" s="1" t="str">
        <f>"9783110276138"</f>
        <v>9783110276138</v>
      </c>
      <c r="C5852" s="1" t="s">
        <v>1848</v>
      </c>
      <c r="D5852" s="2">
        <v>41183</v>
      </c>
      <c r="E5852" s="1" t="s">
        <v>11702</v>
      </c>
      <c r="F5852" s="1" t="s">
        <v>13</v>
      </c>
    </row>
    <row r="5853" spans="1:6" ht="30" customHeight="1" x14ac:dyDescent="0.25">
      <c r="A5853" s="1" t="s">
        <v>11703</v>
      </c>
      <c r="B5853" s="1" t="str">
        <f>"9783110246148"</f>
        <v>9783110246148</v>
      </c>
      <c r="C5853" s="1" t="s">
        <v>1848</v>
      </c>
      <c r="D5853" s="2">
        <v>41120</v>
      </c>
      <c r="E5853" s="1" t="s">
        <v>11704</v>
      </c>
      <c r="F5853" s="1" t="s">
        <v>13</v>
      </c>
    </row>
    <row r="5854" spans="1:6" ht="30" customHeight="1" x14ac:dyDescent="0.25">
      <c r="A5854" s="1" t="s">
        <v>11705</v>
      </c>
      <c r="B5854" s="1" t="str">
        <f>"9783110270235"</f>
        <v>9783110270235</v>
      </c>
      <c r="C5854" s="1" t="s">
        <v>1848</v>
      </c>
      <c r="D5854" s="2">
        <v>41576</v>
      </c>
      <c r="E5854" s="1" t="s">
        <v>11706</v>
      </c>
      <c r="F5854" s="1" t="s">
        <v>1319</v>
      </c>
    </row>
    <row r="5855" spans="1:6" ht="30" customHeight="1" x14ac:dyDescent="0.25">
      <c r="A5855" s="1" t="s">
        <v>11707</v>
      </c>
      <c r="B5855" s="1" t="str">
        <f>"9781614510451"</f>
        <v>9781614510451</v>
      </c>
      <c r="C5855" s="1" t="s">
        <v>1848</v>
      </c>
      <c r="D5855" s="2">
        <v>41183</v>
      </c>
      <c r="E5855" s="1" t="s">
        <v>11708</v>
      </c>
      <c r="F5855" s="1" t="s">
        <v>775</v>
      </c>
    </row>
    <row r="5856" spans="1:6" ht="30" customHeight="1" x14ac:dyDescent="0.25">
      <c r="A5856" s="1" t="s">
        <v>11709</v>
      </c>
      <c r="B5856" s="1" t="str">
        <f>"9783110279344"</f>
        <v>9783110279344</v>
      </c>
      <c r="C5856" s="1" t="s">
        <v>1848</v>
      </c>
      <c r="D5856" s="2">
        <v>41058</v>
      </c>
      <c r="E5856" s="1" t="s">
        <v>11710</v>
      </c>
      <c r="F5856" s="1" t="s">
        <v>963</v>
      </c>
    </row>
    <row r="5857" spans="1:6" ht="30" customHeight="1" x14ac:dyDescent="0.25">
      <c r="A5857" s="1" t="s">
        <v>11711</v>
      </c>
      <c r="B5857" s="1" t="str">
        <f>"9783110282382"</f>
        <v>9783110282382</v>
      </c>
      <c r="C5857" s="1" t="s">
        <v>1848</v>
      </c>
      <c r="D5857" s="2">
        <v>41152</v>
      </c>
      <c r="E5857" s="1" t="s">
        <v>11712</v>
      </c>
      <c r="F5857" s="1" t="s">
        <v>13</v>
      </c>
    </row>
    <row r="5858" spans="1:6" ht="30" customHeight="1" x14ac:dyDescent="0.25">
      <c r="A5858" s="1" t="s">
        <v>11713</v>
      </c>
      <c r="B5858" s="1" t="str">
        <f>"9783110228656"</f>
        <v>9783110228656</v>
      </c>
      <c r="C5858" s="1" t="s">
        <v>1848</v>
      </c>
      <c r="D5858" s="2">
        <v>41120</v>
      </c>
      <c r="E5858" s="1" t="s">
        <v>11714</v>
      </c>
      <c r="F5858" s="1" t="s">
        <v>13</v>
      </c>
    </row>
    <row r="5859" spans="1:6" ht="30" customHeight="1" x14ac:dyDescent="0.25">
      <c r="A5859" s="1" t="s">
        <v>11715</v>
      </c>
      <c r="B5859" s="1" t="str">
        <f>"9783110266221"</f>
        <v>9783110266221</v>
      </c>
      <c r="C5859" s="1" t="s">
        <v>1848</v>
      </c>
      <c r="D5859" s="2">
        <v>41262</v>
      </c>
      <c r="E5859" s="1" t="s">
        <v>11716</v>
      </c>
      <c r="F5859" s="1" t="s">
        <v>13</v>
      </c>
    </row>
    <row r="5860" spans="1:6" ht="30" customHeight="1" x14ac:dyDescent="0.25">
      <c r="A5860" s="1" t="s">
        <v>11717</v>
      </c>
      <c r="B5860" s="1" t="str">
        <f>"9783110271607"</f>
        <v>9783110271607</v>
      </c>
      <c r="C5860" s="1" t="s">
        <v>1848</v>
      </c>
      <c r="D5860" s="2">
        <v>41262</v>
      </c>
      <c r="E5860" s="1" t="s">
        <v>11718</v>
      </c>
      <c r="F5860" s="1" t="s">
        <v>13</v>
      </c>
    </row>
    <row r="5861" spans="1:6" ht="30" customHeight="1" x14ac:dyDescent="0.25">
      <c r="A5861" s="1" t="s">
        <v>11719</v>
      </c>
      <c r="B5861" s="1" t="str">
        <f>"9783110224641"</f>
        <v>9783110224641</v>
      </c>
      <c r="C5861" s="1" t="s">
        <v>1848</v>
      </c>
      <c r="D5861" s="2">
        <v>41183</v>
      </c>
      <c r="E5861" s="1" t="s">
        <v>11720</v>
      </c>
      <c r="F5861" s="1" t="s">
        <v>13</v>
      </c>
    </row>
    <row r="5862" spans="1:6" ht="30" customHeight="1" x14ac:dyDescent="0.25">
      <c r="A5862" s="1" t="s">
        <v>7967</v>
      </c>
      <c r="B5862" s="1" t="str">
        <f>"9783110278927"</f>
        <v>9783110278927</v>
      </c>
      <c r="C5862" s="1" t="s">
        <v>1848</v>
      </c>
      <c r="D5862" s="2">
        <v>41058</v>
      </c>
      <c r="E5862" s="1" t="s">
        <v>7968</v>
      </c>
      <c r="F5862" s="1" t="s">
        <v>13</v>
      </c>
    </row>
    <row r="5863" spans="1:6" ht="30" customHeight="1" x14ac:dyDescent="0.25">
      <c r="A5863" s="1" t="s">
        <v>11721</v>
      </c>
      <c r="B5863" s="1" t="str">
        <f>"9781118221105"</f>
        <v>9781118221105</v>
      </c>
      <c r="C5863" s="1" t="s">
        <v>65</v>
      </c>
      <c r="D5863" s="2">
        <v>41555</v>
      </c>
      <c r="E5863" s="1" t="s">
        <v>11722</v>
      </c>
      <c r="F5863" s="1" t="s">
        <v>13</v>
      </c>
    </row>
    <row r="5864" spans="1:6" ht="30" customHeight="1" x14ac:dyDescent="0.25">
      <c r="A5864" s="1" t="s">
        <v>11723</v>
      </c>
      <c r="B5864" s="1" t="str">
        <f>"9781118221372"</f>
        <v>9781118221372</v>
      </c>
      <c r="C5864" s="1" t="s">
        <v>65</v>
      </c>
      <c r="D5864" s="2">
        <v>41130</v>
      </c>
      <c r="E5864" s="1" t="s">
        <v>11724</v>
      </c>
      <c r="F5864" s="1" t="s">
        <v>30</v>
      </c>
    </row>
    <row r="5865" spans="1:6" ht="30" customHeight="1" x14ac:dyDescent="0.25">
      <c r="A5865" s="1" t="s">
        <v>11725</v>
      </c>
      <c r="B5865" s="1" t="str">
        <f>"9781118221693"</f>
        <v>9781118221693</v>
      </c>
      <c r="C5865" s="1" t="s">
        <v>65</v>
      </c>
      <c r="D5865" s="2">
        <v>41120</v>
      </c>
      <c r="E5865" s="1" t="s">
        <v>11726</v>
      </c>
      <c r="F5865" s="1" t="s">
        <v>30</v>
      </c>
    </row>
    <row r="5866" spans="1:6" ht="30" customHeight="1" x14ac:dyDescent="0.25">
      <c r="A5866" s="1" t="s">
        <v>11727</v>
      </c>
      <c r="B5866" s="1" t="str">
        <f>"9781118227626"</f>
        <v>9781118227626</v>
      </c>
      <c r="C5866" s="1" t="s">
        <v>65</v>
      </c>
      <c r="D5866" s="2">
        <v>41114</v>
      </c>
      <c r="E5866" s="1" t="s">
        <v>1703</v>
      </c>
      <c r="F5866" s="1" t="s">
        <v>13</v>
      </c>
    </row>
    <row r="5867" spans="1:6" ht="30" customHeight="1" x14ac:dyDescent="0.25">
      <c r="A5867" s="1" t="s">
        <v>11728</v>
      </c>
      <c r="B5867" s="1" t="str">
        <f>"9781118363287"</f>
        <v>9781118363287</v>
      </c>
      <c r="C5867" s="1" t="s">
        <v>65</v>
      </c>
      <c r="D5867" s="2">
        <v>41121</v>
      </c>
      <c r="E5867" s="1" t="s">
        <v>11729</v>
      </c>
      <c r="F5867" s="1" t="s">
        <v>13</v>
      </c>
    </row>
    <row r="5868" spans="1:6" ht="30" customHeight="1" x14ac:dyDescent="0.25">
      <c r="A5868" s="1" t="s">
        <v>11730</v>
      </c>
      <c r="B5868" s="1" t="str">
        <f>"9781118437674"</f>
        <v>9781118437674</v>
      </c>
      <c r="C5868" s="1" t="s">
        <v>11</v>
      </c>
      <c r="D5868" s="2">
        <v>41128</v>
      </c>
      <c r="E5868" s="1" t="s">
        <v>11731</v>
      </c>
      <c r="F5868" s="1" t="s">
        <v>63</v>
      </c>
    </row>
    <row r="5869" spans="1:6" ht="30" customHeight="1" x14ac:dyDescent="0.25">
      <c r="A5869" s="1" t="s">
        <v>11732</v>
      </c>
      <c r="B5869" s="1" t="str">
        <f>"9781118347836"</f>
        <v>9781118347836</v>
      </c>
      <c r="C5869" s="1" t="s">
        <v>11</v>
      </c>
      <c r="D5869" s="2">
        <v>41099</v>
      </c>
      <c r="E5869" s="1" t="s">
        <v>10459</v>
      </c>
      <c r="F5869" s="1" t="s">
        <v>137</v>
      </c>
    </row>
    <row r="5870" spans="1:6" ht="30" customHeight="1" x14ac:dyDescent="0.25">
      <c r="A5870" s="1" t="s">
        <v>11733</v>
      </c>
      <c r="B5870" s="1" t="str">
        <f>"9781118351888"</f>
        <v>9781118351888</v>
      </c>
      <c r="C5870" s="1" t="s">
        <v>65</v>
      </c>
      <c r="D5870" s="2">
        <v>41141</v>
      </c>
      <c r="E5870" s="1" t="s">
        <v>11734</v>
      </c>
      <c r="F5870" s="1" t="s">
        <v>268</v>
      </c>
    </row>
    <row r="5871" spans="1:6" ht="30" customHeight="1" x14ac:dyDescent="0.25">
      <c r="A5871" s="1" t="s">
        <v>11735</v>
      </c>
      <c r="B5871" s="1" t="str">
        <f>"9781921507762"</f>
        <v>9781921507762</v>
      </c>
      <c r="C5871" s="1" t="s">
        <v>10888</v>
      </c>
      <c r="D5871" s="2">
        <v>41382</v>
      </c>
      <c r="E5871" s="1" t="s">
        <v>10889</v>
      </c>
      <c r="F5871" s="1" t="s">
        <v>214</v>
      </c>
    </row>
    <row r="5872" spans="1:6" ht="30" customHeight="1" x14ac:dyDescent="0.25">
      <c r="A5872" s="1" t="s">
        <v>11736</v>
      </c>
      <c r="B5872" s="1" t="str">
        <f>"9781921507809"</f>
        <v>9781921507809</v>
      </c>
      <c r="C5872" s="1" t="s">
        <v>10888</v>
      </c>
      <c r="D5872" s="2">
        <v>41026</v>
      </c>
      <c r="E5872" s="1" t="s">
        <v>10889</v>
      </c>
      <c r="F5872" s="1" t="s">
        <v>11737</v>
      </c>
    </row>
    <row r="5873" spans="1:6" ht="30" customHeight="1" x14ac:dyDescent="0.25">
      <c r="A5873" s="1" t="s">
        <v>11738</v>
      </c>
      <c r="B5873" s="1" t="str">
        <f>"9781921507823"</f>
        <v>9781921507823</v>
      </c>
      <c r="C5873" s="1" t="s">
        <v>10888</v>
      </c>
      <c r="D5873" s="2">
        <v>41813</v>
      </c>
      <c r="E5873" s="1" t="s">
        <v>10889</v>
      </c>
      <c r="F5873" s="1" t="s">
        <v>200</v>
      </c>
    </row>
    <row r="5874" spans="1:6" ht="30" customHeight="1" x14ac:dyDescent="0.25">
      <c r="A5874" s="1" t="s">
        <v>11739</v>
      </c>
      <c r="B5874" s="1" t="str">
        <f>"9780313386015"</f>
        <v>9780313386015</v>
      </c>
      <c r="C5874" s="1" t="s">
        <v>7550</v>
      </c>
      <c r="D5874" s="2">
        <v>41022</v>
      </c>
      <c r="E5874" s="1" t="s">
        <v>11740</v>
      </c>
      <c r="F5874" s="1" t="s">
        <v>176</v>
      </c>
    </row>
    <row r="5875" spans="1:6" ht="30" customHeight="1" x14ac:dyDescent="0.25">
      <c r="A5875" s="1" t="s">
        <v>11741</v>
      </c>
      <c r="B5875" s="1" t="str">
        <f>"9781598845419"</f>
        <v>9781598845419</v>
      </c>
      <c r="C5875" s="1" t="s">
        <v>7550</v>
      </c>
      <c r="D5875" s="2">
        <v>41773</v>
      </c>
      <c r="E5875" s="1" t="s">
        <v>11742</v>
      </c>
      <c r="F5875" s="1" t="s">
        <v>30</v>
      </c>
    </row>
    <row r="5876" spans="1:6" ht="30" customHeight="1" x14ac:dyDescent="0.25">
      <c r="A5876" s="1" t="s">
        <v>11743</v>
      </c>
      <c r="B5876" s="1" t="str">
        <f>"9783527646050"</f>
        <v>9783527646050</v>
      </c>
      <c r="C5876" s="1" t="s">
        <v>65</v>
      </c>
      <c r="D5876" s="2">
        <v>41015</v>
      </c>
      <c r="E5876" s="1" t="s">
        <v>11744</v>
      </c>
      <c r="F5876" s="1" t="s">
        <v>11745</v>
      </c>
    </row>
    <row r="5877" spans="1:6" ht="30" customHeight="1" x14ac:dyDescent="0.25">
      <c r="A5877" s="1" t="s">
        <v>11746</v>
      </c>
      <c r="B5877" s="1" t="str">
        <f>"9781118358160"</f>
        <v>9781118358160</v>
      </c>
      <c r="C5877" s="1" t="s">
        <v>11</v>
      </c>
      <c r="D5877" s="2">
        <v>40994</v>
      </c>
      <c r="E5877" s="1" t="s">
        <v>11747</v>
      </c>
      <c r="F5877" s="1" t="s">
        <v>13</v>
      </c>
    </row>
    <row r="5878" spans="1:6" ht="30" customHeight="1" x14ac:dyDescent="0.25">
      <c r="A5878" s="1" t="s">
        <v>11748</v>
      </c>
      <c r="B5878" s="1" t="str">
        <f>"9781118392010"</f>
        <v>9781118392010</v>
      </c>
      <c r="C5878" s="1" t="s">
        <v>65</v>
      </c>
      <c r="D5878" s="2">
        <v>40987</v>
      </c>
      <c r="E5878" s="1" t="s">
        <v>11749</v>
      </c>
      <c r="F5878" s="1" t="s">
        <v>13</v>
      </c>
    </row>
    <row r="5879" spans="1:6" ht="30" customHeight="1" x14ac:dyDescent="0.25">
      <c r="A5879" s="1" t="s">
        <v>11750</v>
      </c>
      <c r="B5879" s="1" t="str">
        <f>"9780231525534"</f>
        <v>9780231525534</v>
      </c>
      <c r="C5879" s="1" t="s">
        <v>11751</v>
      </c>
      <c r="D5879" s="2">
        <v>40238</v>
      </c>
      <c r="E5879" s="1" t="s">
        <v>11752</v>
      </c>
      <c r="F5879" s="1" t="s">
        <v>30</v>
      </c>
    </row>
    <row r="5880" spans="1:6" ht="30" customHeight="1" x14ac:dyDescent="0.25">
      <c r="A5880" s="1" t="s">
        <v>11753</v>
      </c>
      <c r="B5880" s="1" t="str">
        <f>"9780231503488"</f>
        <v>9780231503488</v>
      </c>
      <c r="C5880" s="1" t="s">
        <v>11751</v>
      </c>
      <c r="D5880" s="2">
        <v>38374</v>
      </c>
      <c r="E5880" s="1" t="s">
        <v>11754</v>
      </c>
      <c r="F5880" s="1" t="s">
        <v>95</v>
      </c>
    </row>
    <row r="5881" spans="1:6" ht="30" customHeight="1" x14ac:dyDescent="0.25">
      <c r="A5881" s="1" t="s">
        <v>11755</v>
      </c>
      <c r="B5881" s="1" t="str">
        <f>"9781118310984"</f>
        <v>9781118310984</v>
      </c>
      <c r="C5881" s="1" t="s">
        <v>65</v>
      </c>
      <c r="D5881" s="2">
        <v>41012</v>
      </c>
      <c r="E5881" s="1" t="s">
        <v>11756</v>
      </c>
      <c r="F5881" s="1" t="s">
        <v>13</v>
      </c>
    </row>
    <row r="5882" spans="1:6" ht="30" customHeight="1" x14ac:dyDescent="0.25">
      <c r="A5882" s="1" t="s">
        <v>11757</v>
      </c>
      <c r="B5882" s="1" t="str">
        <f>"9781908541215"</f>
        <v>9781908541215</v>
      </c>
      <c r="C5882" s="1" t="s">
        <v>10006</v>
      </c>
      <c r="D5882" s="2">
        <v>41000</v>
      </c>
      <c r="E5882" s="1" t="s">
        <v>11758</v>
      </c>
      <c r="F5882" s="1" t="s">
        <v>13</v>
      </c>
    </row>
    <row r="5883" spans="1:6" ht="30" customHeight="1" x14ac:dyDescent="0.25">
      <c r="A5883" s="1" t="s">
        <v>11759</v>
      </c>
      <c r="B5883" s="1" t="str">
        <f>"9780826117885"</f>
        <v>9780826117885</v>
      </c>
      <c r="C5883" s="1" t="s">
        <v>2339</v>
      </c>
      <c r="D5883" s="2">
        <v>40179</v>
      </c>
      <c r="E5883" s="1" t="s">
        <v>2861</v>
      </c>
      <c r="F5883" s="1" t="s">
        <v>126</v>
      </c>
    </row>
    <row r="5884" spans="1:6" ht="30" customHeight="1" x14ac:dyDescent="0.25">
      <c r="A5884" s="1" t="s">
        <v>11760</v>
      </c>
      <c r="B5884" s="1" t="str">
        <f>"9781780320618"</f>
        <v>9781780320618</v>
      </c>
      <c r="C5884" s="1" t="s">
        <v>8476</v>
      </c>
      <c r="D5884" s="2">
        <v>41011</v>
      </c>
      <c r="E5884" s="1" t="s">
        <v>11761</v>
      </c>
      <c r="F5884" s="1" t="s">
        <v>4869</v>
      </c>
    </row>
    <row r="5885" spans="1:6" ht="30" customHeight="1" x14ac:dyDescent="0.25">
      <c r="A5885" s="1" t="s">
        <v>11762</v>
      </c>
      <c r="B5885" s="1" t="str">
        <f>"9780826109507"</f>
        <v>9780826109507</v>
      </c>
      <c r="C5885" s="1" t="s">
        <v>2339</v>
      </c>
      <c r="D5885" s="2">
        <v>40940</v>
      </c>
      <c r="E5885" s="1" t="s">
        <v>11763</v>
      </c>
      <c r="F5885" s="1" t="s">
        <v>126</v>
      </c>
    </row>
    <row r="5886" spans="1:6" ht="30" customHeight="1" x14ac:dyDescent="0.25">
      <c r="A5886" s="1" t="s">
        <v>11764</v>
      </c>
      <c r="B5886" s="1" t="str">
        <f>"9780826115720"</f>
        <v>9780826115720</v>
      </c>
      <c r="C5886" s="1" t="s">
        <v>2339</v>
      </c>
      <c r="D5886" s="2">
        <v>40527</v>
      </c>
      <c r="E5886" s="1" t="s">
        <v>11765</v>
      </c>
      <c r="F5886" s="1" t="s">
        <v>13</v>
      </c>
    </row>
    <row r="5887" spans="1:6" ht="30" customHeight="1" x14ac:dyDescent="0.25">
      <c r="A5887" s="1" t="s">
        <v>11766</v>
      </c>
      <c r="B5887" s="1" t="str">
        <f>"9781118307946"</f>
        <v>9781118307946</v>
      </c>
      <c r="C5887" s="1" t="s">
        <v>65</v>
      </c>
      <c r="D5887" s="2">
        <v>41018</v>
      </c>
      <c r="E5887" s="1" t="s">
        <v>11767</v>
      </c>
      <c r="F5887" s="1" t="s">
        <v>13</v>
      </c>
    </row>
    <row r="5888" spans="1:6" ht="30" customHeight="1" x14ac:dyDescent="0.25">
      <c r="A5888" s="1" t="s">
        <v>11768</v>
      </c>
      <c r="B5888" s="1" t="str">
        <f>"9780826141552"</f>
        <v>9780826141552</v>
      </c>
      <c r="C5888" s="1" t="s">
        <v>2339</v>
      </c>
      <c r="D5888" s="2">
        <v>40725</v>
      </c>
      <c r="E5888" s="1" t="s">
        <v>11769</v>
      </c>
      <c r="F5888" s="1" t="s">
        <v>126</v>
      </c>
    </row>
    <row r="5889" spans="1:6" ht="30" customHeight="1" x14ac:dyDescent="0.25">
      <c r="A5889" s="1" t="s">
        <v>11770</v>
      </c>
      <c r="B5889" s="1" t="str">
        <f>"9781847428905"</f>
        <v>9781847428905</v>
      </c>
      <c r="C5889" s="1" t="s">
        <v>5446</v>
      </c>
      <c r="D5889" s="2">
        <v>41017</v>
      </c>
      <c r="E5889" s="1" t="s">
        <v>11771</v>
      </c>
      <c r="F5889" s="1" t="s">
        <v>30</v>
      </c>
    </row>
    <row r="5890" spans="1:6" ht="30" customHeight="1" x14ac:dyDescent="0.25">
      <c r="A5890" s="1" t="s">
        <v>11772</v>
      </c>
      <c r="B5890" s="1" t="str">
        <f>"9781847429476"</f>
        <v>9781847429476</v>
      </c>
      <c r="C5890" s="1" t="s">
        <v>5446</v>
      </c>
      <c r="D5890" s="2">
        <v>40844</v>
      </c>
      <c r="E5890" s="1" t="s">
        <v>11773</v>
      </c>
      <c r="F5890" s="1" t="s">
        <v>95</v>
      </c>
    </row>
    <row r="5891" spans="1:6" ht="30" customHeight="1" x14ac:dyDescent="0.25">
      <c r="A5891" s="1" t="s">
        <v>11774</v>
      </c>
      <c r="B5891" s="1" t="str">
        <f>"9780520952256"</f>
        <v>9780520952256</v>
      </c>
      <c r="C5891" s="1" t="s">
        <v>818</v>
      </c>
      <c r="D5891" s="2">
        <v>41068</v>
      </c>
      <c r="E5891" s="1" t="s">
        <v>11775</v>
      </c>
      <c r="F5891" s="1" t="s">
        <v>304</v>
      </c>
    </row>
    <row r="5892" spans="1:6" ht="30" customHeight="1" x14ac:dyDescent="0.25">
      <c r="A5892" s="1" t="s">
        <v>11776</v>
      </c>
      <c r="B5892" s="1" t="str">
        <f>"9781849409797"</f>
        <v>9781849409797</v>
      </c>
      <c r="C5892" s="1" t="s">
        <v>68</v>
      </c>
      <c r="D5892" s="2">
        <v>41023</v>
      </c>
      <c r="E5892" s="1" t="s">
        <v>11777</v>
      </c>
      <c r="F5892" s="1" t="s">
        <v>104</v>
      </c>
    </row>
    <row r="5893" spans="1:6" ht="30" customHeight="1" x14ac:dyDescent="0.25">
      <c r="A5893" s="1" t="s">
        <v>11778</v>
      </c>
      <c r="B5893" s="1" t="str">
        <f>"9781849409827"</f>
        <v>9781849409827</v>
      </c>
      <c r="C5893" s="1" t="s">
        <v>68</v>
      </c>
      <c r="D5893" s="2">
        <v>41029</v>
      </c>
      <c r="E5893" s="1" t="s">
        <v>11779</v>
      </c>
      <c r="F5893" s="1" t="s">
        <v>104</v>
      </c>
    </row>
    <row r="5894" spans="1:6" ht="30" customHeight="1" x14ac:dyDescent="0.25">
      <c r="A5894" s="1" t="s">
        <v>11780</v>
      </c>
      <c r="B5894" s="1" t="str">
        <f>"9780813547091"</f>
        <v>9780813547091</v>
      </c>
      <c r="C5894" s="1" t="s">
        <v>3656</v>
      </c>
      <c r="D5894" s="2">
        <v>39918</v>
      </c>
      <c r="E5894" s="1" t="s">
        <v>11781</v>
      </c>
      <c r="F5894" s="1" t="s">
        <v>126</v>
      </c>
    </row>
    <row r="5895" spans="1:6" ht="30" customHeight="1" x14ac:dyDescent="0.25">
      <c r="A5895" s="1" t="s">
        <v>11782</v>
      </c>
      <c r="B5895" s="1" t="str">
        <f>"9781594032790"</f>
        <v>9781594032790</v>
      </c>
      <c r="C5895" s="1" t="s">
        <v>11783</v>
      </c>
      <c r="D5895" s="2">
        <v>39527</v>
      </c>
      <c r="E5895" s="1" t="s">
        <v>11784</v>
      </c>
      <c r="F5895" s="1" t="s">
        <v>6806</v>
      </c>
    </row>
    <row r="5896" spans="1:6" ht="30" customHeight="1" x14ac:dyDescent="0.25">
      <c r="A5896" s="1" t="s">
        <v>11785</v>
      </c>
      <c r="B5896" s="1" t="str">
        <f>"9780231518451"</f>
        <v>9780231518451</v>
      </c>
      <c r="C5896" s="1" t="s">
        <v>11751</v>
      </c>
      <c r="D5896" s="2">
        <v>37160</v>
      </c>
      <c r="E5896" s="1" t="s">
        <v>11786</v>
      </c>
      <c r="F5896" s="1" t="s">
        <v>95</v>
      </c>
    </row>
    <row r="5897" spans="1:6" ht="30" customHeight="1" x14ac:dyDescent="0.25">
      <c r="A5897" s="1" t="s">
        <v>11787</v>
      </c>
      <c r="B5897" s="1" t="str">
        <f>"9780231507264"</f>
        <v>9780231507264</v>
      </c>
      <c r="C5897" s="1" t="s">
        <v>11751</v>
      </c>
      <c r="D5897" s="2">
        <v>38322</v>
      </c>
      <c r="E5897" s="1" t="s">
        <v>11788</v>
      </c>
      <c r="F5897" s="1" t="s">
        <v>13</v>
      </c>
    </row>
    <row r="5898" spans="1:6" ht="30" customHeight="1" x14ac:dyDescent="0.25">
      <c r="A5898" s="1" t="s">
        <v>11789</v>
      </c>
      <c r="B5898" s="1" t="str">
        <f>"9780231502146"</f>
        <v>9780231502146</v>
      </c>
      <c r="C5898" s="1" t="s">
        <v>11751</v>
      </c>
      <c r="D5898" s="2">
        <v>38182</v>
      </c>
      <c r="E5898" s="1" t="s">
        <v>11790</v>
      </c>
      <c r="F5898" s="1" t="s">
        <v>30</v>
      </c>
    </row>
    <row r="5899" spans="1:6" ht="30" customHeight="1" x14ac:dyDescent="0.25">
      <c r="A5899" s="1" t="s">
        <v>11791</v>
      </c>
      <c r="B5899" s="1" t="str">
        <f>"9780231502375"</f>
        <v>9780231502375</v>
      </c>
      <c r="C5899" s="1" t="s">
        <v>11751</v>
      </c>
      <c r="D5899" s="2">
        <v>37756</v>
      </c>
      <c r="E5899" s="1" t="s">
        <v>11792</v>
      </c>
      <c r="F5899" s="1" t="s">
        <v>4314</v>
      </c>
    </row>
    <row r="5900" spans="1:6" ht="30" customHeight="1" x14ac:dyDescent="0.25">
      <c r="A5900" s="1" t="s">
        <v>11793</v>
      </c>
      <c r="B5900" s="1" t="str">
        <f>"9780231509237"</f>
        <v>9780231509237</v>
      </c>
      <c r="C5900" s="1" t="s">
        <v>11751</v>
      </c>
      <c r="D5900" s="2">
        <v>38322</v>
      </c>
      <c r="E5900" s="1" t="s">
        <v>11794</v>
      </c>
      <c r="F5900" s="1" t="s">
        <v>13</v>
      </c>
    </row>
    <row r="5901" spans="1:6" ht="30" customHeight="1" x14ac:dyDescent="0.25">
      <c r="A5901" s="1" t="s">
        <v>11795</v>
      </c>
      <c r="B5901" s="1" t="str">
        <f>"9780231511964"</f>
        <v>9780231511964</v>
      </c>
      <c r="C5901" s="1" t="s">
        <v>11751</v>
      </c>
      <c r="D5901" s="2">
        <v>40876</v>
      </c>
      <c r="E5901" s="1" t="s">
        <v>11796</v>
      </c>
      <c r="F5901" s="1" t="s">
        <v>70</v>
      </c>
    </row>
    <row r="5902" spans="1:6" ht="30" customHeight="1" x14ac:dyDescent="0.25">
      <c r="A5902" s="1" t="s">
        <v>11797</v>
      </c>
      <c r="B5902" s="1" t="str">
        <f>"9781907830556"</f>
        <v>9781907830556</v>
      </c>
      <c r="C5902" s="1" t="s">
        <v>11198</v>
      </c>
      <c r="D5902" s="2">
        <v>40664</v>
      </c>
      <c r="E5902" s="1" t="s">
        <v>11220</v>
      </c>
      <c r="F5902" s="1" t="s">
        <v>95</v>
      </c>
    </row>
    <row r="5903" spans="1:6" ht="30" customHeight="1" x14ac:dyDescent="0.25">
      <c r="A5903" s="1" t="s">
        <v>11798</v>
      </c>
      <c r="B5903" s="1" t="str">
        <f>"9781579225674"</f>
        <v>9781579225674</v>
      </c>
      <c r="C5903" s="1" t="s">
        <v>11799</v>
      </c>
      <c r="D5903" s="2">
        <v>40609</v>
      </c>
      <c r="E5903" s="1" t="s">
        <v>11800</v>
      </c>
      <c r="F5903" s="1" t="s">
        <v>30</v>
      </c>
    </row>
    <row r="5904" spans="1:6" ht="30" customHeight="1" x14ac:dyDescent="0.25">
      <c r="A5904" s="1" t="s">
        <v>11801</v>
      </c>
      <c r="B5904" s="1" t="str">
        <f>"9781119977469"</f>
        <v>9781119977469</v>
      </c>
      <c r="C5904" s="1" t="s">
        <v>65</v>
      </c>
      <c r="D5904" s="2">
        <v>41025</v>
      </c>
      <c r="E5904" s="1" t="s">
        <v>11802</v>
      </c>
      <c r="F5904" s="1" t="s">
        <v>13</v>
      </c>
    </row>
    <row r="5905" spans="1:6" ht="30" customHeight="1" x14ac:dyDescent="0.25">
      <c r="A5905" s="1" t="s">
        <v>11803</v>
      </c>
      <c r="B5905" s="1" t="str">
        <f>"9781118305300"</f>
        <v>9781118305300</v>
      </c>
      <c r="C5905" s="1" t="s">
        <v>65</v>
      </c>
      <c r="D5905" s="2">
        <v>41051</v>
      </c>
      <c r="E5905" s="1" t="s">
        <v>11804</v>
      </c>
      <c r="F5905" s="1" t="s">
        <v>13</v>
      </c>
    </row>
    <row r="5906" spans="1:6" ht="30" customHeight="1" x14ac:dyDescent="0.25">
      <c r="A5906" s="1" t="s">
        <v>2967</v>
      </c>
      <c r="B5906" s="1" t="str">
        <f>"9780123821683"</f>
        <v>9780123821683</v>
      </c>
      <c r="C5906" s="1" t="s">
        <v>900</v>
      </c>
      <c r="D5906" s="2">
        <v>41100</v>
      </c>
      <c r="E5906" s="1" t="s">
        <v>11805</v>
      </c>
      <c r="F5906" s="1" t="s">
        <v>13</v>
      </c>
    </row>
    <row r="5907" spans="1:6" ht="30" customHeight="1" x14ac:dyDescent="0.25">
      <c r="A5907" s="1" t="s">
        <v>11806</v>
      </c>
      <c r="B5907" s="1" t="str">
        <f>"9781849409803"</f>
        <v>9781849409803</v>
      </c>
      <c r="C5907" s="1" t="s">
        <v>68</v>
      </c>
      <c r="D5907" s="2">
        <v>41274</v>
      </c>
      <c r="E5907" s="1" t="s">
        <v>11807</v>
      </c>
      <c r="F5907" s="1" t="s">
        <v>13</v>
      </c>
    </row>
    <row r="5908" spans="1:6" ht="30" customHeight="1" x14ac:dyDescent="0.25">
      <c r="A5908" s="1" t="s">
        <v>11808</v>
      </c>
      <c r="B5908" s="1" t="str">
        <f>"9781928706342"</f>
        <v>9781928706342</v>
      </c>
      <c r="C5908" s="1" t="s">
        <v>11809</v>
      </c>
      <c r="D5908" s="2">
        <v>40940</v>
      </c>
      <c r="E5908" s="1" t="s">
        <v>11810</v>
      </c>
      <c r="F5908" s="1" t="s">
        <v>13</v>
      </c>
    </row>
    <row r="5909" spans="1:6" ht="30" customHeight="1" x14ac:dyDescent="0.25">
      <c r="A5909" s="1" t="s">
        <v>11811</v>
      </c>
      <c r="B5909" s="1" t="str">
        <f>"9788323380276"</f>
        <v>9788323380276</v>
      </c>
      <c r="C5909" s="1" t="s">
        <v>11812</v>
      </c>
      <c r="D5909" s="2">
        <v>40492</v>
      </c>
      <c r="E5909" s="1" t="s">
        <v>11813</v>
      </c>
      <c r="F5909" s="1" t="s">
        <v>30</v>
      </c>
    </row>
    <row r="5910" spans="1:6" ht="30" customHeight="1" x14ac:dyDescent="0.25">
      <c r="A5910" s="1" t="s">
        <v>11814</v>
      </c>
      <c r="B5910" s="1" t="str">
        <f>"9788323380405"</f>
        <v>9788323380405</v>
      </c>
      <c r="C5910" s="1" t="s">
        <v>11812</v>
      </c>
      <c r="D5910" s="2">
        <v>39983</v>
      </c>
      <c r="E5910" s="1" t="s">
        <v>11815</v>
      </c>
      <c r="F5910" s="1" t="s">
        <v>13</v>
      </c>
    </row>
    <row r="5911" spans="1:6" ht="30" customHeight="1" x14ac:dyDescent="0.25">
      <c r="A5911" s="1" t="s">
        <v>11816</v>
      </c>
      <c r="B5911" s="1" t="str">
        <f>"9781935281306"</f>
        <v>9781935281306</v>
      </c>
      <c r="C5911" s="1" t="s">
        <v>2342</v>
      </c>
      <c r="D5911" s="2">
        <v>40716</v>
      </c>
      <c r="E5911" s="1" t="s">
        <v>11817</v>
      </c>
      <c r="F5911" s="1" t="s">
        <v>13</v>
      </c>
    </row>
    <row r="5912" spans="1:6" ht="30" customHeight="1" x14ac:dyDescent="0.25">
      <c r="A5912" s="1" t="s">
        <v>11818</v>
      </c>
      <c r="B5912" s="1" t="str">
        <f>"9780765708939"</f>
        <v>9780765708939</v>
      </c>
      <c r="C5912" s="1" t="s">
        <v>6903</v>
      </c>
      <c r="D5912" s="2">
        <v>41025</v>
      </c>
      <c r="E5912" s="1" t="s">
        <v>11819</v>
      </c>
      <c r="F5912" s="1" t="s">
        <v>13</v>
      </c>
    </row>
    <row r="5913" spans="1:6" ht="30" customHeight="1" x14ac:dyDescent="0.25">
      <c r="A5913" s="1" t="s">
        <v>11820</v>
      </c>
      <c r="B5913" s="1" t="str">
        <f>"9788897419211"</f>
        <v>9788897419211</v>
      </c>
      <c r="C5913" s="1" t="s">
        <v>10553</v>
      </c>
      <c r="D5913" s="2">
        <v>41040</v>
      </c>
      <c r="E5913" s="1" t="s">
        <v>11821</v>
      </c>
      <c r="F5913" s="1" t="s">
        <v>13</v>
      </c>
    </row>
    <row r="5914" spans="1:6" ht="30" customHeight="1" x14ac:dyDescent="0.25">
      <c r="A5914" s="1" t="s">
        <v>11822</v>
      </c>
      <c r="B5914" s="1" t="str">
        <f>"9781118278284"</f>
        <v>9781118278284</v>
      </c>
      <c r="C5914" s="1" t="s">
        <v>65</v>
      </c>
      <c r="D5914" s="2">
        <v>41031</v>
      </c>
      <c r="E5914" s="1" t="s">
        <v>7413</v>
      </c>
      <c r="F5914" s="1" t="s">
        <v>126</v>
      </c>
    </row>
    <row r="5915" spans="1:6" ht="30" customHeight="1" x14ac:dyDescent="0.25">
      <c r="A5915" s="1" t="s">
        <v>11823</v>
      </c>
      <c r="B5915" s="1" t="str">
        <f>"9780470711811"</f>
        <v>9780470711811</v>
      </c>
      <c r="C5915" s="1" t="s">
        <v>65</v>
      </c>
      <c r="D5915" s="2">
        <v>41039</v>
      </c>
      <c r="E5915" s="1" t="s">
        <v>11824</v>
      </c>
      <c r="F5915" s="1" t="s">
        <v>137</v>
      </c>
    </row>
    <row r="5916" spans="1:6" ht="30" customHeight="1" x14ac:dyDescent="0.25">
      <c r="A5916" s="1" t="s">
        <v>11825</v>
      </c>
      <c r="B5916" s="1" t="str">
        <f>"9781118316764"</f>
        <v>9781118316764</v>
      </c>
      <c r="C5916" s="1" t="s">
        <v>65</v>
      </c>
      <c r="D5916" s="2">
        <v>41390</v>
      </c>
      <c r="E5916" s="1" t="s">
        <v>11826</v>
      </c>
      <c r="F5916" s="1" t="s">
        <v>13</v>
      </c>
    </row>
    <row r="5917" spans="1:6" ht="30" customHeight="1" x14ac:dyDescent="0.25">
      <c r="A5917" s="1" t="s">
        <v>11827</v>
      </c>
      <c r="B5917" s="1" t="str">
        <f>"9783527645305"</f>
        <v>9783527645305</v>
      </c>
      <c r="C5917" s="1" t="s">
        <v>65</v>
      </c>
      <c r="D5917" s="2">
        <v>41165</v>
      </c>
      <c r="E5917" s="1" t="s">
        <v>11828</v>
      </c>
      <c r="F5917" s="1" t="s">
        <v>137</v>
      </c>
    </row>
    <row r="5918" spans="1:6" ht="30" customHeight="1" x14ac:dyDescent="0.25">
      <c r="A5918" s="1" t="s">
        <v>11829</v>
      </c>
      <c r="B5918" s="1" t="str">
        <f>"9781118346471"</f>
        <v>9781118346471</v>
      </c>
      <c r="C5918" s="1" t="s">
        <v>65</v>
      </c>
      <c r="D5918" s="2">
        <v>41040</v>
      </c>
      <c r="E5918" s="1" t="s">
        <v>11830</v>
      </c>
      <c r="F5918" s="1" t="s">
        <v>13</v>
      </c>
    </row>
    <row r="5919" spans="1:6" ht="30" customHeight="1" x14ac:dyDescent="0.25">
      <c r="A5919" s="1" t="s">
        <v>11831</v>
      </c>
      <c r="B5919" s="1" t="str">
        <f>"9781118220412"</f>
        <v>9781118220412</v>
      </c>
      <c r="C5919" s="1" t="s">
        <v>65</v>
      </c>
      <c r="D5919" s="2">
        <v>41492</v>
      </c>
      <c r="E5919" s="1" t="s">
        <v>11832</v>
      </c>
      <c r="F5919" s="1" t="s">
        <v>95</v>
      </c>
    </row>
    <row r="5920" spans="1:6" ht="30" customHeight="1" x14ac:dyDescent="0.25">
      <c r="A5920" s="1" t="s">
        <v>11833</v>
      </c>
      <c r="B5920" s="1" t="str">
        <f>"9781118286777"</f>
        <v>9781118286777</v>
      </c>
      <c r="C5920" s="1" t="s">
        <v>65</v>
      </c>
      <c r="D5920" s="2">
        <v>41197</v>
      </c>
      <c r="E5920" s="1" t="s">
        <v>11834</v>
      </c>
      <c r="F5920" s="1" t="s">
        <v>13</v>
      </c>
    </row>
    <row r="5921" spans="1:6" ht="30" customHeight="1" x14ac:dyDescent="0.25">
      <c r="A5921" s="1" t="s">
        <v>11835</v>
      </c>
      <c r="B5921" s="1" t="str">
        <f>"9781118285886"</f>
        <v>9781118285886</v>
      </c>
      <c r="C5921" s="1" t="s">
        <v>65</v>
      </c>
      <c r="D5921" s="2">
        <v>41172</v>
      </c>
      <c r="E5921" s="1" t="s">
        <v>11836</v>
      </c>
      <c r="F5921" s="1" t="s">
        <v>30</v>
      </c>
    </row>
    <row r="5922" spans="1:6" ht="30" customHeight="1" x14ac:dyDescent="0.25">
      <c r="A5922" s="1" t="s">
        <v>11837</v>
      </c>
      <c r="B5922" s="1" t="str">
        <f>"9781118450161"</f>
        <v>9781118450161</v>
      </c>
      <c r="C5922" s="1" t="s">
        <v>65</v>
      </c>
      <c r="D5922" s="2">
        <v>41625</v>
      </c>
      <c r="E5922" s="1" t="s">
        <v>11838</v>
      </c>
      <c r="F5922" s="1" t="s">
        <v>95</v>
      </c>
    </row>
    <row r="5923" spans="1:6" ht="30" customHeight="1" x14ac:dyDescent="0.25">
      <c r="A5923" s="1" t="s">
        <v>11839</v>
      </c>
      <c r="B5923" s="1" t="str">
        <f>"9781118422823"</f>
        <v>9781118422823</v>
      </c>
      <c r="C5923" s="1" t="s">
        <v>11</v>
      </c>
      <c r="D5923" s="2">
        <v>41183</v>
      </c>
      <c r="E5923" s="1" t="s">
        <v>11840</v>
      </c>
      <c r="F5923" s="1" t="s">
        <v>137</v>
      </c>
    </row>
    <row r="5924" spans="1:6" ht="30" customHeight="1" x14ac:dyDescent="0.25">
      <c r="A5924" s="1" t="s">
        <v>11841</v>
      </c>
      <c r="B5924" s="1" t="str">
        <f>"9781118424087"</f>
        <v>9781118424087</v>
      </c>
      <c r="C5924" s="1" t="s">
        <v>11</v>
      </c>
      <c r="D5924" s="2">
        <v>41163</v>
      </c>
      <c r="E5924" s="1" t="s">
        <v>11842</v>
      </c>
      <c r="F5924" s="1" t="s">
        <v>13</v>
      </c>
    </row>
    <row r="5925" spans="1:6" ht="30" customHeight="1" x14ac:dyDescent="0.25">
      <c r="A5925" s="1" t="s">
        <v>11843</v>
      </c>
      <c r="B5925" s="1" t="str">
        <f>"9781118234389"</f>
        <v>9781118234389</v>
      </c>
      <c r="C5925" s="1" t="s">
        <v>65</v>
      </c>
      <c r="D5925" s="2">
        <v>41072</v>
      </c>
      <c r="E5925" s="1" t="s">
        <v>11844</v>
      </c>
      <c r="F5925" s="1" t="s">
        <v>30</v>
      </c>
    </row>
    <row r="5926" spans="1:6" ht="30" customHeight="1" x14ac:dyDescent="0.25">
      <c r="A5926" s="1" t="s">
        <v>11845</v>
      </c>
      <c r="B5926" s="1" t="str">
        <f>"9781118292457"</f>
        <v>9781118292457</v>
      </c>
      <c r="C5926" s="1" t="s">
        <v>65</v>
      </c>
      <c r="D5926" s="2">
        <v>41029</v>
      </c>
      <c r="E5926" s="1" t="s">
        <v>11846</v>
      </c>
      <c r="F5926" s="1" t="s">
        <v>13</v>
      </c>
    </row>
    <row r="5927" spans="1:6" ht="30" customHeight="1" x14ac:dyDescent="0.25">
      <c r="A5927" s="1" t="s">
        <v>11847</v>
      </c>
      <c r="B5927" s="1" t="str">
        <f>"9781118349038"</f>
        <v>9781118349038</v>
      </c>
      <c r="C5927" s="1" t="s">
        <v>65</v>
      </c>
      <c r="D5927" s="2">
        <v>41144</v>
      </c>
      <c r="E5927" s="1" t="s">
        <v>11848</v>
      </c>
      <c r="F5927" s="1" t="s">
        <v>1837</v>
      </c>
    </row>
    <row r="5928" spans="1:6" ht="30" customHeight="1" x14ac:dyDescent="0.25">
      <c r="A5928" s="1" t="s">
        <v>11849</v>
      </c>
      <c r="B5928" s="1" t="str">
        <f>"9788323384397"</f>
        <v>9788323384397</v>
      </c>
      <c r="C5928" s="1" t="s">
        <v>11812</v>
      </c>
      <c r="D5928" s="2">
        <v>39654</v>
      </c>
      <c r="E5928" s="1" t="s">
        <v>11850</v>
      </c>
      <c r="F5928" s="1" t="s">
        <v>2966</v>
      </c>
    </row>
    <row r="5929" spans="1:6" ht="30" customHeight="1" x14ac:dyDescent="0.25">
      <c r="A5929" s="1" t="s">
        <v>11851</v>
      </c>
      <c r="B5929" s="1" t="str">
        <f>"9788323382560"</f>
        <v>9788323382560</v>
      </c>
      <c r="C5929" s="1" t="s">
        <v>11812</v>
      </c>
      <c r="D5929" s="2">
        <v>40045</v>
      </c>
      <c r="E5929" s="1" t="s">
        <v>11852</v>
      </c>
      <c r="F5929" s="1" t="s">
        <v>33</v>
      </c>
    </row>
    <row r="5930" spans="1:6" ht="30" customHeight="1" x14ac:dyDescent="0.25">
      <c r="A5930" s="1" t="s">
        <v>11853</v>
      </c>
      <c r="B5930" s="1" t="str">
        <f>"9789814317467"</f>
        <v>9789814317467</v>
      </c>
      <c r="C5930" s="1" t="s">
        <v>881</v>
      </c>
      <c r="D5930" s="2">
        <v>41773</v>
      </c>
      <c r="E5930" s="1" t="s">
        <v>11854</v>
      </c>
      <c r="F5930" s="1" t="s">
        <v>268</v>
      </c>
    </row>
    <row r="5931" spans="1:6" ht="30" customHeight="1" x14ac:dyDescent="0.25">
      <c r="A5931" s="1" t="s">
        <v>11855</v>
      </c>
      <c r="B5931" s="1" t="str">
        <f>"9789814374750"</f>
        <v>9789814374750</v>
      </c>
      <c r="C5931" s="1" t="s">
        <v>881</v>
      </c>
      <c r="D5931" s="2">
        <v>41773</v>
      </c>
      <c r="E5931" s="1" t="s">
        <v>11856</v>
      </c>
      <c r="F5931" s="1" t="s">
        <v>13</v>
      </c>
    </row>
    <row r="5932" spans="1:6" ht="30" customHeight="1" x14ac:dyDescent="0.25">
      <c r="A5932" s="1" t="s">
        <v>11857</v>
      </c>
      <c r="B5932" s="1" t="str">
        <f>"9789814338684"</f>
        <v>9789814338684</v>
      </c>
      <c r="C5932" s="1" t="s">
        <v>881</v>
      </c>
      <c r="D5932" s="2">
        <v>41773</v>
      </c>
      <c r="E5932" s="1" t="s">
        <v>11858</v>
      </c>
      <c r="F5932" s="1" t="s">
        <v>13</v>
      </c>
    </row>
    <row r="5933" spans="1:6" ht="30" customHeight="1" x14ac:dyDescent="0.25">
      <c r="A5933" s="1" t="s">
        <v>11859</v>
      </c>
      <c r="B5933" s="1" t="str">
        <f>"9789814329613"</f>
        <v>9789814329613</v>
      </c>
      <c r="C5933" s="1" t="s">
        <v>881</v>
      </c>
      <c r="D5933" s="2">
        <v>41773</v>
      </c>
      <c r="E5933" s="1" t="s">
        <v>11860</v>
      </c>
      <c r="F5933" s="1" t="s">
        <v>13</v>
      </c>
    </row>
    <row r="5934" spans="1:6" ht="30" customHeight="1" x14ac:dyDescent="0.25">
      <c r="A5934" s="1" t="s">
        <v>11861</v>
      </c>
      <c r="B5934" s="1" t="str">
        <f>"9780520946057"</f>
        <v>9780520946057</v>
      </c>
      <c r="C5934" s="1" t="s">
        <v>818</v>
      </c>
      <c r="D5934" s="2">
        <v>40331</v>
      </c>
      <c r="E5934" s="1" t="s">
        <v>5215</v>
      </c>
      <c r="F5934" s="1" t="s">
        <v>3261</v>
      </c>
    </row>
    <row r="5935" spans="1:6" ht="30" customHeight="1" x14ac:dyDescent="0.25">
      <c r="A5935" s="1" t="s">
        <v>11862</v>
      </c>
      <c r="B5935" s="1" t="str">
        <f>"9780759121287"</f>
        <v>9780759121287</v>
      </c>
      <c r="C5935" s="1" t="s">
        <v>7466</v>
      </c>
      <c r="D5935" s="2">
        <v>40544</v>
      </c>
      <c r="E5935" s="1" t="s">
        <v>11863</v>
      </c>
      <c r="F5935" s="1" t="s">
        <v>8798</v>
      </c>
    </row>
    <row r="5936" spans="1:6" ht="30" customHeight="1" x14ac:dyDescent="0.25">
      <c r="A5936" s="1" t="s">
        <v>11864</v>
      </c>
      <c r="B5936" s="1" t="str">
        <f>"9781442214484"</f>
        <v>9781442214484</v>
      </c>
      <c r="C5936" s="1" t="s">
        <v>8723</v>
      </c>
      <c r="D5936" s="2">
        <v>41032</v>
      </c>
      <c r="E5936" s="1" t="s">
        <v>11865</v>
      </c>
      <c r="F5936" s="1" t="s">
        <v>13</v>
      </c>
    </row>
    <row r="5937" spans="1:6" ht="30" customHeight="1" x14ac:dyDescent="0.25">
      <c r="A5937" s="1" t="s">
        <v>11866</v>
      </c>
      <c r="B5937" s="1" t="str">
        <f>"9789004229198"</f>
        <v>9789004229198</v>
      </c>
      <c r="C5937" s="1" t="s">
        <v>906</v>
      </c>
      <c r="D5937" s="2">
        <v>41017</v>
      </c>
      <c r="E5937" s="1" t="s">
        <v>11867</v>
      </c>
      <c r="F5937" s="1" t="s">
        <v>95</v>
      </c>
    </row>
    <row r="5938" spans="1:6" ht="30" customHeight="1" x14ac:dyDescent="0.25">
      <c r="A5938" s="1" t="s">
        <v>11868</v>
      </c>
      <c r="B5938" s="1" t="str">
        <f>"9783527653126"</f>
        <v>9783527653126</v>
      </c>
      <c r="C5938" s="1" t="s">
        <v>65</v>
      </c>
      <c r="D5938" s="2">
        <v>41038</v>
      </c>
      <c r="E5938" s="1" t="s">
        <v>11869</v>
      </c>
      <c r="F5938" s="1" t="s">
        <v>11870</v>
      </c>
    </row>
    <row r="5939" spans="1:6" ht="30" customHeight="1" x14ac:dyDescent="0.25">
      <c r="A5939" s="1" t="s">
        <v>11871</v>
      </c>
      <c r="B5939" s="1" t="str">
        <f>"9781118321324"</f>
        <v>9781118321324</v>
      </c>
      <c r="C5939" s="1" t="s">
        <v>11</v>
      </c>
      <c r="D5939" s="2">
        <v>41047</v>
      </c>
      <c r="E5939" s="1" t="s">
        <v>11872</v>
      </c>
      <c r="F5939" s="1" t="s">
        <v>11873</v>
      </c>
    </row>
    <row r="5940" spans="1:6" ht="30" customHeight="1" x14ac:dyDescent="0.25">
      <c r="A5940" s="1" t="s">
        <v>11874</v>
      </c>
      <c r="B5940" s="1" t="str">
        <f>"9781118286692"</f>
        <v>9781118286692</v>
      </c>
      <c r="C5940" s="1" t="s">
        <v>65</v>
      </c>
      <c r="D5940" s="2">
        <v>41078</v>
      </c>
      <c r="E5940" s="1" t="s">
        <v>11875</v>
      </c>
      <c r="F5940" s="1" t="s">
        <v>13</v>
      </c>
    </row>
    <row r="5941" spans="1:6" ht="30" customHeight="1" x14ac:dyDescent="0.25">
      <c r="A5941" s="1" t="s">
        <v>11876</v>
      </c>
      <c r="B5941" s="1" t="str">
        <f>"9781119941095"</f>
        <v>9781119941095</v>
      </c>
      <c r="C5941" s="1" t="s">
        <v>65</v>
      </c>
      <c r="D5941" s="2">
        <v>41047</v>
      </c>
      <c r="E5941" s="1" t="s">
        <v>11877</v>
      </c>
      <c r="F5941" s="1" t="s">
        <v>13</v>
      </c>
    </row>
    <row r="5942" spans="1:6" ht="30" customHeight="1" x14ac:dyDescent="0.25">
      <c r="A5942" s="1" t="s">
        <v>11878</v>
      </c>
      <c r="B5942" s="1" t="str">
        <f>"9780821394700"</f>
        <v>9780821394700</v>
      </c>
      <c r="C5942" s="1" t="s">
        <v>6702</v>
      </c>
      <c r="D5942" s="2">
        <v>41030</v>
      </c>
      <c r="E5942" s="1" t="s">
        <v>11879</v>
      </c>
      <c r="F5942" s="1" t="s">
        <v>30</v>
      </c>
    </row>
    <row r="5943" spans="1:6" ht="30" customHeight="1" x14ac:dyDescent="0.25">
      <c r="A5943" s="1" t="s">
        <v>11880</v>
      </c>
      <c r="B5943" s="1" t="str">
        <f>"9780821387573"</f>
        <v>9780821387573</v>
      </c>
      <c r="C5943" s="1" t="s">
        <v>6702</v>
      </c>
      <c r="D5943" s="2">
        <v>41000</v>
      </c>
      <c r="E5943" s="1" t="s">
        <v>11881</v>
      </c>
      <c r="F5943" s="1" t="s">
        <v>30</v>
      </c>
    </row>
    <row r="5944" spans="1:6" ht="30" customHeight="1" x14ac:dyDescent="0.25">
      <c r="A5944" s="1" t="s">
        <v>11882</v>
      </c>
      <c r="B5944" s="1" t="str">
        <f>"9781847695147"</f>
        <v>9781847695147</v>
      </c>
      <c r="C5944" s="1" t="s">
        <v>3377</v>
      </c>
      <c r="D5944" s="2">
        <v>40909</v>
      </c>
      <c r="E5944" s="1" t="s">
        <v>11883</v>
      </c>
      <c r="F5944" s="1" t="s">
        <v>13</v>
      </c>
    </row>
    <row r="5945" spans="1:6" ht="30" customHeight="1" x14ac:dyDescent="0.25">
      <c r="A5945" s="1" t="s">
        <v>11884</v>
      </c>
      <c r="B5945" s="1" t="str">
        <f>"9781447304920"</f>
        <v>9781447304920</v>
      </c>
      <c r="C5945" s="1" t="s">
        <v>5446</v>
      </c>
      <c r="D5945" s="2">
        <v>41045</v>
      </c>
      <c r="E5945" s="1" t="s">
        <v>11885</v>
      </c>
      <c r="F5945" s="1" t="s">
        <v>95</v>
      </c>
    </row>
    <row r="5946" spans="1:6" ht="30" customHeight="1" x14ac:dyDescent="0.25">
      <c r="A5946" s="1" t="s">
        <v>11886</v>
      </c>
      <c r="B5946" s="1" t="str">
        <f>"9780520907751"</f>
        <v>9780520907751</v>
      </c>
      <c r="C5946" s="1" t="s">
        <v>818</v>
      </c>
      <c r="D5946" s="2">
        <v>31204</v>
      </c>
      <c r="E5946" s="1" t="s">
        <v>11887</v>
      </c>
      <c r="F5946" s="1" t="s">
        <v>158</v>
      </c>
    </row>
    <row r="5947" spans="1:6" ht="30" customHeight="1" x14ac:dyDescent="0.25">
      <c r="A5947" s="1" t="s">
        <v>11888</v>
      </c>
      <c r="B5947" s="1" t="str">
        <f>"9780520948044"</f>
        <v>9780520948044</v>
      </c>
      <c r="C5947" s="1" t="s">
        <v>818</v>
      </c>
      <c r="D5947" s="2">
        <v>40442</v>
      </c>
      <c r="E5947" s="1" t="s">
        <v>11889</v>
      </c>
      <c r="F5947" s="1" t="s">
        <v>30</v>
      </c>
    </row>
    <row r="5948" spans="1:6" ht="30" customHeight="1" x14ac:dyDescent="0.25">
      <c r="A5948" s="1" t="s">
        <v>11890</v>
      </c>
      <c r="B5948" s="1" t="str">
        <f>"9780520945005"</f>
        <v>9780520945005</v>
      </c>
      <c r="C5948" s="1" t="s">
        <v>818</v>
      </c>
      <c r="D5948" s="2">
        <v>40379</v>
      </c>
      <c r="E5948" s="1" t="s">
        <v>11493</v>
      </c>
      <c r="F5948" s="1" t="s">
        <v>214</v>
      </c>
    </row>
    <row r="5949" spans="1:6" ht="30" customHeight="1" x14ac:dyDescent="0.25">
      <c r="A5949" s="1" t="s">
        <v>11891</v>
      </c>
      <c r="B5949" s="1" t="str">
        <f>"9781598130867"</f>
        <v>9781598130867</v>
      </c>
      <c r="C5949" s="1" t="s">
        <v>11892</v>
      </c>
      <c r="D5949" s="2">
        <v>41061</v>
      </c>
      <c r="E5949" s="1" t="s">
        <v>11893</v>
      </c>
      <c r="F5949" s="1" t="s">
        <v>30</v>
      </c>
    </row>
    <row r="5950" spans="1:6" ht="30" customHeight="1" x14ac:dyDescent="0.25">
      <c r="A5950" s="1" t="s">
        <v>11894</v>
      </c>
      <c r="B5950" s="1" t="str">
        <f>"9781118308479"</f>
        <v>9781118308479</v>
      </c>
      <c r="C5950" s="1" t="s">
        <v>65</v>
      </c>
      <c r="D5950" s="2">
        <v>41096</v>
      </c>
      <c r="E5950" s="1" t="s">
        <v>11895</v>
      </c>
      <c r="F5950" s="1" t="s">
        <v>13</v>
      </c>
    </row>
    <row r="5951" spans="1:6" ht="30" customHeight="1" x14ac:dyDescent="0.25">
      <c r="A5951" s="1" t="s">
        <v>11896</v>
      </c>
      <c r="B5951" s="1" t="str">
        <f>"9781921513633"</f>
        <v>9781921513633</v>
      </c>
      <c r="C5951" s="1" t="s">
        <v>3199</v>
      </c>
      <c r="D5951" s="2">
        <v>40360</v>
      </c>
      <c r="E5951" s="1" t="s">
        <v>11897</v>
      </c>
      <c r="F5951" s="1" t="s">
        <v>291</v>
      </c>
    </row>
    <row r="5952" spans="1:6" ht="30" customHeight="1" x14ac:dyDescent="0.25">
      <c r="A5952" s="1" t="s">
        <v>11898</v>
      </c>
      <c r="B5952" s="1" t="str">
        <f>"9781921513800"</f>
        <v>9781921513800</v>
      </c>
      <c r="C5952" s="1" t="s">
        <v>3199</v>
      </c>
      <c r="D5952" s="2">
        <v>43202</v>
      </c>
      <c r="E5952" s="1" t="s">
        <v>11899</v>
      </c>
      <c r="F5952" s="1" t="s">
        <v>7940</v>
      </c>
    </row>
    <row r="5953" spans="1:6" ht="30" customHeight="1" x14ac:dyDescent="0.25">
      <c r="A5953" s="1" t="s">
        <v>11900</v>
      </c>
      <c r="B5953" s="1" t="str">
        <f>"9781921513596"</f>
        <v>9781921513596</v>
      </c>
      <c r="C5953" s="1" t="s">
        <v>3199</v>
      </c>
      <c r="D5953" s="2">
        <v>40513</v>
      </c>
      <c r="E5953" s="1" t="s">
        <v>11901</v>
      </c>
      <c r="F5953" s="1" t="s">
        <v>291</v>
      </c>
    </row>
    <row r="5954" spans="1:6" ht="30" customHeight="1" x14ac:dyDescent="0.25">
      <c r="A5954" s="1" t="s">
        <v>11902</v>
      </c>
      <c r="B5954" s="1" t="str">
        <f>"9781921513329"</f>
        <v>9781921513329</v>
      </c>
      <c r="C5954" s="1" t="s">
        <v>3199</v>
      </c>
      <c r="D5954" s="2">
        <v>40057</v>
      </c>
      <c r="E5954" s="1" t="s">
        <v>11903</v>
      </c>
      <c r="F5954" s="1" t="s">
        <v>13</v>
      </c>
    </row>
    <row r="5955" spans="1:6" ht="30" customHeight="1" x14ac:dyDescent="0.25">
      <c r="A5955" s="1" t="s">
        <v>11904</v>
      </c>
      <c r="B5955" s="1" t="str">
        <f>"9783110816297"</f>
        <v>9783110816297</v>
      </c>
      <c r="C5955" s="1" t="s">
        <v>1848</v>
      </c>
      <c r="D5955" s="2">
        <v>40550</v>
      </c>
      <c r="E5955" s="1" t="s">
        <v>11905</v>
      </c>
      <c r="F5955" s="1" t="s">
        <v>13</v>
      </c>
    </row>
    <row r="5956" spans="1:6" ht="30" customHeight="1" x14ac:dyDescent="0.25">
      <c r="A5956" s="1" t="s">
        <v>11906</v>
      </c>
      <c r="B5956" s="1" t="str">
        <f>"9781118316511"</f>
        <v>9781118316511</v>
      </c>
      <c r="C5956" s="1" t="s">
        <v>65</v>
      </c>
      <c r="D5956" s="2">
        <v>41058</v>
      </c>
      <c r="E5956" s="1" t="s">
        <v>11907</v>
      </c>
      <c r="F5956" s="1" t="s">
        <v>158</v>
      </c>
    </row>
    <row r="5957" spans="1:6" ht="30" customHeight="1" x14ac:dyDescent="0.25">
      <c r="A5957" s="1" t="s">
        <v>11908</v>
      </c>
      <c r="B5957" s="1" t="str">
        <f>"9781118325438"</f>
        <v>9781118325438</v>
      </c>
      <c r="C5957" s="1" t="s">
        <v>65</v>
      </c>
      <c r="D5957" s="2">
        <v>41059</v>
      </c>
      <c r="E5957" s="1" t="s">
        <v>11909</v>
      </c>
      <c r="F5957" s="1" t="s">
        <v>137</v>
      </c>
    </row>
    <row r="5958" spans="1:6" ht="30" customHeight="1" x14ac:dyDescent="0.25">
      <c r="A5958" s="1" t="s">
        <v>11910</v>
      </c>
      <c r="B5958" s="1" t="str">
        <f>"9781849409926"</f>
        <v>9781849409926</v>
      </c>
      <c r="C5958" s="1" t="s">
        <v>68</v>
      </c>
      <c r="D5958" s="2">
        <v>41274</v>
      </c>
      <c r="E5958" s="1" t="s">
        <v>11911</v>
      </c>
      <c r="F5958" s="1" t="s">
        <v>13</v>
      </c>
    </row>
    <row r="5959" spans="1:6" ht="30" customHeight="1" x14ac:dyDescent="0.25">
      <c r="A5959" s="1" t="s">
        <v>11912</v>
      </c>
      <c r="B5959" s="1" t="str">
        <f>"9781908541246"</f>
        <v>9781908541246</v>
      </c>
      <c r="C5959" s="1" t="s">
        <v>10006</v>
      </c>
      <c r="D5959" s="2">
        <v>41061</v>
      </c>
      <c r="E5959" s="1" t="s">
        <v>11913</v>
      </c>
      <c r="F5959" s="1" t="s">
        <v>13</v>
      </c>
    </row>
    <row r="5960" spans="1:6" ht="30" customHeight="1" x14ac:dyDescent="0.25">
      <c r="A5960" s="1" t="s">
        <v>11914</v>
      </c>
      <c r="B5960" s="1" t="str">
        <f>"9788897419204"</f>
        <v>9788897419204</v>
      </c>
      <c r="C5960" s="1" t="s">
        <v>10553</v>
      </c>
      <c r="D5960" s="2">
        <v>41060</v>
      </c>
      <c r="E5960" s="1" t="s">
        <v>11915</v>
      </c>
      <c r="F5960" s="1" t="s">
        <v>13</v>
      </c>
    </row>
    <row r="5961" spans="1:6" ht="30" customHeight="1" x14ac:dyDescent="0.25">
      <c r="A5961" s="1" t="s">
        <v>11916</v>
      </c>
      <c r="B5961" s="1" t="str">
        <f>"9780875532509"</f>
        <v>9780875532509</v>
      </c>
      <c r="C5961" s="1" t="s">
        <v>10965</v>
      </c>
      <c r="D5961" s="2">
        <v>40909</v>
      </c>
      <c r="E5961" s="1" t="s">
        <v>11917</v>
      </c>
      <c r="F5961" s="1" t="s">
        <v>13</v>
      </c>
    </row>
    <row r="5962" spans="1:6" ht="30" customHeight="1" x14ac:dyDescent="0.25">
      <c r="A5962" s="1" t="s">
        <v>11918</v>
      </c>
      <c r="B5962" s="1" t="str">
        <f>"9780875532615"</f>
        <v>9780875532615</v>
      </c>
      <c r="C5962" s="1" t="s">
        <v>10965</v>
      </c>
      <c r="D5962" s="2">
        <v>40909</v>
      </c>
      <c r="E5962" s="1" t="s">
        <v>11919</v>
      </c>
      <c r="F5962" s="1" t="s">
        <v>11920</v>
      </c>
    </row>
    <row r="5963" spans="1:6" ht="30" customHeight="1" x14ac:dyDescent="0.25">
      <c r="A5963" s="1" t="s">
        <v>11921</v>
      </c>
      <c r="B5963" s="1" t="str">
        <f>"9780875532622"</f>
        <v>9780875532622</v>
      </c>
      <c r="C5963" s="1" t="s">
        <v>10965</v>
      </c>
      <c r="D5963" s="2">
        <v>41030</v>
      </c>
      <c r="E5963" s="1" t="s">
        <v>10970</v>
      </c>
      <c r="F5963" s="1" t="s">
        <v>13</v>
      </c>
    </row>
    <row r="5964" spans="1:6" ht="30" customHeight="1" x14ac:dyDescent="0.25">
      <c r="A5964" s="1" t="s">
        <v>11922</v>
      </c>
      <c r="B5964" s="1" t="str">
        <f>"9783110888539"</f>
        <v>9783110888539</v>
      </c>
      <c r="C5964" s="1" t="s">
        <v>1848</v>
      </c>
      <c r="D5964" s="2">
        <v>40675</v>
      </c>
      <c r="E5964" s="1" t="s">
        <v>11923</v>
      </c>
      <c r="F5964" s="1" t="s">
        <v>30</v>
      </c>
    </row>
    <row r="5965" spans="1:6" ht="30" customHeight="1" x14ac:dyDescent="0.25">
      <c r="A5965" s="1" t="s">
        <v>11924</v>
      </c>
      <c r="B5965" s="1" t="str">
        <f>"9783110872699"</f>
        <v>9783110872699</v>
      </c>
      <c r="C5965" s="1" t="s">
        <v>1848</v>
      </c>
      <c r="D5965" s="2">
        <v>40672</v>
      </c>
      <c r="E5965" s="1" t="s">
        <v>11925</v>
      </c>
      <c r="F5965" s="1" t="s">
        <v>13</v>
      </c>
    </row>
    <row r="5966" spans="1:6" ht="30" customHeight="1" x14ac:dyDescent="0.25">
      <c r="A5966" s="1" t="s">
        <v>11926</v>
      </c>
      <c r="B5966" s="1" t="str">
        <f>"9781118274378"</f>
        <v>9781118274378</v>
      </c>
      <c r="C5966" s="1" t="s">
        <v>65</v>
      </c>
      <c r="D5966" s="2">
        <v>41008</v>
      </c>
      <c r="E5966" s="1" t="s">
        <v>11927</v>
      </c>
      <c r="F5966" s="1" t="s">
        <v>137</v>
      </c>
    </row>
    <row r="5967" spans="1:6" ht="30" customHeight="1" x14ac:dyDescent="0.25">
      <c r="A5967" s="1" t="s">
        <v>11928</v>
      </c>
      <c r="B5967" s="1" t="str">
        <f>"9781119941118"</f>
        <v>9781119941118</v>
      </c>
      <c r="C5967" s="1" t="s">
        <v>65</v>
      </c>
      <c r="D5967" s="2">
        <v>41060</v>
      </c>
      <c r="E5967" s="1" t="s">
        <v>11929</v>
      </c>
      <c r="F5967" s="1" t="s">
        <v>13</v>
      </c>
    </row>
    <row r="5968" spans="1:6" ht="30" customHeight="1" x14ac:dyDescent="0.25">
      <c r="A5968" s="1" t="s">
        <v>11930</v>
      </c>
      <c r="B5968" s="1" t="str">
        <f>"9781118345337"</f>
        <v>9781118345337</v>
      </c>
      <c r="C5968" s="1" t="s">
        <v>65</v>
      </c>
      <c r="D5968" s="2">
        <v>41064</v>
      </c>
      <c r="E5968" s="1" t="s">
        <v>11931</v>
      </c>
      <c r="F5968" s="1" t="s">
        <v>9422</v>
      </c>
    </row>
    <row r="5969" spans="1:6" ht="30" customHeight="1" x14ac:dyDescent="0.25">
      <c r="A5969" s="1" t="s">
        <v>11932</v>
      </c>
      <c r="B5969" s="1" t="str">
        <f>"9781118341612"</f>
        <v>9781118341612</v>
      </c>
      <c r="C5969" s="1" t="s">
        <v>65</v>
      </c>
      <c r="D5969" s="2">
        <v>41064</v>
      </c>
      <c r="E5969" s="1" t="s">
        <v>11933</v>
      </c>
      <c r="F5969" s="1" t="s">
        <v>13</v>
      </c>
    </row>
    <row r="5970" spans="1:6" ht="30" customHeight="1" x14ac:dyDescent="0.25">
      <c r="A5970" s="1" t="s">
        <v>11934</v>
      </c>
      <c r="B5970" s="1" t="str">
        <f>"9781118373859"</f>
        <v>9781118373859</v>
      </c>
      <c r="C5970" s="1" t="s">
        <v>11</v>
      </c>
      <c r="D5970" s="2">
        <v>41064</v>
      </c>
      <c r="E5970" s="1" t="s">
        <v>11935</v>
      </c>
      <c r="F5970" s="1" t="s">
        <v>11936</v>
      </c>
    </row>
    <row r="5971" spans="1:6" ht="30" customHeight="1" x14ac:dyDescent="0.25">
      <c r="A5971" s="1" t="s">
        <v>11937</v>
      </c>
      <c r="B5971" s="1" t="str">
        <f>"9781118467961"</f>
        <v>9781118467961</v>
      </c>
      <c r="C5971" s="1" t="s">
        <v>65</v>
      </c>
      <c r="D5971" s="2">
        <v>41066</v>
      </c>
      <c r="E5971" s="1" t="s">
        <v>11938</v>
      </c>
      <c r="F5971" s="1" t="s">
        <v>13</v>
      </c>
    </row>
    <row r="5972" spans="1:6" ht="30" customHeight="1" x14ac:dyDescent="0.25">
      <c r="A5972" s="1" t="s">
        <v>11939</v>
      </c>
      <c r="B5972" s="1" t="str">
        <f>"9781780528595"</f>
        <v>9781780528595</v>
      </c>
      <c r="C5972" s="1" t="s">
        <v>971</v>
      </c>
      <c r="D5972" s="2">
        <v>41066</v>
      </c>
      <c r="E5972" s="1" t="s">
        <v>11940</v>
      </c>
      <c r="F5972" s="1" t="s">
        <v>158</v>
      </c>
    </row>
    <row r="5973" spans="1:6" ht="30" customHeight="1" x14ac:dyDescent="0.25">
      <c r="A5973" s="1" t="s">
        <v>11941</v>
      </c>
      <c r="B5973" s="1" t="str">
        <f>"9780826109996"</f>
        <v>9780826109996</v>
      </c>
      <c r="C5973" s="1" t="s">
        <v>2339</v>
      </c>
      <c r="D5973" s="2">
        <v>41080</v>
      </c>
      <c r="E5973" s="1" t="s">
        <v>11942</v>
      </c>
      <c r="F5973" s="1" t="s">
        <v>234</v>
      </c>
    </row>
    <row r="5974" spans="1:6" ht="30" customHeight="1" x14ac:dyDescent="0.25">
      <c r="A5974" s="1" t="s">
        <v>11943</v>
      </c>
      <c r="B5974" s="1" t="str">
        <f>"9780826195661"</f>
        <v>9780826195661</v>
      </c>
      <c r="C5974" s="1" t="s">
        <v>2339</v>
      </c>
      <c r="D5974" s="2">
        <v>41080</v>
      </c>
      <c r="E5974" s="1" t="s">
        <v>11944</v>
      </c>
      <c r="F5974" s="1" t="s">
        <v>13</v>
      </c>
    </row>
    <row r="5975" spans="1:6" ht="30" customHeight="1" x14ac:dyDescent="0.25">
      <c r="A5975" s="1" t="s">
        <v>11945</v>
      </c>
      <c r="B5975" s="1" t="str">
        <f>"9780817385330"</f>
        <v>9780817385330</v>
      </c>
      <c r="C5975" s="1" t="s">
        <v>6589</v>
      </c>
      <c r="D5975" s="2">
        <v>41072</v>
      </c>
      <c r="E5975" s="1" t="s">
        <v>11946</v>
      </c>
      <c r="F5975" s="1" t="s">
        <v>158</v>
      </c>
    </row>
    <row r="5976" spans="1:6" ht="30" customHeight="1" x14ac:dyDescent="0.25">
      <c r="A5976" s="1" t="s">
        <v>11947</v>
      </c>
      <c r="B5976" s="1" t="str">
        <f>"9781118292136"</f>
        <v>9781118292136</v>
      </c>
      <c r="C5976" s="1" t="s">
        <v>65</v>
      </c>
      <c r="D5976" s="2">
        <v>41073</v>
      </c>
      <c r="E5976" s="1" t="s">
        <v>11948</v>
      </c>
      <c r="F5976" s="1" t="s">
        <v>21</v>
      </c>
    </row>
    <row r="5977" spans="1:6" ht="30" customHeight="1" x14ac:dyDescent="0.25">
      <c r="A5977" s="1" t="s">
        <v>11949</v>
      </c>
      <c r="B5977" s="1" t="str">
        <f>"9781118308530"</f>
        <v>9781118308530</v>
      </c>
      <c r="C5977" s="1" t="s">
        <v>65</v>
      </c>
      <c r="D5977" s="2">
        <v>41072</v>
      </c>
      <c r="E5977" s="1" t="s">
        <v>11950</v>
      </c>
      <c r="F5977" s="1" t="s">
        <v>13</v>
      </c>
    </row>
    <row r="5978" spans="1:6" ht="30" customHeight="1" x14ac:dyDescent="0.25">
      <c r="A5978" s="1" t="s">
        <v>11951</v>
      </c>
      <c r="B5978" s="1" t="str">
        <f>"9781849409988"</f>
        <v>9781849409988</v>
      </c>
      <c r="C5978" s="1" t="s">
        <v>68</v>
      </c>
      <c r="D5978" s="2">
        <v>41075</v>
      </c>
      <c r="E5978" s="1" t="s">
        <v>11952</v>
      </c>
      <c r="F5978" s="1" t="s">
        <v>13</v>
      </c>
    </row>
    <row r="5979" spans="1:6" ht="30" customHeight="1" x14ac:dyDescent="0.25">
      <c r="A5979" s="1" t="s">
        <v>11953</v>
      </c>
      <c r="B5979" s="1" t="str">
        <f>"9783527652938"</f>
        <v>9783527652938</v>
      </c>
      <c r="C5979" s="1" t="s">
        <v>65</v>
      </c>
      <c r="D5979" s="2">
        <v>41073</v>
      </c>
      <c r="E5979" s="1" t="s">
        <v>11954</v>
      </c>
      <c r="F5979" s="1" t="s">
        <v>13</v>
      </c>
    </row>
    <row r="5980" spans="1:6" ht="30" customHeight="1" x14ac:dyDescent="0.25">
      <c r="A5980" s="1" t="s">
        <v>11955</v>
      </c>
      <c r="B5980" s="1" t="str">
        <f>"9783527654338"</f>
        <v>9783527654338</v>
      </c>
      <c r="C5980" s="1" t="s">
        <v>65</v>
      </c>
      <c r="D5980" s="2">
        <v>41073</v>
      </c>
      <c r="E5980" s="1" t="s">
        <v>11956</v>
      </c>
      <c r="F5980" s="1" t="s">
        <v>137</v>
      </c>
    </row>
    <row r="5981" spans="1:6" ht="30" customHeight="1" x14ac:dyDescent="0.25">
      <c r="A5981" s="1" t="s">
        <v>11957</v>
      </c>
      <c r="B5981" s="1" t="str">
        <f>"9781596934405"</f>
        <v>9781596934405</v>
      </c>
      <c r="C5981" s="1" t="s">
        <v>4200</v>
      </c>
      <c r="D5981" s="2">
        <v>40087</v>
      </c>
      <c r="E5981" s="1" t="s">
        <v>11958</v>
      </c>
      <c r="F5981" s="1" t="s">
        <v>13</v>
      </c>
    </row>
    <row r="5982" spans="1:6" ht="30" customHeight="1" x14ac:dyDescent="0.25">
      <c r="A5982" s="1" t="s">
        <v>11959</v>
      </c>
      <c r="B5982" s="1" t="str">
        <f>"9781596933712"</f>
        <v>9781596933712</v>
      </c>
      <c r="C5982" s="1" t="s">
        <v>4200</v>
      </c>
      <c r="D5982" s="2">
        <v>40026</v>
      </c>
      <c r="E5982" s="1" t="s">
        <v>11960</v>
      </c>
      <c r="F5982" s="1" t="s">
        <v>13</v>
      </c>
    </row>
    <row r="5983" spans="1:6" ht="30" customHeight="1" x14ac:dyDescent="0.25">
      <c r="A5983" s="1" t="s">
        <v>11961</v>
      </c>
      <c r="B5983" s="1" t="str">
        <f>"9781596931107"</f>
        <v>9781596931107</v>
      </c>
      <c r="C5983" s="1" t="s">
        <v>4200</v>
      </c>
      <c r="D5983" s="2">
        <v>39965</v>
      </c>
      <c r="E5983" s="1" t="s">
        <v>11962</v>
      </c>
      <c r="F5983" s="1" t="s">
        <v>13</v>
      </c>
    </row>
    <row r="5984" spans="1:6" ht="30" customHeight="1" x14ac:dyDescent="0.25">
      <c r="A5984" s="1" t="s">
        <v>11963</v>
      </c>
      <c r="B5984" s="1" t="str">
        <f>"9781596934597"</f>
        <v>9781596934597</v>
      </c>
      <c r="C5984" s="1" t="s">
        <v>4200</v>
      </c>
      <c r="D5984" s="2">
        <v>40299</v>
      </c>
      <c r="E5984" s="1" t="s">
        <v>11964</v>
      </c>
      <c r="F5984" s="1" t="s">
        <v>359</v>
      </c>
    </row>
    <row r="5985" spans="1:6" ht="30" customHeight="1" x14ac:dyDescent="0.25">
      <c r="A5985" s="1" t="s">
        <v>11965</v>
      </c>
      <c r="B5985" s="1" t="str">
        <f>"9781608070121"</f>
        <v>9781608070121</v>
      </c>
      <c r="C5985" s="1" t="s">
        <v>4200</v>
      </c>
      <c r="D5985" s="2">
        <v>40299</v>
      </c>
      <c r="E5985" s="1" t="s">
        <v>11966</v>
      </c>
      <c r="F5985" s="1" t="s">
        <v>195</v>
      </c>
    </row>
    <row r="5986" spans="1:6" ht="30" customHeight="1" x14ac:dyDescent="0.25">
      <c r="A5986" s="1" t="s">
        <v>11967</v>
      </c>
      <c r="B5986" s="1" t="str">
        <f>"9781596934054"</f>
        <v>9781596934054</v>
      </c>
      <c r="C5986" s="1" t="s">
        <v>4200</v>
      </c>
      <c r="D5986" s="2">
        <v>39995</v>
      </c>
      <c r="E5986" s="1" t="s">
        <v>11968</v>
      </c>
      <c r="F5986" s="1" t="s">
        <v>13</v>
      </c>
    </row>
    <row r="5987" spans="1:6" ht="30" customHeight="1" x14ac:dyDescent="0.25">
      <c r="A5987" s="1" t="s">
        <v>11969</v>
      </c>
      <c r="B5987" s="1" t="str">
        <f>"9781596934115"</f>
        <v>9781596934115</v>
      </c>
      <c r="C5987" s="1" t="s">
        <v>4200</v>
      </c>
      <c r="D5987" s="2">
        <v>40026</v>
      </c>
      <c r="E5987" s="1" t="s">
        <v>11970</v>
      </c>
      <c r="F5987" s="1" t="s">
        <v>13</v>
      </c>
    </row>
    <row r="5988" spans="1:6" ht="30" customHeight="1" x14ac:dyDescent="0.25">
      <c r="A5988" s="1" t="s">
        <v>11971</v>
      </c>
      <c r="B5988" s="1" t="str">
        <f>"9781596934030"</f>
        <v>9781596934030</v>
      </c>
      <c r="C5988" s="1" t="s">
        <v>4200</v>
      </c>
      <c r="D5988" s="2">
        <v>39995</v>
      </c>
      <c r="E5988" s="1" t="s">
        <v>11972</v>
      </c>
      <c r="F5988" s="1" t="s">
        <v>780</v>
      </c>
    </row>
    <row r="5989" spans="1:6" ht="30" customHeight="1" x14ac:dyDescent="0.25">
      <c r="A5989" s="1" t="s">
        <v>11973</v>
      </c>
      <c r="B5989" s="1" t="str">
        <f>"9781596932807"</f>
        <v>9781596932807</v>
      </c>
      <c r="C5989" s="1" t="s">
        <v>4200</v>
      </c>
      <c r="D5989" s="2">
        <v>40026</v>
      </c>
      <c r="E5989" s="1" t="s">
        <v>11974</v>
      </c>
      <c r="F5989" s="1" t="s">
        <v>13</v>
      </c>
    </row>
    <row r="5990" spans="1:6" ht="30" customHeight="1" x14ac:dyDescent="0.25">
      <c r="A5990" s="1" t="s">
        <v>11975</v>
      </c>
      <c r="B5990" s="1" t="str">
        <f>"9780313397813"</f>
        <v>9780313397813</v>
      </c>
      <c r="C5990" s="1" t="s">
        <v>7550</v>
      </c>
      <c r="D5990" s="2">
        <v>41776</v>
      </c>
      <c r="E5990" s="1" t="s">
        <v>11976</v>
      </c>
      <c r="F5990" s="1" t="s">
        <v>137</v>
      </c>
    </row>
    <row r="5991" spans="1:6" ht="30" customHeight="1" x14ac:dyDescent="0.25">
      <c r="A5991" s="1" t="s">
        <v>11977</v>
      </c>
      <c r="B5991" s="1" t="str">
        <f>"9781118425800"</f>
        <v>9781118425800</v>
      </c>
      <c r="C5991" s="1" t="s">
        <v>65</v>
      </c>
      <c r="D5991" s="2">
        <v>41029</v>
      </c>
      <c r="E5991" s="1" t="s">
        <v>11978</v>
      </c>
      <c r="F5991" s="1" t="s">
        <v>13</v>
      </c>
    </row>
    <row r="5992" spans="1:6" ht="30" customHeight="1" x14ac:dyDescent="0.25">
      <c r="A5992" s="1" t="s">
        <v>11979</v>
      </c>
      <c r="B5992" s="1" t="str">
        <f>"9781119943235"</f>
        <v>9781119943235</v>
      </c>
      <c r="C5992" s="1" t="s">
        <v>65</v>
      </c>
      <c r="D5992" s="2">
        <v>41009</v>
      </c>
      <c r="E5992" s="1" t="s">
        <v>11980</v>
      </c>
      <c r="F5992" s="1" t="s">
        <v>13</v>
      </c>
    </row>
    <row r="5993" spans="1:6" ht="30" customHeight="1" x14ac:dyDescent="0.25">
      <c r="A5993" s="1" t="s">
        <v>6114</v>
      </c>
      <c r="B5993" s="1" t="str">
        <f>"9780123848659"</f>
        <v>9780123848659</v>
      </c>
      <c r="C5993" s="1" t="s">
        <v>900</v>
      </c>
      <c r="D5993" s="2">
        <v>41134</v>
      </c>
      <c r="E5993" s="1" t="s">
        <v>11981</v>
      </c>
      <c r="F5993" s="1" t="s">
        <v>33</v>
      </c>
    </row>
    <row r="5994" spans="1:6" ht="30" customHeight="1" x14ac:dyDescent="0.25">
      <c r="A5994" s="1" t="s">
        <v>11982</v>
      </c>
      <c r="B5994" s="1" t="str">
        <f>"9781118338100"</f>
        <v>9781118338100</v>
      </c>
      <c r="C5994" s="1" t="s">
        <v>65</v>
      </c>
      <c r="D5994" s="2">
        <v>41074</v>
      </c>
      <c r="E5994" s="1" t="s">
        <v>11983</v>
      </c>
      <c r="F5994" s="1" t="s">
        <v>13</v>
      </c>
    </row>
    <row r="5995" spans="1:6" ht="30" customHeight="1" x14ac:dyDescent="0.25">
      <c r="A5995" s="1" t="s">
        <v>11984</v>
      </c>
      <c r="B5995" s="1" t="str">
        <f>"9781118348062"</f>
        <v>9781118348062</v>
      </c>
      <c r="C5995" s="1" t="s">
        <v>65</v>
      </c>
      <c r="D5995" s="2">
        <v>41074</v>
      </c>
      <c r="E5995" s="1" t="s">
        <v>11985</v>
      </c>
      <c r="F5995" s="1" t="s">
        <v>13</v>
      </c>
    </row>
    <row r="5996" spans="1:6" ht="30" customHeight="1" x14ac:dyDescent="0.25">
      <c r="A5996" s="1" t="s">
        <v>11986</v>
      </c>
      <c r="B5996" s="1" t="str">
        <f>"9780471694427"</f>
        <v>9780471694427</v>
      </c>
      <c r="C5996" s="1" t="s">
        <v>65</v>
      </c>
      <c r="D5996" s="2">
        <v>41689</v>
      </c>
      <c r="E5996" s="1" t="s">
        <v>11987</v>
      </c>
      <c r="F5996" s="1" t="s">
        <v>13</v>
      </c>
    </row>
    <row r="5997" spans="1:6" ht="30" customHeight="1" x14ac:dyDescent="0.25">
      <c r="A5997" s="1" t="s">
        <v>11988</v>
      </c>
      <c r="B5997" s="1" t="str">
        <f>"9781118220528"</f>
        <v>9781118220528</v>
      </c>
      <c r="C5997" s="1" t="s">
        <v>65</v>
      </c>
      <c r="D5997" s="2">
        <v>41233</v>
      </c>
      <c r="E5997" s="1" t="s">
        <v>11989</v>
      </c>
      <c r="F5997" s="1" t="s">
        <v>11990</v>
      </c>
    </row>
    <row r="5998" spans="1:6" ht="30" customHeight="1" x14ac:dyDescent="0.25">
      <c r="A5998" s="1" t="s">
        <v>11991</v>
      </c>
      <c r="B5998" s="1" t="str">
        <f>"9781118480281"</f>
        <v>9781118480281</v>
      </c>
      <c r="C5998" s="1" t="s">
        <v>11</v>
      </c>
      <c r="D5998" s="2">
        <v>41359</v>
      </c>
      <c r="E5998" s="1" t="s">
        <v>11992</v>
      </c>
      <c r="F5998" s="1" t="s">
        <v>13</v>
      </c>
    </row>
    <row r="5999" spans="1:6" ht="30" customHeight="1" x14ac:dyDescent="0.25">
      <c r="A5999" s="1" t="s">
        <v>11993</v>
      </c>
      <c r="B5999" s="1" t="str">
        <f>"9781118355947"</f>
        <v>9781118355947</v>
      </c>
      <c r="C5999" s="1" t="s">
        <v>11</v>
      </c>
      <c r="D5999" s="2">
        <v>41320</v>
      </c>
      <c r="E5999" s="1" t="s">
        <v>11994</v>
      </c>
      <c r="F5999" s="1" t="s">
        <v>11995</v>
      </c>
    </row>
    <row r="6000" spans="1:6" ht="30" customHeight="1" x14ac:dyDescent="0.25">
      <c r="A6000" s="1" t="s">
        <v>11996</v>
      </c>
      <c r="B6000" s="1" t="str">
        <f>"9781118407714"</f>
        <v>9781118407714</v>
      </c>
      <c r="C6000" s="1" t="s">
        <v>11</v>
      </c>
      <c r="D6000" s="2">
        <v>41150</v>
      </c>
      <c r="E6000" s="1" t="s">
        <v>11997</v>
      </c>
      <c r="F6000" s="1" t="s">
        <v>137</v>
      </c>
    </row>
    <row r="6001" spans="1:6" ht="30" customHeight="1" x14ac:dyDescent="0.25">
      <c r="A6001" s="1" t="s">
        <v>11998</v>
      </c>
      <c r="B6001" s="1" t="str">
        <f>"9781118430798"</f>
        <v>9781118430798</v>
      </c>
      <c r="C6001" s="1" t="s">
        <v>11</v>
      </c>
      <c r="D6001" s="2">
        <v>41177</v>
      </c>
      <c r="E6001" s="1" t="s">
        <v>11999</v>
      </c>
      <c r="F6001" s="1" t="s">
        <v>1372</v>
      </c>
    </row>
    <row r="6002" spans="1:6" ht="30" customHeight="1" x14ac:dyDescent="0.25">
      <c r="A6002" s="1" t="s">
        <v>12000</v>
      </c>
      <c r="B6002" s="1" t="str">
        <f>"9781118452790"</f>
        <v>9781118452790</v>
      </c>
      <c r="C6002" s="1" t="s">
        <v>65</v>
      </c>
      <c r="D6002" s="2">
        <v>41200</v>
      </c>
      <c r="E6002" s="1" t="s">
        <v>12001</v>
      </c>
      <c r="F6002" s="1" t="s">
        <v>13</v>
      </c>
    </row>
    <row r="6003" spans="1:6" ht="30" customHeight="1" x14ac:dyDescent="0.25">
      <c r="A6003" s="1" t="s">
        <v>12002</v>
      </c>
      <c r="B6003" s="1" t="str">
        <f>"9781118286838"</f>
        <v>9781118286838</v>
      </c>
      <c r="C6003" s="1" t="s">
        <v>65</v>
      </c>
      <c r="D6003" s="2">
        <v>41691</v>
      </c>
      <c r="E6003" s="1" t="s">
        <v>12003</v>
      </c>
      <c r="F6003" s="1" t="s">
        <v>13</v>
      </c>
    </row>
    <row r="6004" spans="1:6" ht="30" customHeight="1" x14ac:dyDescent="0.25">
      <c r="A6004" s="1" t="s">
        <v>12004</v>
      </c>
      <c r="B6004" s="1" t="str">
        <f>"9780765709042"</f>
        <v>9780765709042</v>
      </c>
      <c r="C6004" s="1" t="s">
        <v>6903</v>
      </c>
      <c r="D6004" s="2">
        <v>41067</v>
      </c>
      <c r="E6004" s="1" t="s">
        <v>12005</v>
      </c>
      <c r="F6004" s="1" t="s">
        <v>13</v>
      </c>
    </row>
    <row r="6005" spans="1:6" ht="30" customHeight="1" x14ac:dyDescent="0.25">
      <c r="A6005" s="1" t="s">
        <v>12006</v>
      </c>
      <c r="B6005" s="1" t="str">
        <f>"9780765709301"</f>
        <v>9780765709301</v>
      </c>
      <c r="C6005" s="1" t="s">
        <v>6903</v>
      </c>
      <c r="D6005" s="2">
        <v>41067</v>
      </c>
      <c r="E6005" s="1" t="s">
        <v>12007</v>
      </c>
      <c r="F6005" s="1" t="s">
        <v>13</v>
      </c>
    </row>
    <row r="6006" spans="1:6" ht="30" customHeight="1" x14ac:dyDescent="0.25">
      <c r="A6006" s="1" t="s">
        <v>12008</v>
      </c>
      <c r="B6006" s="1" t="str">
        <f>"9781614990529"</f>
        <v>9781614990529</v>
      </c>
      <c r="C6006" s="1" t="s">
        <v>1390</v>
      </c>
      <c r="D6006" s="2">
        <v>41039</v>
      </c>
      <c r="E6006" s="1" t="s">
        <v>12009</v>
      </c>
      <c r="F6006" s="1" t="s">
        <v>13</v>
      </c>
    </row>
    <row r="6007" spans="1:6" ht="30" customHeight="1" x14ac:dyDescent="0.25">
      <c r="A6007" s="1" t="s">
        <v>12010</v>
      </c>
      <c r="B6007" s="1" t="str">
        <f>"9781614990543"</f>
        <v>9781614990543</v>
      </c>
      <c r="C6007" s="1" t="s">
        <v>1390</v>
      </c>
      <c r="D6007" s="2">
        <v>41039</v>
      </c>
      <c r="E6007" s="1" t="s">
        <v>12011</v>
      </c>
      <c r="F6007" s="1" t="s">
        <v>13</v>
      </c>
    </row>
    <row r="6008" spans="1:6" ht="30" customHeight="1" x14ac:dyDescent="0.25">
      <c r="A6008" s="1" t="s">
        <v>12012</v>
      </c>
      <c r="B6008" s="1" t="str">
        <f>"9781614990598"</f>
        <v>9781614990598</v>
      </c>
      <c r="C6008" s="1" t="s">
        <v>1390</v>
      </c>
      <c r="D6008" s="2">
        <v>41075</v>
      </c>
      <c r="E6008" s="1" t="s">
        <v>12013</v>
      </c>
      <c r="F6008" s="1" t="s">
        <v>12014</v>
      </c>
    </row>
    <row r="6009" spans="1:6" ht="30" customHeight="1" x14ac:dyDescent="0.25">
      <c r="A6009" s="1" t="s">
        <v>12015</v>
      </c>
      <c r="B6009" s="1" t="str">
        <f>"9781614990697"</f>
        <v>9781614990697</v>
      </c>
      <c r="C6009" s="1" t="s">
        <v>1390</v>
      </c>
      <c r="D6009" s="2">
        <v>41072</v>
      </c>
      <c r="E6009" s="1" t="s">
        <v>12016</v>
      </c>
      <c r="F6009" s="1" t="s">
        <v>13</v>
      </c>
    </row>
    <row r="6010" spans="1:6" ht="30" customHeight="1" x14ac:dyDescent="0.25">
      <c r="A6010" s="1" t="s">
        <v>12017</v>
      </c>
      <c r="B6010" s="1" t="str">
        <f>"9780759121478"</f>
        <v>9780759121478</v>
      </c>
      <c r="C6010" s="1" t="s">
        <v>7466</v>
      </c>
      <c r="D6010" s="2">
        <v>40997</v>
      </c>
      <c r="E6010" s="1" t="s">
        <v>12018</v>
      </c>
      <c r="F6010" s="1" t="s">
        <v>8798</v>
      </c>
    </row>
    <row r="6011" spans="1:6" ht="30" customHeight="1" x14ac:dyDescent="0.25">
      <c r="A6011" s="1" t="s">
        <v>12019</v>
      </c>
      <c r="B6011" s="1" t="str">
        <f>"9781849409995"</f>
        <v>9781849409995</v>
      </c>
      <c r="C6011" s="1" t="s">
        <v>8994</v>
      </c>
      <c r="D6011" s="2">
        <v>41080</v>
      </c>
      <c r="E6011" s="1" t="s">
        <v>12020</v>
      </c>
      <c r="F6011" s="1" t="s">
        <v>13</v>
      </c>
    </row>
    <row r="6012" spans="1:6" ht="30" customHeight="1" x14ac:dyDescent="0.25">
      <c r="A6012" s="1" t="s">
        <v>12021</v>
      </c>
      <c r="B6012" s="1" t="str">
        <f>"9781118481400"</f>
        <v>9781118481400</v>
      </c>
      <c r="C6012" s="1" t="s">
        <v>65</v>
      </c>
      <c r="D6012" s="2">
        <v>41086</v>
      </c>
      <c r="E6012" s="1" t="s">
        <v>12022</v>
      </c>
      <c r="F6012" s="1" t="s">
        <v>13</v>
      </c>
    </row>
    <row r="6013" spans="1:6" ht="30" customHeight="1" x14ac:dyDescent="0.25">
      <c r="A6013" s="1" t="s">
        <v>12023</v>
      </c>
      <c r="B6013" s="1" t="str">
        <f>"9780759120440"</f>
        <v>9780759120440</v>
      </c>
      <c r="C6013" s="1" t="s">
        <v>7466</v>
      </c>
      <c r="D6013" s="2">
        <v>41076</v>
      </c>
      <c r="E6013" s="1" t="s">
        <v>12024</v>
      </c>
      <c r="F6013" s="1" t="s">
        <v>3328</v>
      </c>
    </row>
    <row r="6014" spans="1:6" ht="30" customHeight="1" x14ac:dyDescent="0.25">
      <c r="A6014" s="1" t="s">
        <v>12025</v>
      </c>
      <c r="B6014" s="1" t="str">
        <f>"9780826108005"</f>
        <v>9780826108005</v>
      </c>
      <c r="C6014" s="1" t="s">
        <v>2339</v>
      </c>
      <c r="D6014" s="2">
        <v>41080</v>
      </c>
      <c r="E6014" s="1" t="s">
        <v>12026</v>
      </c>
      <c r="F6014" s="1" t="s">
        <v>95</v>
      </c>
    </row>
    <row r="6015" spans="1:6" ht="30" customHeight="1" x14ac:dyDescent="0.25">
      <c r="A6015" s="1" t="s">
        <v>12027</v>
      </c>
      <c r="B6015" s="1" t="str">
        <f>"9780821395905"</f>
        <v>9780821395905</v>
      </c>
      <c r="C6015" s="1" t="s">
        <v>6702</v>
      </c>
      <c r="D6015" s="2">
        <v>40909</v>
      </c>
      <c r="E6015" s="1" t="s">
        <v>12028</v>
      </c>
      <c r="F6015" s="1" t="s">
        <v>95</v>
      </c>
    </row>
    <row r="6016" spans="1:6" ht="30" customHeight="1" x14ac:dyDescent="0.25">
      <c r="A6016" s="1" t="s">
        <v>12029</v>
      </c>
      <c r="B6016" s="1" t="str">
        <f>"9780870044977"</f>
        <v>9780870044977</v>
      </c>
      <c r="C6016" s="1" t="s">
        <v>12030</v>
      </c>
      <c r="D6016" s="2">
        <v>36951</v>
      </c>
      <c r="E6016" s="1" t="s">
        <v>12031</v>
      </c>
      <c r="F6016" s="1" t="s">
        <v>13</v>
      </c>
    </row>
    <row r="6017" spans="1:6" ht="30" customHeight="1" x14ac:dyDescent="0.25">
      <c r="A6017" s="1" t="s">
        <v>12032</v>
      </c>
      <c r="B6017" s="1" t="str">
        <f>"9781780171432"</f>
        <v>9781780171432</v>
      </c>
      <c r="C6017" s="1" t="s">
        <v>12033</v>
      </c>
      <c r="D6017" s="2">
        <v>41089</v>
      </c>
      <c r="E6017" s="1" t="s">
        <v>12034</v>
      </c>
      <c r="F6017" s="1" t="s">
        <v>11352</v>
      </c>
    </row>
    <row r="6018" spans="1:6" ht="30" customHeight="1" x14ac:dyDescent="0.25">
      <c r="A6018" s="1" t="s">
        <v>12035</v>
      </c>
      <c r="B6018" s="1" t="str">
        <f>"9789004229204"</f>
        <v>9789004229204</v>
      </c>
      <c r="C6018" s="1" t="s">
        <v>906</v>
      </c>
      <c r="D6018" s="2">
        <v>41773</v>
      </c>
      <c r="E6018" s="1" t="s">
        <v>12036</v>
      </c>
      <c r="F6018" s="1" t="s">
        <v>13</v>
      </c>
    </row>
    <row r="6019" spans="1:6" ht="30" customHeight="1" x14ac:dyDescent="0.25">
      <c r="A6019" s="1" t="s">
        <v>12037</v>
      </c>
      <c r="B6019" s="1" t="str">
        <f>"9781782410003"</f>
        <v>9781782410003</v>
      </c>
      <c r="C6019" s="1" t="s">
        <v>68</v>
      </c>
      <c r="D6019" s="2">
        <v>41089</v>
      </c>
      <c r="E6019" s="1" t="s">
        <v>12038</v>
      </c>
      <c r="F6019" s="1" t="s">
        <v>291</v>
      </c>
    </row>
    <row r="6020" spans="1:6" ht="30" customHeight="1" x14ac:dyDescent="0.25">
      <c r="A6020" s="1" t="s">
        <v>12039</v>
      </c>
      <c r="B6020" s="1" t="str">
        <f>"9780231511773"</f>
        <v>9780231511773</v>
      </c>
      <c r="C6020" s="1" t="s">
        <v>11751</v>
      </c>
      <c r="D6020" s="2">
        <v>39717</v>
      </c>
      <c r="E6020" s="1" t="s">
        <v>12040</v>
      </c>
      <c r="F6020" s="1" t="s">
        <v>70</v>
      </c>
    </row>
    <row r="6021" spans="1:6" ht="30" customHeight="1" x14ac:dyDescent="0.25">
      <c r="A6021" s="1" t="s">
        <v>12041</v>
      </c>
      <c r="B6021" s="1" t="str">
        <f>"9780765708373"</f>
        <v>9780765708373</v>
      </c>
      <c r="C6021" s="1" t="s">
        <v>6903</v>
      </c>
      <c r="D6021" s="2">
        <v>41081</v>
      </c>
      <c r="E6021" s="1" t="s">
        <v>12042</v>
      </c>
      <c r="F6021" s="1" t="s">
        <v>13</v>
      </c>
    </row>
    <row r="6022" spans="1:6" ht="30" customHeight="1" x14ac:dyDescent="0.25">
      <c r="A6022" s="1" t="s">
        <v>12043</v>
      </c>
      <c r="B6022" s="1" t="str">
        <f>"9781589013551"</f>
        <v>9781589013551</v>
      </c>
      <c r="C6022" s="1" t="s">
        <v>6517</v>
      </c>
      <c r="D6022" s="2">
        <v>38430</v>
      </c>
      <c r="E6022" s="1" t="s">
        <v>12044</v>
      </c>
      <c r="F6022" s="1" t="s">
        <v>13</v>
      </c>
    </row>
    <row r="6023" spans="1:6" ht="30" customHeight="1" x14ac:dyDescent="0.25">
      <c r="A6023" s="1" t="s">
        <v>12045</v>
      </c>
      <c r="B6023" s="1" t="str">
        <f>"9780335243945"</f>
        <v>9780335243945</v>
      </c>
      <c r="C6023" s="1" t="s">
        <v>2247</v>
      </c>
      <c r="D6023" s="2">
        <v>41122</v>
      </c>
      <c r="E6023" s="1" t="s">
        <v>12046</v>
      </c>
      <c r="F6023" s="1" t="s">
        <v>13</v>
      </c>
    </row>
    <row r="6024" spans="1:6" ht="30" customHeight="1" x14ac:dyDescent="0.25">
      <c r="A6024" s="1" t="s">
        <v>12047</v>
      </c>
      <c r="B6024" s="1" t="str">
        <f>"9780335242740"</f>
        <v>9780335242740</v>
      </c>
      <c r="C6024" s="1" t="s">
        <v>2247</v>
      </c>
      <c r="D6024" s="2">
        <v>41061</v>
      </c>
      <c r="E6024" s="1" t="s">
        <v>12048</v>
      </c>
      <c r="F6024" s="1" t="s">
        <v>13</v>
      </c>
    </row>
    <row r="6025" spans="1:6" ht="30" customHeight="1" x14ac:dyDescent="0.25">
      <c r="A6025" s="1" t="s">
        <v>12049</v>
      </c>
      <c r="B6025" s="1" t="str">
        <f>"9781118345467"</f>
        <v>9781118345467</v>
      </c>
      <c r="C6025" s="1" t="s">
        <v>65</v>
      </c>
      <c r="D6025" s="2">
        <v>41093</v>
      </c>
      <c r="E6025" s="1" t="s">
        <v>12050</v>
      </c>
      <c r="F6025" s="1" t="s">
        <v>13</v>
      </c>
    </row>
    <row r="6026" spans="1:6" ht="30" customHeight="1" x14ac:dyDescent="0.25">
      <c r="A6026" s="1" t="s">
        <v>12051</v>
      </c>
      <c r="B6026" s="1" t="str">
        <f>"9780813540054"</f>
        <v>9780813540054</v>
      </c>
      <c r="C6026" s="1" t="s">
        <v>3656</v>
      </c>
      <c r="D6026" s="2">
        <v>38882</v>
      </c>
      <c r="E6026" s="1" t="s">
        <v>6350</v>
      </c>
      <c r="F6026" s="1" t="s">
        <v>13</v>
      </c>
    </row>
    <row r="6027" spans="1:6" ht="30" customHeight="1" x14ac:dyDescent="0.25">
      <c r="A6027" s="1" t="s">
        <v>12052</v>
      </c>
      <c r="B6027" s="1" t="str">
        <f>"9780813539874"</f>
        <v>9780813539874</v>
      </c>
      <c r="C6027" s="1" t="s">
        <v>3656</v>
      </c>
      <c r="D6027" s="2">
        <v>38913</v>
      </c>
      <c r="E6027" s="1" t="s">
        <v>12053</v>
      </c>
      <c r="F6027" s="1" t="s">
        <v>30</v>
      </c>
    </row>
    <row r="6028" spans="1:6" ht="30" customHeight="1" x14ac:dyDescent="0.25">
      <c r="A6028" s="1" t="s">
        <v>12054</v>
      </c>
      <c r="B6028" s="1" t="str">
        <f>"9780765708793"</f>
        <v>9780765708793</v>
      </c>
      <c r="C6028" s="1" t="s">
        <v>6903</v>
      </c>
      <c r="D6028" s="2">
        <v>41011</v>
      </c>
      <c r="E6028" s="1" t="s">
        <v>12055</v>
      </c>
      <c r="F6028" s="1" t="s">
        <v>13</v>
      </c>
    </row>
    <row r="6029" spans="1:6" ht="30" customHeight="1" x14ac:dyDescent="0.25">
      <c r="A6029" s="1" t="s">
        <v>12056</v>
      </c>
      <c r="B6029" s="1" t="str">
        <f>"9780199873982"</f>
        <v>9780199873982</v>
      </c>
      <c r="C6029" s="1" t="s">
        <v>1123</v>
      </c>
      <c r="D6029" s="2">
        <v>41122</v>
      </c>
      <c r="E6029" s="1" t="s">
        <v>12057</v>
      </c>
      <c r="F6029" s="1" t="s">
        <v>137</v>
      </c>
    </row>
    <row r="6030" spans="1:6" ht="30" customHeight="1" x14ac:dyDescent="0.25">
      <c r="A6030" s="1" t="s">
        <v>12058</v>
      </c>
      <c r="B6030" s="1" t="str">
        <f>"9781118351406"</f>
        <v>9781118351406</v>
      </c>
      <c r="C6030" s="1" t="s">
        <v>65</v>
      </c>
      <c r="D6030" s="2">
        <v>41101</v>
      </c>
      <c r="E6030" s="1" t="s">
        <v>12059</v>
      </c>
      <c r="F6030" s="1" t="s">
        <v>13</v>
      </c>
    </row>
    <row r="6031" spans="1:6" ht="30" customHeight="1" x14ac:dyDescent="0.25">
      <c r="A6031" s="1" t="s">
        <v>4703</v>
      </c>
      <c r="B6031" s="1" t="str">
        <f>"9781118373965"</f>
        <v>9781118373965</v>
      </c>
      <c r="C6031" s="1" t="s">
        <v>11</v>
      </c>
      <c r="D6031" s="2">
        <v>41100</v>
      </c>
      <c r="E6031" s="1" t="s">
        <v>12060</v>
      </c>
      <c r="F6031" s="1" t="s">
        <v>6118</v>
      </c>
    </row>
    <row r="6032" spans="1:6" ht="30" customHeight="1" x14ac:dyDescent="0.25">
      <c r="A6032" s="1" t="s">
        <v>12061</v>
      </c>
      <c r="B6032" s="1" t="str">
        <f>"9781782410034"</f>
        <v>9781782410034</v>
      </c>
      <c r="C6032" s="1" t="s">
        <v>68</v>
      </c>
      <c r="D6032" s="2">
        <v>41274</v>
      </c>
      <c r="E6032" s="1" t="s">
        <v>12062</v>
      </c>
      <c r="F6032" s="1" t="s">
        <v>13</v>
      </c>
    </row>
    <row r="6033" spans="1:6" ht="30" customHeight="1" x14ac:dyDescent="0.25">
      <c r="A6033" s="1" t="s">
        <v>12063</v>
      </c>
      <c r="B6033" s="1" t="str">
        <f>"9781118338063"</f>
        <v>9781118338063</v>
      </c>
      <c r="C6033" s="1" t="s">
        <v>65</v>
      </c>
      <c r="D6033" s="2">
        <v>41101</v>
      </c>
      <c r="E6033" s="1" t="s">
        <v>12064</v>
      </c>
      <c r="F6033" s="1" t="s">
        <v>137</v>
      </c>
    </row>
    <row r="6034" spans="1:6" ht="30" customHeight="1" x14ac:dyDescent="0.25">
      <c r="A6034" s="1" t="s">
        <v>12065</v>
      </c>
      <c r="B6034" s="1" t="str">
        <f>"9780191585500"</f>
        <v>9780191585500</v>
      </c>
      <c r="C6034" s="1" t="s">
        <v>1117</v>
      </c>
      <c r="D6034" s="2">
        <v>39016</v>
      </c>
      <c r="E6034" s="1" t="s">
        <v>12066</v>
      </c>
      <c r="F6034" s="1" t="s">
        <v>13</v>
      </c>
    </row>
    <row r="6035" spans="1:6" ht="30" customHeight="1" x14ac:dyDescent="0.25">
      <c r="A6035" s="1" t="s">
        <v>12067</v>
      </c>
      <c r="B6035" s="1" t="str">
        <f>"9780191559457"</f>
        <v>9780191559457</v>
      </c>
      <c r="C6035" s="1" t="s">
        <v>1117</v>
      </c>
      <c r="D6035" s="2">
        <v>39744</v>
      </c>
      <c r="E6035" s="1" t="s">
        <v>12068</v>
      </c>
      <c r="F6035" s="1" t="s">
        <v>13</v>
      </c>
    </row>
    <row r="6036" spans="1:6" ht="30" customHeight="1" x14ac:dyDescent="0.25">
      <c r="A6036" s="1" t="s">
        <v>12069</v>
      </c>
      <c r="B6036" s="1" t="str">
        <f>"9780191551529"</f>
        <v>9780191551529</v>
      </c>
      <c r="C6036" s="1" t="s">
        <v>1117</v>
      </c>
      <c r="D6036" s="2">
        <v>39800</v>
      </c>
      <c r="E6036" s="1" t="s">
        <v>12070</v>
      </c>
      <c r="F6036" s="1" t="s">
        <v>13</v>
      </c>
    </row>
    <row r="6037" spans="1:6" ht="30" customHeight="1" x14ac:dyDescent="0.25">
      <c r="A6037" s="1" t="s">
        <v>12071</v>
      </c>
      <c r="B6037" s="1" t="str">
        <f>"9780191549373"</f>
        <v>9780191549373</v>
      </c>
      <c r="C6037" s="1" t="s">
        <v>1120</v>
      </c>
      <c r="D6037" s="2">
        <v>39898</v>
      </c>
      <c r="E6037" s="1" t="s">
        <v>12072</v>
      </c>
      <c r="F6037" s="1" t="s">
        <v>126</v>
      </c>
    </row>
    <row r="6038" spans="1:6" ht="30" customHeight="1" x14ac:dyDescent="0.25">
      <c r="A6038" s="1" t="s">
        <v>12073</v>
      </c>
      <c r="B6038" s="1" t="str">
        <f>"9780191585326"</f>
        <v>9780191585326</v>
      </c>
      <c r="C6038" s="1" t="s">
        <v>1117</v>
      </c>
      <c r="D6038" s="2">
        <v>39072</v>
      </c>
      <c r="E6038" s="1" t="s">
        <v>12074</v>
      </c>
      <c r="F6038" s="1" t="s">
        <v>13</v>
      </c>
    </row>
    <row r="6039" spans="1:6" ht="30" customHeight="1" x14ac:dyDescent="0.25">
      <c r="A6039" s="1" t="s">
        <v>12075</v>
      </c>
      <c r="B6039" s="1" t="str">
        <f>"9780191566950"</f>
        <v>9780191566950</v>
      </c>
      <c r="C6039" s="1" t="s">
        <v>1117</v>
      </c>
      <c r="D6039" s="2">
        <v>38659</v>
      </c>
      <c r="E6039" s="1" t="s">
        <v>12076</v>
      </c>
      <c r="F6039" s="1" t="s">
        <v>13</v>
      </c>
    </row>
    <row r="6040" spans="1:6" ht="30" customHeight="1" x14ac:dyDescent="0.25">
      <c r="A6040" s="1" t="s">
        <v>12077</v>
      </c>
      <c r="B6040" s="1" t="str">
        <f>"9780191588693"</f>
        <v>9780191588693</v>
      </c>
      <c r="C6040" s="1" t="s">
        <v>1117</v>
      </c>
      <c r="D6040" s="2">
        <v>38358</v>
      </c>
      <c r="E6040" s="1" t="s">
        <v>12078</v>
      </c>
      <c r="F6040" s="1" t="s">
        <v>13</v>
      </c>
    </row>
    <row r="6041" spans="1:6" ht="30" customHeight="1" x14ac:dyDescent="0.25">
      <c r="A6041" s="1" t="s">
        <v>12079</v>
      </c>
      <c r="B6041" s="1" t="str">
        <f>"9780191566936"</f>
        <v>9780191566936</v>
      </c>
      <c r="C6041" s="1" t="s">
        <v>1117</v>
      </c>
      <c r="D6041" s="2">
        <v>38554</v>
      </c>
      <c r="E6041" s="1" t="s">
        <v>12080</v>
      </c>
      <c r="F6041" s="1" t="s">
        <v>13</v>
      </c>
    </row>
    <row r="6042" spans="1:6" ht="30" customHeight="1" x14ac:dyDescent="0.25">
      <c r="A6042" s="1" t="s">
        <v>12081</v>
      </c>
      <c r="B6042" s="1" t="str">
        <f>"9780191546600"</f>
        <v>9780191546600</v>
      </c>
      <c r="C6042" s="1" t="s">
        <v>1117</v>
      </c>
      <c r="D6042" s="2">
        <v>39898</v>
      </c>
      <c r="E6042" s="1" t="s">
        <v>12082</v>
      </c>
      <c r="F6042" s="1" t="s">
        <v>13</v>
      </c>
    </row>
    <row r="6043" spans="1:6" ht="30" customHeight="1" x14ac:dyDescent="0.25">
      <c r="A6043" s="1" t="s">
        <v>11096</v>
      </c>
      <c r="B6043" s="1" t="str">
        <f>"9780191585449"</f>
        <v>9780191585449</v>
      </c>
      <c r="C6043" s="1" t="s">
        <v>1117</v>
      </c>
      <c r="D6043" s="2">
        <v>38995</v>
      </c>
      <c r="E6043" s="1" t="s">
        <v>11097</v>
      </c>
      <c r="F6043" s="1" t="s">
        <v>268</v>
      </c>
    </row>
    <row r="6044" spans="1:6" ht="30" customHeight="1" x14ac:dyDescent="0.25">
      <c r="A6044" s="1" t="s">
        <v>12083</v>
      </c>
      <c r="B6044" s="1" t="str">
        <f>"9780191585333"</f>
        <v>9780191585333</v>
      </c>
      <c r="C6044" s="1" t="s">
        <v>1120</v>
      </c>
      <c r="D6044" s="2">
        <v>39072</v>
      </c>
      <c r="E6044" s="1" t="s">
        <v>12084</v>
      </c>
      <c r="F6044" s="1" t="s">
        <v>13</v>
      </c>
    </row>
    <row r="6045" spans="1:6" ht="30" customHeight="1" x14ac:dyDescent="0.25">
      <c r="A6045" s="1" t="s">
        <v>12085</v>
      </c>
      <c r="B6045" s="1" t="str">
        <f>"9780191552908"</f>
        <v>9780191552908</v>
      </c>
      <c r="C6045" s="1" t="s">
        <v>1120</v>
      </c>
      <c r="D6045" s="2">
        <v>39898</v>
      </c>
      <c r="E6045" s="1" t="s">
        <v>12086</v>
      </c>
      <c r="F6045" s="1" t="s">
        <v>13</v>
      </c>
    </row>
    <row r="6046" spans="1:6" ht="30" customHeight="1" x14ac:dyDescent="0.25">
      <c r="A6046" s="1" t="s">
        <v>12087</v>
      </c>
      <c r="B6046" s="1" t="str">
        <f>"9780191585418"</f>
        <v>9780191585418</v>
      </c>
      <c r="C6046" s="1" t="s">
        <v>1117</v>
      </c>
      <c r="D6046" s="2">
        <v>38967</v>
      </c>
      <c r="E6046" s="1" t="s">
        <v>12088</v>
      </c>
      <c r="F6046" s="1" t="s">
        <v>30</v>
      </c>
    </row>
    <row r="6047" spans="1:6" ht="30" customHeight="1" x14ac:dyDescent="0.25">
      <c r="A6047" s="1" t="s">
        <v>12089</v>
      </c>
      <c r="B6047" s="1" t="str">
        <f>"9780191551697"</f>
        <v>9780191551697</v>
      </c>
      <c r="C6047" s="1" t="s">
        <v>1117</v>
      </c>
      <c r="D6047" s="2">
        <v>39863</v>
      </c>
      <c r="E6047" s="1" t="s">
        <v>12090</v>
      </c>
      <c r="F6047" s="1" t="s">
        <v>13</v>
      </c>
    </row>
    <row r="6048" spans="1:6" ht="30" customHeight="1" x14ac:dyDescent="0.25">
      <c r="A6048" s="1" t="s">
        <v>12091</v>
      </c>
      <c r="B6048" s="1" t="str">
        <f>"9780191585579"</f>
        <v>9780191585579</v>
      </c>
      <c r="C6048" s="1" t="s">
        <v>1117</v>
      </c>
      <c r="D6048" s="2">
        <v>39898</v>
      </c>
      <c r="E6048" s="1" t="s">
        <v>12092</v>
      </c>
      <c r="F6048" s="1" t="s">
        <v>13</v>
      </c>
    </row>
    <row r="6049" spans="1:6" ht="30" customHeight="1" x14ac:dyDescent="0.25">
      <c r="A6049" s="1" t="s">
        <v>12079</v>
      </c>
      <c r="B6049" s="1" t="str">
        <f>"9780191562754"</f>
        <v>9780191562754</v>
      </c>
      <c r="C6049" s="1" t="s">
        <v>1117</v>
      </c>
      <c r="D6049" s="2">
        <v>39898</v>
      </c>
      <c r="E6049" s="1" t="s">
        <v>12080</v>
      </c>
      <c r="F6049" s="1" t="s">
        <v>13</v>
      </c>
    </row>
    <row r="6050" spans="1:6" ht="30" customHeight="1" x14ac:dyDescent="0.25">
      <c r="A6050" s="1" t="s">
        <v>12093</v>
      </c>
      <c r="B6050" s="1" t="str">
        <f>"9780191548017"</f>
        <v>9780191548017</v>
      </c>
      <c r="C6050" s="1" t="s">
        <v>1117</v>
      </c>
      <c r="D6050" s="2">
        <v>39534</v>
      </c>
      <c r="E6050" s="1" t="s">
        <v>12094</v>
      </c>
      <c r="F6050" s="1" t="s">
        <v>114</v>
      </c>
    </row>
    <row r="6051" spans="1:6" ht="30" customHeight="1" x14ac:dyDescent="0.25">
      <c r="A6051" s="1" t="s">
        <v>12095</v>
      </c>
      <c r="B6051" s="1" t="str">
        <f>"9780191551666"</f>
        <v>9780191551666</v>
      </c>
      <c r="C6051" s="1" t="s">
        <v>1117</v>
      </c>
      <c r="D6051" s="2">
        <v>39793</v>
      </c>
      <c r="E6051" s="1" t="s">
        <v>12096</v>
      </c>
      <c r="F6051" s="1" t="s">
        <v>13</v>
      </c>
    </row>
    <row r="6052" spans="1:6" ht="30" customHeight="1" x14ac:dyDescent="0.25">
      <c r="A6052" s="1" t="s">
        <v>12097</v>
      </c>
      <c r="B6052" s="1" t="str">
        <f>"9780191629587"</f>
        <v>9780191629587</v>
      </c>
      <c r="C6052" s="1" t="s">
        <v>1120</v>
      </c>
      <c r="D6052" s="2">
        <v>40857</v>
      </c>
      <c r="E6052" s="1" t="s">
        <v>12098</v>
      </c>
      <c r="F6052" s="1" t="s">
        <v>13</v>
      </c>
    </row>
    <row r="6053" spans="1:6" ht="30" customHeight="1" x14ac:dyDescent="0.25">
      <c r="A6053" s="1" t="s">
        <v>12099</v>
      </c>
      <c r="B6053" s="1" t="str">
        <f>"9780191575891"</f>
        <v>9780191575891</v>
      </c>
      <c r="C6053" s="1" t="s">
        <v>1117</v>
      </c>
      <c r="D6053" s="2">
        <v>40262</v>
      </c>
      <c r="E6053" s="1" t="s">
        <v>12100</v>
      </c>
      <c r="F6053" s="1" t="s">
        <v>137</v>
      </c>
    </row>
    <row r="6054" spans="1:6" ht="30" customHeight="1" x14ac:dyDescent="0.25">
      <c r="A6054" s="1" t="s">
        <v>12101</v>
      </c>
      <c r="B6054" s="1" t="str">
        <f>"9780191574894"</f>
        <v>9780191574894</v>
      </c>
      <c r="C6054" s="1" t="s">
        <v>1117</v>
      </c>
      <c r="D6054" s="2">
        <v>39240</v>
      </c>
      <c r="E6054" s="1" t="s">
        <v>12102</v>
      </c>
      <c r="F6054" s="1" t="s">
        <v>13</v>
      </c>
    </row>
    <row r="6055" spans="1:6" ht="30" customHeight="1" x14ac:dyDescent="0.25">
      <c r="A6055" s="1" t="s">
        <v>12103</v>
      </c>
      <c r="B6055" s="1" t="str">
        <f>"9780191546211"</f>
        <v>9780191546211</v>
      </c>
      <c r="C6055" s="1" t="s">
        <v>1117</v>
      </c>
      <c r="D6055" s="2">
        <v>39583</v>
      </c>
      <c r="E6055" s="1" t="s">
        <v>12104</v>
      </c>
      <c r="F6055" s="1" t="s">
        <v>13</v>
      </c>
    </row>
    <row r="6056" spans="1:6" ht="30" customHeight="1" x14ac:dyDescent="0.25">
      <c r="A6056" s="1" t="s">
        <v>12105</v>
      </c>
      <c r="B6056" s="1" t="str">
        <f>"9780191574955"</f>
        <v>9780191574955</v>
      </c>
      <c r="C6056" s="1" t="s">
        <v>1120</v>
      </c>
      <c r="D6056" s="2">
        <v>39352</v>
      </c>
      <c r="E6056" s="1" t="s">
        <v>12106</v>
      </c>
      <c r="F6056" s="1" t="s">
        <v>13</v>
      </c>
    </row>
    <row r="6057" spans="1:6" ht="30" customHeight="1" x14ac:dyDescent="0.25">
      <c r="A6057" s="1" t="s">
        <v>12107</v>
      </c>
      <c r="B6057" s="1" t="str">
        <f>"9780191547812"</f>
        <v>9780191547812</v>
      </c>
      <c r="C6057" s="1" t="s">
        <v>1117</v>
      </c>
      <c r="D6057" s="2">
        <v>39464</v>
      </c>
      <c r="E6057" s="1" t="s">
        <v>12108</v>
      </c>
      <c r="F6057" s="1" t="s">
        <v>13</v>
      </c>
    </row>
    <row r="6058" spans="1:6" ht="30" customHeight="1" x14ac:dyDescent="0.25">
      <c r="A6058" s="1" t="s">
        <v>12109</v>
      </c>
      <c r="B6058" s="1" t="str">
        <f>"9780191553462"</f>
        <v>9780191553462</v>
      </c>
      <c r="C6058" s="1" t="s">
        <v>1117</v>
      </c>
      <c r="D6058" s="2">
        <v>39842</v>
      </c>
      <c r="E6058" s="1" t="s">
        <v>12110</v>
      </c>
      <c r="F6058" s="1" t="s">
        <v>13</v>
      </c>
    </row>
    <row r="6059" spans="1:6" ht="30" customHeight="1" x14ac:dyDescent="0.25">
      <c r="A6059" s="1" t="s">
        <v>12111</v>
      </c>
      <c r="B6059" s="1" t="str">
        <f>"9780191575785"</f>
        <v>9780191575785</v>
      </c>
      <c r="C6059" s="1" t="s">
        <v>1120</v>
      </c>
      <c r="D6059" s="2">
        <v>40038</v>
      </c>
      <c r="E6059" s="1" t="s">
        <v>12112</v>
      </c>
      <c r="F6059" s="1" t="s">
        <v>13</v>
      </c>
    </row>
    <row r="6060" spans="1:6" ht="30" customHeight="1" x14ac:dyDescent="0.25">
      <c r="A6060" s="1" t="s">
        <v>12113</v>
      </c>
      <c r="B6060" s="1" t="str">
        <f>"9780191553219"</f>
        <v>9780191553219</v>
      </c>
      <c r="C6060" s="1" t="s">
        <v>1120</v>
      </c>
      <c r="D6060" s="2">
        <v>40353</v>
      </c>
      <c r="E6060" s="1" t="s">
        <v>12114</v>
      </c>
      <c r="F6060" s="1" t="s">
        <v>70</v>
      </c>
    </row>
    <row r="6061" spans="1:6" ht="30" customHeight="1" x14ac:dyDescent="0.25">
      <c r="A6061" s="1" t="s">
        <v>12115</v>
      </c>
      <c r="B6061" s="1" t="str">
        <f>"9780191584602"</f>
        <v>9780191584602</v>
      </c>
      <c r="C6061" s="1" t="s">
        <v>1120</v>
      </c>
      <c r="D6061" s="2">
        <v>39086</v>
      </c>
      <c r="E6061" s="1" t="s">
        <v>12116</v>
      </c>
      <c r="F6061" s="1" t="s">
        <v>13</v>
      </c>
    </row>
    <row r="6062" spans="1:6" ht="30" customHeight="1" x14ac:dyDescent="0.25">
      <c r="A6062" s="1" t="s">
        <v>12117</v>
      </c>
      <c r="B6062" s="1" t="str">
        <f>"9780191575686"</f>
        <v>9780191575686</v>
      </c>
      <c r="C6062" s="1" t="s">
        <v>1120</v>
      </c>
      <c r="D6062" s="2">
        <v>39905</v>
      </c>
      <c r="E6062" s="1" t="s">
        <v>12118</v>
      </c>
      <c r="F6062" s="1" t="s">
        <v>13</v>
      </c>
    </row>
    <row r="6063" spans="1:6" ht="30" customHeight="1" x14ac:dyDescent="0.25">
      <c r="A6063" s="1" t="s">
        <v>12119</v>
      </c>
      <c r="B6063" s="1" t="str">
        <f>"9780191575488"</f>
        <v>9780191575488</v>
      </c>
      <c r="C6063" s="1" t="s">
        <v>1120</v>
      </c>
      <c r="D6063" s="2">
        <v>40045</v>
      </c>
      <c r="E6063" s="1" t="s">
        <v>12120</v>
      </c>
      <c r="F6063" s="1" t="s">
        <v>13</v>
      </c>
    </row>
    <row r="6064" spans="1:6" ht="30" customHeight="1" x14ac:dyDescent="0.25">
      <c r="A6064" s="1" t="s">
        <v>12121</v>
      </c>
      <c r="B6064" s="1" t="str">
        <f>"9780191563225"</f>
        <v>9780191563225</v>
      </c>
      <c r="C6064" s="1" t="s">
        <v>1117</v>
      </c>
      <c r="D6064" s="2">
        <v>39898</v>
      </c>
      <c r="E6064" s="1" t="s">
        <v>12122</v>
      </c>
      <c r="F6064" s="1" t="s">
        <v>13</v>
      </c>
    </row>
    <row r="6065" spans="1:6" ht="30" customHeight="1" x14ac:dyDescent="0.25">
      <c r="A6065" s="1" t="s">
        <v>12123</v>
      </c>
      <c r="B6065" s="1" t="str">
        <f>"9780191575976"</f>
        <v>9780191575976</v>
      </c>
      <c r="C6065" s="1" t="s">
        <v>1120</v>
      </c>
      <c r="D6065" s="2">
        <v>39898</v>
      </c>
      <c r="E6065" s="1" t="s">
        <v>12124</v>
      </c>
      <c r="F6065" s="1" t="s">
        <v>359</v>
      </c>
    </row>
    <row r="6066" spans="1:6" ht="30" customHeight="1" x14ac:dyDescent="0.25">
      <c r="A6066" s="1" t="s">
        <v>12125</v>
      </c>
      <c r="B6066" s="1" t="str">
        <f>"9780191562440"</f>
        <v>9780191562440</v>
      </c>
      <c r="C6066" s="1" t="s">
        <v>1120</v>
      </c>
      <c r="D6066" s="2">
        <v>39744</v>
      </c>
      <c r="E6066" s="1" t="s">
        <v>1041</v>
      </c>
      <c r="F6066" s="1" t="s">
        <v>13</v>
      </c>
    </row>
    <row r="6067" spans="1:6" ht="30" customHeight="1" x14ac:dyDescent="0.25">
      <c r="A6067" s="1" t="s">
        <v>12126</v>
      </c>
      <c r="B6067" s="1" t="str">
        <f>"9780191562174"</f>
        <v>9780191562174</v>
      </c>
      <c r="C6067" s="1" t="s">
        <v>1117</v>
      </c>
      <c r="D6067" s="2">
        <v>39744</v>
      </c>
      <c r="E6067" s="1" t="s">
        <v>12127</v>
      </c>
      <c r="F6067" s="1" t="s">
        <v>13</v>
      </c>
    </row>
    <row r="6068" spans="1:6" ht="30" customHeight="1" x14ac:dyDescent="0.25">
      <c r="A6068" s="1" t="s">
        <v>12128</v>
      </c>
      <c r="B6068" s="1" t="str">
        <f>"9780191551123"</f>
        <v>9780191551123</v>
      </c>
      <c r="C6068" s="1" t="s">
        <v>1117</v>
      </c>
      <c r="D6068" s="2">
        <v>39730</v>
      </c>
      <c r="E6068" s="1" t="s">
        <v>12129</v>
      </c>
      <c r="F6068" s="1" t="s">
        <v>13</v>
      </c>
    </row>
    <row r="6069" spans="1:6" ht="30" customHeight="1" x14ac:dyDescent="0.25">
      <c r="A6069" s="1" t="s">
        <v>12130</v>
      </c>
      <c r="B6069" s="1" t="str">
        <f>"9780191575297"</f>
        <v>9780191575297</v>
      </c>
      <c r="C6069" s="1" t="s">
        <v>1117</v>
      </c>
      <c r="D6069" s="2">
        <v>39856</v>
      </c>
      <c r="E6069" s="1" t="s">
        <v>12131</v>
      </c>
      <c r="F6069" s="1" t="s">
        <v>13</v>
      </c>
    </row>
    <row r="6070" spans="1:6" ht="30" customHeight="1" x14ac:dyDescent="0.25">
      <c r="A6070" s="1" t="s">
        <v>12132</v>
      </c>
      <c r="B6070" s="1" t="str">
        <f>"9780191552601"</f>
        <v>9780191552601</v>
      </c>
      <c r="C6070" s="1" t="s">
        <v>1120</v>
      </c>
      <c r="D6070" s="2">
        <v>39758</v>
      </c>
      <c r="E6070" s="1" t="s">
        <v>12133</v>
      </c>
      <c r="F6070" s="1" t="s">
        <v>13</v>
      </c>
    </row>
    <row r="6071" spans="1:6" ht="30" customHeight="1" x14ac:dyDescent="0.25">
      <c r="A6071" s="1" t="s">
        <v>12134</v>
      </c>
      <c r="B6071" s="1" t="str">
        <f>"9780191551819"</f>
        <v>9780191551819</v>
      </c>
      <c r="C6071" s="1" t="s">
        <v>1120</v>
      </c>
      <c r="D6071" s="2">
        <v>39730</v>
      </c>
      <c r="E6071" s="1" t="s">
        <v>12135</v>
      </c>
      <c r="F6071" s="1" t="s">
        <v>158</v>
      </c>
    </row>
    <row r="6072" spans="1:6" ht="30" customHeight="1" x14ac:dyDescent="0.25">
      <c r="A6072" s="1" t="s">
        <v>12136</v>
      </c>
      <c r="B6072" s="1" t="str">
        <f>"9780191575716"</f>
        <v>9780191575716</v>
      </c>
      <c r="C6072" s="1" t="s">
        <v>1120</v>
      </c>
      <c r="D6072" s="2">
        <v>40241</v>
      </c>
      <c r="E6072" s="1" t="s">
        <v>12137</v>
      </c>
      <c r="F6072" s="1" t="s">
        <v>13</v>
      </c>
    </row>
    <row r="6073" spans="1:6" ht="30" customHeight="1" x14ac:dyDescent="0.25">
      <c r="A6073" s="1" t="s">
        <v>12138</v>
      </c>
      <c r="B6073" s="1" t="str">
        <f>"9780191564185"</f>
        <v>9780191564185</v>
      </c>
      <c r="C6073" s="1" t="s">
        <v>1120</v>
      </c>
      <c r="D6073" s="2">
        <v>39905</v>
      </c>
      <c r="E6073" s="1" t="s">
        <v>12139</v>
      </c>
      <c r="F6073" s="1" t="s">
        <v>13</v>
      </c>
    </row>
    <row r="6074" spans="1:6" ht="30" customHeight="1" x14ac:dyDescent="0.25">
      <c r="A6074" s="1" t="s">
        <v>12140</v>
      </c>
      <c r="B6074" s="1" t="str">
        <f>"9780191564673"</f>
        <v>9780191564673</v>
      </c>
      <c r="C6074" s="1" t="s">
        <v>1120</v>
      </c>
      <c r="D6074" s="2">
        <v>40577</v>
      </c>
      <c r="E6074" s="1" t="s">
        <v>12141</v>
      </c>
      <c r="F6074" s="1" t="s">
        <v>13</v>
      </c>
    </row>
    <row r="6075" spans="1:6" ht="30" customHeight="1" x14ac:dyDescent="0.25">
      <c r="A6075" s="1" t="s">
        <v>12142</v>
      </c>
      <c r="B6075" s="1" t="str">
        <f>"9780191562730"</f>
        <v>9780191562730</v>
      </c>
      <c r="C6075" s="1" t="s">
        <v>1117</v>
      </c>
      <c r="D6075" s="2">
        <v>39716</v>
      </c>
      <c r="E6075" s="1" t="s">
        <v>12143</v>
      </c>
      <c r="F6075" s="1" t="s">
        <v>268</v>
      </c>
    </row>
    <row r="6076" spans="1:6" ht="30" customHeight="1" x14ac:dyDescent="0.25">
      <c r="A6076" s="1" t="s">
        <v>12144</v>
      </c>
      <c r="B6076" s="1" t="str">
        <f>"9780191575761"</f>
        <v>9780191575761</v>
      </c>
      <c r="C6076" s="1" t="s">
        <v>1120</v>
      </c>
      <c r="D6076" s="2">
        <v>39996</v>
      </c>
      <c r="E6076" s="1" t="s">
        <v>12145</v>
      </c>
      <c r="F6076" s="1" t="s">
        <v>13</v>
      </c>
    </row>
    <row r="6077" spans="1:6" ht="30" customHeight="1" x14ac:dyDescent="0.25">
      <c r="A6077" s="1" t="s">
        <v>12146</v>
      </c>
      <c r="B6077" s="1" t="str">
        <f>"9780191552960"</f>
        <v>9780191552960</v>
      </c>
      <c r="C6077" s="1" t="s">
        <v>1117</v>
      </c>
      <c r="D6077" s="2">
        <v>39933</v>
      </c>
      <c r="E6077" s="1" t="s">
        <v>12147</v>
      </c>
      <c r="F6077" s="1" t="s">
        <v>13</v>
      </c>
    </row>
    <row r="6078" spans="1:6" ht="30" customHeight="1" x14ac:dyDescent="0.25">
      <c r="A6078" s="1" t="s">
        <v>12148</v>
      </c>
      <c r="B6078" s="1" t="str">
        <f>"9780191575174"</f>
        <v>9780191575174</v>
      </c>
      <c r="C6078" s="1" t="s">
        <v>1120</v>
      </c>
      <c r="D6078" s="2">
        <v>39394</v>
      </c>
      <c r="E6078" s="1" t="s">
        <v>12149</v>
      </c>
      <c r="F6078" s="1" t="s">
        <v>13</v>
      </c>
    </row>
    <row r="6079" spans="1:6" ht="30" customHeight="1" x14ac:dyDescent="0.25">
      <c r="A6079" s="1" t="s">
        <v>12150</v>
      </c>
      <c r="B6079" s="1" t="str">
        <f>"9780191575457"</f>
        <v>9780191575457</v>
      </c>
      <c r="C6079" s="1" t="s">
        <v>1117</v>
      </c>
      <c r="D6079" s="2">
        <v>39737</v>
      </c>
      <c r="E6079" s="1" t="s">
        <v>12151</v>
      </c>
      <c r="F6079" s="1" t="s">
        <v>13</v>
      </c>
    </row>
    <row r="6080" spans="1:6" ht="30" customHeight="1" x14ac:dyDescent="0.25">
      <c r="A6080" s="1" t="s">
        <v>12152</v>
      </c>
      <c r="B6080" s="1" t="str">
        <f>"9780191575181"</f>
        <v>9780191575181</v>
      </c>
      <c r="C6080" s="1" t="s">
        <v>1120</v>
      </c>
      <c r="D6080" s="2">
        <v>39415</v>
      </c>
      <c r="E6080" s="1" t="s">
        <v>12153</v>
      </c>
      <c r="F6080" s="1" t="s">
        <v>137</v>
      </c>
    </row>
    <row r="6081" spans="1:6" ht="30" customHeight="1" x14ac:dyDescent="0.25">
      <c r="A6081" s="1" t="s">
        <v>12154</v>
      </c>
      <c r="B6081" s="1" t="str">
        <f>"9780191575143"</f>
        <v>9780191575143</v>
      </c>
      <c r="C6081" s="1" t="s">
        <v>1120</v>
      </c>
      <c r="D6081" s="2">
        <v>39401</v>
      </c>
      <c r="E6081" s="1" t="s">
        <v>12155</v>
      </c>
      <c r="F6081" s="1" t="s">
        <v>13</v>
      </c>
    </row>
    <row r="6082" spans="1:6" ht="30" customHeight="1" x14ac:dyDescent="0.25">
      <c r="A6082" s="1" t="s">
        <v>12156</v>
      </c>
      <c r="B6082" s="1" t="str">
        <f>"9780191575082"</f>
        <v>9780191575082</v>
      </c>
      <c r="C6082" s="1" t="s">
        <v>1120</v>
      </c>
      <c r="D6082" s="2">
        <v>39401</v>
      </c>
      <c r="E6082" s="1" t="s">
        <v>12157</v>
      </c>
      <c r="F6082" s="1" t="s">
        <v>13</v>
      </c>
    </row>
    <row r="6083" spans="1:6" ht="30" customHeight="1" x14ac:dyDescent="0.25">
      <c r="A6083" s="1" t="s">
        <v>12158</v>
      </c>
      <c r="B6083" s="1" t="str">
        <f>"9780191552885"</f>
        <v>9780191552885</v>
      </c>
      <c r="C6083" s="1" t="s">
        <v>1117</v>
      </c>
      <c r="D6083" s="2">
        <v>39541</v>
      </c>
      <c r="E6083" s="1" t="s">
        <v>12159</v>
      </c>
      <c r="F6083" s="1" t="s">
        <v>13</v>
      </c>
    </row>
    <row r="6084" spans="1:6" ht="30" customHeight="1" x14ac:dyDescent="0.25">
      <c r="A6084" s="1" t="s">
        <v>12160</v>
      </c>
      <c r="B6084" s="1" t="str">
        <f>"9780191559839"</f>
        <v>9780191559839</v>
      </c>
      <c r="C6084" s="1" t="s">
        <v>1117</v>
      </c>
      <c r="D6084" s="2">
        <v>39674</v>
      </c>
      <c r="E6084" s="1" t="s">
        <v>12161</v>
      </c>
      <c r="F6084" s="1" t="s">
        <v>13</v>
      </c>
    </row>
    <row r="6085" spans="1:6" ht="30" customHeight="1" x14ac:dyDescent="0.25">
      <c r="A6085" s="1" t="s">
        <v>12162</v>
      </c>
      <c r="B6085" s="1" t="str">
        <f>"9780191563553"</f>
        <v>9780191563553</v>
      </c>
      <c r="C6085" s="1" t="s">
        <v>1117</v>
      </c>
      <c r="D6085" s="2">
        <v>39751</v>
      </c>
      <c r="E6085" s="1" t="s">
        <v>12163</v>
      </c>
      <c r="F6085" s="1" t="s">
        <v>13</v>
      </c>
    </row>
    <row r="6086" spans="1:6" ht="30" customHeight="1" x14ac:dyDescent="0.25">
      <c r="A6086" s="1" t="s">
        <v>12164</v>
      </c>
      <c r="B6086" s="1" t="str">
        <f>"9780191575556"</f>
        <v>9780191575556</v>
      </c>
      <c r="C6086" s="1" t="s">
        <v>1117</v>
      </c>
      <c r="D6086" s="2">
        <v>39898</v>
      </c>
      <c r="E6086" s="1" t="s">
        <v>12165</v>
      </c>
      <c r="F6086" s="1" t="s">
        <v>13</v>
      </c>
    </row>
    <row r="6087" spans="1:6" ht="30" customHeight="1" x14ac:dyDescent="0.25">
      <c r="A6087" s="1" t="s">
        <v>12166</v>
      </c>
      <c r="B6087" s="1" t="str">
        <f>"9780191564093"</f>
        <v>9780191564093</v>
      </c>
      <c r="C6087" s="1" t="s">
        <v>1120</v>
      </c>
      <c r="D6087" s="2">
        <v>39779</v>
      </c>
      <c r="E6087" s="1" t="s">
        <v>12167</v>
      </c>
      <c r="F6087" s="1" t="s">
        <v>13</v>
      </c>
    </row>
    <row r="6088" spans="1:6" ht="30" customHeight="1" x14ac:dyDescent="0.25">
      <c r="A6088" s="1" t="s">
        <v>12168</v>
      </c>
      <c r="B6088" s="1" t="str">
        <f>"9780191564796"</f>
        <v>9780191564796</v>
      </c>
      <c r="C6088" s="1" t="s">
        <v>1120</v>
      </c>
      <c r="D6088" s="2">
        <v>40262</v>
      </c>
      <c r="E6088" s="1" t="s">
        <v>12167</v>
      </c>
      <c r="F6088" s="1" t="s">
        <v>13</v>
      </c>
    </row>
    <row r="6089" spans="1:6" ht="30" customHeight="1" x14ac:dyDescent="0.25">
      <c r="A6089" s="1" t="s">
        <v>12169</v>
      </c>
      <c r="B6089" s="1" t="str">
        <f>"9780191566899"</f>
        <v>9780191566899</v>
      </c>
      <c r="C6089" s="1" t="s">
        <v>1120</v>
      </c>
      <c r="D6089" s="2">
        <v>39100</v>
      </c>
      <c r="E6089" s="1" t="s">
        <v>12170</v>
      </c>
      <c r="F6089" s="1" t="s">
        <v>13</v>
      </c>
    </row>
    <row r="6090" spans="1:6" ht="30" customHeight="1" x14ac:dyDescent="0.25">
      <c r="A6090" s="1" t="s">
        <v>12171</v>
      </c>
      <c r="B6090" s="1" t="str">
        <f>"9780191575518"</f>
        <v>9780191575518</v>
      </c>
      <c r="C6090" s="1" t="s">
        <v>1117</v>
      </c>
      <c r="D6090" s="2">
        <v>39905</v>
      </c>
      <c r="E6090" s="1" t="s">
        <v>12172</v>
      </c>
      <c r="F6090" s="1" t="s">
        <v>13</v>
      </c>
    </row>
    <row r="6091" spans="1:6" ht="30" customHeight="1" x14ac:dyDescent="0.25">
      <c r="A6091" s="1" t="s">
        <v>12173</v>
      </c>
      <c r="B6091" s="1" t="str">
        <f>"9780191575907"</f>
        <v>9780191575907</v>
      </c>
      <c r="C6091" s="1" t="s">
        <v>1120</v>
      </c>
      <c r="D6091" s="2">
        <v>40262</v>
      </c>
      <c r="E6091" s="1" t="s">
        <v>12174</v>
      </c>
      <c r="F6091" s="1" t="s">
        <v>126</v>
      </c>
    </row>
    <row r="6092" spans="1:6" ht="30" customHeight="1" x14ac:dyDescent="0.25">
      <c r="A6092" s="1" t="s">
        <v>12175</v>
      </c>
      <c r="B6092" s="1" t="str">
        <f>"9780191575259"</f>
        <v>9780191575259</v>
      </c>
      <c r="C6092" s="1" t="s">
        <v>1120</v>
      </c>
      <c r="D6092" s="2">
        <v>39821</v>
      </c>
      <c r="E6092" s="1" t="s">
        <v>12176</v>
      </c>
      <c r="F6092" s="1" t="s">
        <v>13</v>
      </c>
    </row>
    <row r="6093" spans="1:6" ht="30" customHeight="1" x14ac:dyDescent="0.25">
      <c r="A6093" s="1" t="s">
        <v>12177</v>
      </c>
      <c r="B6093" s="1" t="str">
        <f>"9780191574764"</f>
        <v>9780191574764</v>
      </c>
      <c r="C6093" s="1" t="s">
        <v>1120</v>
      </c>
      <c r="D6093" s="2">
        <v>39429</v>
      </c>
      <c r="E6093" s="1" t="s">
        <v>12178</v>
      </c>
      <c r="F6093" s="1" t="s">
        <v>30</v>
      </c>
    </row>
    <row r="6094" spans="1:6" ht="30" customHeight="1" x14ac:dyDescent="0.25">
      <c r="A6094" s="1" t="s">
        <v>12179</v>
      </c>
      <c r="B6094" s="1" t="str">
        <f>"9780191575334"</f>
        <v>9780191575334</v>
      </c>
      <c r="C6094" s="1" t="s">
        <v>1120</v>
      </c>
      <c r="D6094" s="2">
        <v>40052</v>
      </c>
      <c r="E6094" s="1" t="s">
        <v>12180</v>
      </c>
      <c r="F6094" s="1" t="s">
        <v>13</v>
      </c>
    </row>
    <row r="6095" spans="1:6" ht="30" customHeight="1" x14ac:dyDescent="0.25">
      <c r="A6095" s="1" t="s">
        <v>12181</v>
      </c>
      <c r="B6095" s="1" t="str">
        <f>"9780191588723"</f>
        <v>9780191588723</v>
      </c>
      <c r="C6095" s="1" t="s">
        <v>1117</v>
      </c>
      <c r="D6095" s="2">
        <v>38890</v>
      </c>
      <c r="E6095" s="1" t="s">
        <v>12182</v>
      </c>
      <c r="F6095" s="1" t="s">
        <v>13</v>
      </c>
    </row>
    <row r="6096" spans="1:6" ht="30" customHeight="1" x14ac:dyDescent="0.25">
      <c r="A6096" s="1" t="s">
        <v>12183</v>
      </c>
      <c r="B6096" s="1" t="str">
        <f>"9780191575402"</f>
        <v>9780191575402</v>
      </c>
      <c r="C6096" s="1" t="s">
        <v>1120</v>
      </c>
      <c r="D6096" s="2">
        <v>39891</v>
      </c>
      <c r="E6096" s="1" t="s">
        <v>12184</v>
      </c>
      <c r="F6096" s="1" t="s">
        <v>13</v>
      </c>
    </row>
    <row r="6097" spans="1:6" ht="30" customHeight="1" x14ac:dyDescent="0.25">
      <c r="A6097" s="1" t="s">
        <v>12185</v>
      </c>
      <c r="B6097" s="1" t="str">
        <f>"9780191575266"</f>
        <v>9780191575266</v>
      </c>
      <c r="C6097" s="1" t="s">
        <v>1120</v>
      </c>
      <c r="D6097" s="2">
        <v>39793</v>
      </c>
      <c r="E6097" s="1" t="s">
        <v>12186</v>
      </c>
      <c r="F6097" s="1" t="s">
        <v>21</v>
      </c>
    </row>
    <row r="6098" spans="1:6" ht="30" customHeight="1" x14ac:dyDescent="0.25">
      <c r="A6098" s="1" t="s">
        <v>12187</v>
      </c>
      <c r="B6098" s="1" t="str">
        <f>"9780191575587"</f>
        <v>9780191575587</v>
      </c>
      <c r="C6098" s="1" t="s">
        <v>1120</v>
      </c>
      <c r="D6098" s="2">
        <v>40094</v>
      </c>
      <c r="E6098" s="1" t="s">
        <v>12188</v>
      </c>
      <c r="F6098" s="1" t="s">
        <v>13</v>
      </c>
    </row>
    <row r="6099" spans="1:6" ht="30" customHeight="1" x14ac:dyDescent="0.25">
      <c r="A6099" s="1" t="s">
        <v>12189</v>
      </c>
      <c r="B6099" s="1" t="str">
        <f>"9780191575327"</f>
        <v>9780191575327</v>
      </c>
      <c r="C6099" s="1" t="s">
        <v>1117</v>
      </c>
      <c r="D6099" s="2">
        <v>39961</v>
      </c>
      <c r="E6099" s="1" t="s">
        <v>12190</v>
      </c>
      <c r="F6099" s="1" t="s">
        <v>13</v>
      </c>
    </row>
    <row r="6100" spans="1:6" ht="30" customHeight="1" x14ac:dyDescent="0.25">
      <c r="A6100" s="1" t="s">
        <v>12191</v>
      </c>
      <c r="B6100" s="1" t="str">
        <f>"9780191575471"</f>
        <v>9780191575471</v>
      </c>
      <c r="C6100" s="1" t="s">
        <v>1120</v>
      </c>
      <c r="D6100" s="2">
        <v>39877</v>
      </c>
      <c r="E6100" s="1" t="s">
        <v>12192</v>
      </c>
      <c r="F6100" s="1" t="s">
        <v>3911</v>
      </c>
    </row>
    <row r="6101" spans="1:6" ht="30" customHeight="1" x14ac:dyDescent="0.25">
      <c r="A6101" s="1" t="s">
        <v>12193</v>
      </c>
      <c r="B6101" s="1" t="str">
        <f>"9781608052356"</f>
        <v>9781608052356</v>
      </c>
      <c r="C6101" s="1" t="s">
        <v>11332</v>
      </c>
      <c r="D6101" s="2">
        <v>41011</v>
      </c>
      <c r="E6101" s="1" t="s">
        <v>12194</v>
      </c>
      <c r="F6101" s="1" t="s">
        <v>12195</v>
      </c>
    </row>
    <row r="6102" spans="1:6" ht="30" customHeight="1" x14ac:dyDescent="0.25">
      <c r="A6102" s="1" t="s">
        <v>12196</v>
      </c>
      <c r="B6102" s="1" t="str">
        <f>"9781608053223"</f>
        <v>9781608053223</v>
      </c>
      <c r="C6102" s="1" t="s">
        <v>11332</v>
      </c>
      <c r="D6102" s="2">
        <v>40999</v>
      </c>
      <c r="E6102" s="1" t="s">
        <v>12197</v>
      </c>
      <c r="F6102" s="1" t="s">
        <v>12198</v>
      </c>
    </row>
    <row r="6103" spans="1:6" ht="30" customHeight="1" x14ac:dyDescent="0.25">
      <c r="A6103" s="1" t="s">
        <v>12199</v>
      </c>
      <c r="B6103" s="1" t="str">
        <f>"9781608052219"</f>
        <v>9781608052219</v>
      </c>
      <c r="C6103" s="1" t="s">
        <v>11332</v>
      </c>
      <c r="D6103" s="2">
        <v>40999</v>
      </c>
      <c r="E6103" s="1" t="s">
        <v>12200</v>
      </c>
      <c r="F6103" s="1" t="s">
        <v>13</v>
      </c>
    </row>
    <row r="6104" spans="1:6" ht="30" customHeight="1" x14ac:dyDescent="0.25">
      <c r="A6104" s="1" t="s">
        <v>12201</v>
      </c>
      <c r="B6104" s="1" t="str">
        <f>"9781608051335"</f>
        <v>9781608051335</v>
      </c>
      <c r="C6104" s="1" t="s">
        <v>11332</v>
      </c>
      <c r="D6104" s="2">
        <v>41044</v>
      </c>
      <c r="E6104" s="1" t="s">
        <v>12202</v>
      </c>
      <c r="F6104" s="1" t="s">
        <v>13</v>
      </c>
    </row>
    <row r="6105" spans="1:6" ht="30" customHeight="1" x14ac:dyDescent="0.25">
      <c r="A6105" s="1" t="s">
        <v>12203</v>
      </c>
      <c r="B6105" s="1" t="str">
        <f>"9781608052646"</f>
        <v>9781608052646</v>
      </c>
      <c r="C6105" s="1" t="s">
        <v>11332</v>
      </c>
      <c r="D6105" s="2">
        <v>41044</v>
      </c>
      <c r="E6105" s="1" t="s">
        <v>12204</v>
      </c>
      <c r="F6105" s="1" t="s">
        <v>359</v>
      </c>
    </row>
    <row r="6106" spans="1:6" ht="30" customHeight="1" x14ac:dyDescent="0.25">
      <c r="A6106" s="1" t="s">
        <v>12205</v>
      </c>
      <c r="B6106" s="1" t="str">
        <f>"9781608053179"</f>
        <v>9781608053179</v>
      </c>
      <c r="C6106" s="1" t="s">
        <v>11332</v>
      </c>
      <c r="D6106" s="2">
        <v>40999</v>
      </c>
      <c r="E6106" s="1" t="s">
        <v>12206</v>
      </c>
      <c r="F6106" s="1" t="s">
        <v>13</v>
      </c>
    </row>
    <row r="6107" spans="1:6" ht="30" customHeight="1" x14ac:dyDescent="0.25">
      <c r="A6107" s="1" t="s">
        <v>12207</v>
      </c>
      <c r="B6107" s="1" t="str">
        <f>"9781608051021"</f>
        <v>9781608051021</v>
      </c>
      <c r="C6107" s="1" t="s">
        <v>11332</v>
      </c>
      <c r="D6107" s="2">
        <v>41039</v>
      </c>
      <c r="E6107" s="1" t="s">
        <v>12208</v>
      </c>
      <c r="F6107" s="1" t="s">
        <v>1349</v>
      </c>
    </row>
    <row r="6108" spans="1:6" ht="30" customHeight="1" x14ac:dyDescent="0.25">
      <c r="A6108" s="1" t="s">
        <v>12209</v>
      </c>
      <c r="B6108" s="1" t="str">
        <f>"9781608050222"</f>
        <v>9781608050222</v>
      </c>
      <c r="C6108" s="1" t="s">
        <v>11332</v>
      </c>
      <c r="D6108" s="2">
        <v>41050</v>
      </c>
      <c r="E6108" s="1" t="s">
        <v>12210</v>
      </c>
      <c r="F6108" s="1" t="s">
        <v>13</v>
      </c>
    </row>
    <row r="6109" spans="1:6" ht="30" customHeight="1" x14ac:dyDescent="0.25">
      <c r="A6109" s="1" t="s">
        <v>12211</v>
      </c>
      <c r="B6109" s="1" t="str">
        <f>"9781608053629"</f>
        <v>9781608053629</v>
      </c>
      <c r="C6109" s="1" t="s">
        <v>11332</v>
      </c>
      <c r="D6109" s="2">
        <v>41072</v>
      </c>
      <c r="E6109" s="1" t="s">
        <v>12212</v>
      </c>
      <c r="F6109" s="1" t="s">
        <v>349</v>
      </c>
    </row>
    <row r="6110" spans="1:6" ht="30" customHeight="1" x14ac:dyDescent="0.25">
      <c r="A6110" s="1" t="s">
        <v>12213</v>
      </c>
      <c r="B6110" s="1" t="str">
        <f>"9781608053728"</f>
        <v>9781608053728</v>
      </c>
      <c r="C6110" s="1" t="s">
        <v>11332</v>
      </c>
      <c r="D6110" s="2">
        <v>41068</v>
      </c>
      <c r="E6110" s="1" t="s">
        <v>12214</v>
      </c>
      <c r="F6110" s="1" t="s">
        <v>13</v>
      </c>
    </row>
    <row r="6111" spans="1:6" ht="30" customHeight="1" x14ac:dyDescent="0.25">
      <c r="A6111" s="1" t="s">
        <v>12215</v>
      </c>
      <c r="B6111" s="1" t="str">
        <f>"9780813537863"</f>
        <v>9780813537863</v>
      </c>
      <c r="C6111" s="1" t="s">
        <v>3656</v>
      </c>
      <c r="D6111" s="2">
        <v>38586</v>
      </c>
      <c r="E6111" s="1" t="s">
        <v>12216</v>
      </c>
      <c r="F6111" s="1" t="s">
        <v>114</v>
      </c>
    </row>
    <row r="6112" spans="1:6" ht="30" customHeight="1" x14ac:dyDescent="0.25">
      <c r="A6112" s="1" t="s">
        <v>12217</v>
      </c>
      <c r="B6112" s="1" t="str">
        <f>"9780813537771"</f>
        <v>9780813537771</v>
      </c>
      <c r="C6112" s="1" t="s">
        <v>3656</v>
      </c>
      <c r="D6112" s="2">
        <v>41773</v>
      </c>
      <c r="E6112" s="1" t="s">
        <v>12218</v>
      </c>
      <c r="F6112" s="1" t="s">
        <v>13</v>
      </c>
    </row>
    <row r="6113" spans="1:6" ht="30" customHeight="1" x14ac:dyDescent="0.25">
      <c r="A6113" s="1" t="s">
        <v>12219</v>
      </c>
      <c r="B6113" s="1" t="str">
        <f>"9781847697554"</f>
        <v>9781847697554</v>
      </c>
      <c r="C6113" s="1" t="s">
        <v>3377</v>
      </c>
      <c r="D6113" s="2">
        <v>41080</v>
      </c>
      <c r="E6113" s="1" t="s">
        <v>12220</v>
      </c>
      <c r="F6113" s="1" t="s">
        <v>13</v>
      </c>
    </row>
    <row r="6114" spans="1:6" ht="30" customHeight="1" x14ac:dyDescent="0.25">
      <c r="A6114" s="1" t="s">
        <v>12221</v>
      </c>
      <c r="B6114" s="1" t="str">
        <f>"9780813541099"</f>
        <v>9780813541099</v>
      </c>
      <c r="C6114" s="1" t="s">
        <v>3656</v>
      </c>
      <c r="D6114" s="2">
        <v>38450</v>
      </c>
      <c r="E6114" s="1" t="s">
        <v>12222</v>
      </c>
      <c r="F6114" s="1" t="s">
        <v>30</v>
      </c>
    </row>
    <row r="6115" spans="1:6" ht="30" customHeight="1" x14ac:dyDescent="0.25">
      <c r="A6115" s="1" t="s">
        <v>12223</v>
      </c>
      <c r="B6115" s="1" t="str">
        <f>"9780199974276"</f>
        <v>9780199974276</v>
      </c>
      <c r="C6115" s="1" t="s">
        <v>1123</v>
      </c>
      <c r="D6115" s="2">
        <v>41079</v>
      </c>
      <c r="E6115" s="1" t="s">
        <v>12224</v>
      </c>
      <c r="F6115" s="1" t="s">
        <v>104</v>
      </c>
    </row>
    <row r="6116" spans="1:6" ht="30" customHeight="1" x14ac:dyDescent="0.25">
      <c r="A6116" s="1" t="s">
        <v>12225</v>
      </c>
      <c r="B6116" s="1" t="str">
        <f>"9781118343340"</f>
        <v>9781118343340</v>
      </c>
      <c r="C6116" s="1" t="s">
        <v>65</v>
      </c>
      <c r="D6116" s="2">
        <v>41108</v>
      </c>
      <c r="E6116" s="1" t="s">
        <v>12226</v>
      </c>
      <c r="F6116" s="1" t="s">
        <v>114</v>
      </c>
    </row>
    <row r="6117" spans="1:6" ht="30" customHeight="1" x14ac:dyDescent="0.25">
      <c r="A6117" s="1" t="s">
        <v>12227</v>
      </c>
      <c r="B6117" s="1" t="str">
        <f>"9781119940005"</f>
        <v>9781119940005</v>
      </c>
      <c r="C6117" s="1" t="s">
        <v>11</v>
      </c>
      <c r="D6117" s="2">
        <v>41109</v>
      </c>
      <c r="E6117" s="1" t="s">
        <v>12228</v>
      </c>
      <c r="F6117" s="1" t="s">
        <v>95</v>
      </c>
    </row>
    <row r="6118" spans="1:6" ht="30" customHeight="1" x14ac:dyDescent="0.25">
      <c r="A6118" s="1" t="s">
        <v>12229</v>
      </c>
      <c r="B6118" s="1" t="str">
        <f>"9781118381304"</f>
        <v>9781118381304</v>
      </c>
      <c r="C6118" s="1" t="s">
        <v>65</v>
      </c>
      <c r="D6118" s="2">
        <v>41110</v>
      </c>
      <c r="E6118" s="1" t="s">
        <v>12230</v>
      </c>
      <c r="F6118" s="1" t="s">
        <v>13</v>
      </c>
    </row>
    <row r="6119" spans="1:6" ht="30" customHeight="1" x14ac:dyDescent="0.25">
      <c r="A6119" s="1" t="s">
        <v>12231</v>
      </c>
      <c r="B6119" s="1" t="str">
        <f>"9780813537894"</f>
        <v>9780813537894</v>
      </c>
      <c r="C6119" s="1" t="s">
        <v>3656</v>
      </c>
      <c r="D6119" s="2">
        <v>38386</v>
      </c>
      <c r="E6119" s="1" t="s">
        <v>12232</v>
      </c>
      <c r="F6119" s="1" t="s">
        <v>176</v>
      </c>
    </row>
    <row r="6120" spans="1:6" ht="30" customHeight="1" x14ac:dyDescent="0.25">
      <c r="A6120" s="1" t="s">
        <v>12233</v>
      </c>
      <c r="B6120" s="1" t="str">
        <f>"9780813537818"</f>
        <v>9780813537818</v>
      </c>
      <c r="C6120" s="1" t="s">
        <v>3656</v>
      </c>
      <c r="D6120" s="2">
        <v>41773</v>
      </c>
      <c r="E6120" s="1" t="s">
        <v>12234</v>
      </c>
      <c r="F6120" s="1" t="s">
        <v>13</v>
      </c>
    </row>
    <row r="6121" spans="1:6" ht="30" customHeight="1" x14ac:dyDescent="0.25">
      <c r="A6121" s="1" t="s">
        <v>12235</v>
      </c>
      <c r="B6121" s="1" t="str">
        <f>"9781782410065"</f>
        <v>9781782410065</v>
      </c>
      <c r="C6121" s="1" t="s">
        <v>68</v>
      </c>
      <c r="D6121" s="2">
        <v>41274</v>
      </c>
      <c r="E6121" s="1" t="s">
        <v>12236</v>
      </c>
      <c r="F6121" s="1" t="s">
        <v>13</v>
      </c>
    </row>
    <row r="6122" spans="1:6" ht="30" customHeight="1" x14ac:dyDescent="0.25">
      <c r="A6122" s="1" t="s">
        <v>12237</v>
      </c>
      <c r="B6122" s="1" t="str">
        <f>"9781907830303"</f>
        <v>9781907830303</v>
      </c>
      <c r="C6122" s="1" t="s">
        <v>11198</v>
      </c>
      <c r="D6122" s="2">
        <v>40756</v>
      </c>
      <c r="E6122" s="1" t="s">
        <v>12238</v>
      </c>
      <c r="F6122" s="1" t="s">
        <v>13</v>
      </c>
    </row>
    <row r="6123" spans="1:6" ht="30" customHeight="1" x14ac:dyDescent="0.25">
      <c r="A6123" s="1" t="s">
        <v>12239</v>
      </c>
      <c r="B6123" s="1" t="str">
        <f>"9780813549071"</f>
        <v>9780813549071</v>
      </c>
      <c r="C6123" s="1" t="s">
        <v>3656</v>
      </c>
      <c r="D6123" s="2">
        <v>40148</v>
      </c>
      <c r="E6123" s="1" t="s">
        <v>12240</v>
      </c>
      <c r="F6123" s="1" t="s">
        <v>30</v>
      </c>
    </row>
    <row r="6124" spans="1:6" ht="30" customHeight="1" x14ac:dyDescent="0.25">
      <c r="A6124" s="1" t="s">
        <v>12241</v>
      </c>
      <c r="B6124" s="1" t="str">
        <f>"9780826109071"</f>
        <v>9780826109071</v>
      </c>
      <c r="C6124" s="1" t="s">
        <v>2339</v>
      </c>
      <c r="D6124" s="2">
        <v>41080</v>
      </c>
      <c r="E6124" s="1" t="s">
        <v>12242</v>
      </c>
      <c r="F6124" s="1" t="s">
        <v>158</v>
      </c>
    </row>
    <row r="6125" spans="1:6" ht="30" customHeight="1" x14ac:dyDescent="0.25">
      <c r="A6125" s="1" t="s">
        <v>12243</v>
      </c>
      <c r="B6125" s="1" t="str">
        <f>"9780826107558"</f>
        <v>9780826107558</v>
      </c>
      <c r="C6125" s="1" t="s">
        <v>2339</v>
      </c>
      <c r="D6125" s="2">
        <v>40544</v>
      </c>
      <c r="E6125" s="1" t="s">
        <v>12244</v>
      </c>
      <c r="F6125" s="1" t="s">
        <v>126</v>
      </c>
    </row>
    <row r="6126" spans="1:6" ht="30" customHeight="1" x14ac:dyDescent="0.25">
      <c r="A6126" s="1" t="s">
        <v>12245</v>
      </c>
      <c r="B6126" s="1" t="str">
        <f>"9780833076465"</f>
        <v>9780833076465</v>
      </c>
      <c r="C6126" s="1" t="s">
        <v>516</v>
      </c>
      <c r="D6126" s="2">
        <v>41066</v>
      </c>
      <c r="E6126" s="1" t="s">
        <v>12246</v>
      </c>
      <c r="F6126" s="1" t="s">
        <v>6769</v>
      </c>
    </row>
    <row r="6127" spans="1:6" ht="30" customHeight="1" x14ac:dyDescent="0.25">
      <c r="A6127" s="1" t="s">
        <v>12247</v>
      </c>
      <c r="B6127" s="1" t="str">
        <f>"9780857289131"</f>
        <v>9780857289131</v>
      </c>
      <c r="C6127" s="1" t="s">
        <v>11036</v>
      </c>
      <c r="D6127" s="2">
        <v>41562</v>
      </c>
      <c r="E6127" s="1" t="s">
        <v>12248</v>
      </c>
      <c r="F6127" s="1" t="s">
        <v>30</v>
      </c>
    </row>
    <row r="6128" spans="1:6" ht="30" customHeight="1" x14ac:dyDescent="0.25">
      <c r="A6128" s="1" t="s">
        <v>12249</v>
      </c>
      <c r="B6128" s="1" t="str">
        <f>"9781118373934"</f>
        <v>9781118373934</v>
      </c>
      <c r="C6128" s="1" t="s">
        <v>11</v>
      </c>
      <c r="D6128" s="2">
        <v>41113</v>
      </c>
      <c r="E6128" s="1" t="s">
        <v>12250</v>
      </c>
      <c r="F6128" s="1" t="s">
        <v>12251</v>
      </c>
    </row>
    <row r="6129" spans="1:6" ht="30" customHeight="1" x14ac:dyDescent="0.25">
      <c r="A6129" s="1" t="s">
        <v>12252</v>
      </c>
      <c r="B6129" s="1" t="str">
        <f>"9780813551005"</f>
        <v>9780813551005</v>
      </c>
      <c r="C6129" s="1" t="s">
        <v>3656</v>
      </c>
      <c r="D6129" s="2">
        <v>40780</v>
      </c>
      <c r="E6129" s="1" t="s">
        <v>12253</v>
      </c>
      <c r="F6129" s="1" t="s">
        <v>95</v>
      </c>
    </row>
    <row r="6130" spans="1:6" ht="30" customHeight="1" x14ac:dyDescent="0.25">
      <c r="A6130" s="1" t="s">
        <v>12254</v>
      </c>
      <c r="B6130" s="1" t="str">
        <f>"9781782410119"</f>
        <v>9781782410119</v>
      </c>
      <c r="C6130" s="1" t="s">
        <v>68</v>
      </c>
      <c r="D6130" s="2">
        <v>41117</v>
      </c>
      <c r="E6130" s="1" t="s">
        <v>12255</v>
      </c>
      <c r="F6130" s="1" t="s">
        <v>13</v>
      </c>
    </row>
    <row r="6131" spans="1:6" ht="30" customHeight="1" x14ac:dyDescent="0.25">
      <c r="A6131" s="1" t="s">
        <v>12256</v>
      </c>
      <c r="B6131" s="1" t="str">
        <f>"9780813553146"</f>
        <v>9780813553146</v>
      </c>
      <c r="C6131" s="1" t="s">
        <v>3656</v>
      </c>
      <c r="D6131" s="2">
        <v>41106</v>
      </c>
      <c r="E6131" s="1" t="s">
        <v>12257</v>
      </c>
      <c r="F6131" s="1" t="s">
        <v>30</v>
      </c>
    </row>
    <row r="6132" spans="1:6" ht="30" customHeight="1" x14ac:dyDescent="0.25">
      <c r="A6132" s="1" t="s">
        <v>12258</v>
      </c>
      <c r="B6132" s="1" t="str">
        <f>"9780813553160"</f>
        <v>9780813553160</v>
      </c>
      <c r="C6132" s="1" t="s">
        <v>3656</v>
      </c>
      <c r="D6132" s="2">
        <v>41136</v>
      </c>
      <c r="E6132" s="1" t="s">
        <v>12259</v>
      </c>
      <c r="F6132" s="1" t="s">
        <v>541</v>
      </c>
    </row>
    <row r="6133" spans="1:6" ht="30" customHeight="1" x14ac:dyDescent="0.25">
      <c r="A6133" s="1" t="s">
        <v>12260</v>
      </c>
      <c r="B6133" s="1" t="str">
        <f>"9781846421679"</f>
        <v>9781846421679</v>
      </c>
      <c r="C6133" s="1" t="s">
        <v>2387</v>
      </c>
      <c r="D6133" s="2">
        <v>36937</v>
      </c>
      <c r="E6133" s="1" t="s">
        <v>12261</v>
      </c>
      <c r="F6133" s="1" t="s">
        <v>13</v>
      </c>
    </row>
    <row r="6134" spans="1:6" ht="30" customHeight="1" x14ac:dyDescent="0.25">
      <c r="A6134" s="1" t="s">
        <v>12262</v>
      </c>
      <c r="B6134" s="1" t="str">
        <f>"9780826109316"</f>
        <v>9780826109316</v>
      </c>
      <c r="C6134" s="1" t="s">
        <v>2339</v>
      </c>
      <c r="D6134" s="2">
        <v>41061</v>
      </c>
      <c r="E6134" s="1" t="s">
        <v>12263</v>
      </c>
      <c r="F6134" s="1" t="s">
        <v>95</v>
      </c>
    </row>
    <row r="6135" spans="1:6" ht="30" customHeight="1" x14ac:dyDescent="0.25">
      <c r="A6135" s="1" t="s">
        <v>12264</v>
      </c>
      <c r="B6135" s="1" t="str">
        <f>"9780191628689"</f>
        <v>9780191628689</v>
      </c>
      <c r="C6135" s="1" t="s">
        <v>1120</v>
      </c>
      <c r="D6135" s="2">
        <v>40808</v>
      </c>
      <c r="E6135" s="1" t="s">
        <v>12265</v>
      </c>
      <c r="F6135" s="1" t="s">
        <v>13</v>
      </c>
    </row>
    <row r="6136" spans="1:6" ht="30" customHeight="1" x14ac:dyDescent="0.25">
      <c r="A6136" s="1" t="s">
        <v>12267</v>
      </c>
      <c r="B6136" s="1" t="str">
        <f>"9781118338025"</f>
        <v>9781118338025</v>
      </c>
      <c r="C6136" s="1" t="s">
        <v>65</v>
      </c>
      <c r="D6136" s="2">
        <v>41116</v>
      </c>
      <c r="E6136" s="1" t="s">
        <v>12268</v>
      </c>
      <c r="F6136" s="1" t="s">
        <v>963</v>
      </c>
    </row>
    <row r="6137" spans="1:6" ht="30" customHeight="1" x14ac:dyDescent="0.25">
      <c r="A6137" s="1" t="s">
        <v>12269</v>
      </c>
      <c r="B6137" s="1" t="str">
        <f>"9781118352274"</f>
        <v>9781118352274</v>
      </c>
      <c r="C6137" s="1" t="s">
        <v>65</v>
      </c>
      <c r="D6137" s="2">
        <v>41115</v>
      </c>
      <c r="E6137" s="1" t="s">
        <v>12270</v>
      </c>
      <c r="F6137" s="1" t="s">
        <v>13</v>
      </c>
    </row>
    <row r="6138" spans="1:6" ht="30" customHeight="1" x14ac:dyDescent="0.25">
      <c r="A6138" s="1" t="s">
        <v>12271</v>
      </c>
      <c r="B6138" s="1" t="str">
        <f>"9781118302453"</f>
        <v>9781118302453</v>
      </c>
      <c r="C6138" s="1" t="s">
        <v>65</v>
      </c>
      <c r="D6138" s="2">
        <v>41124</v>
      </c>
      <c r="E6138" s="1" t="s">
        <v>12272</v>
      </c>
      <c r="F6138" s="1" t="s">
        <v>12273</v>
      </c>
    </row>
    <row r="6139" spans="1:6" ht="30" customHeight="1" x14ac:dyDescent="0.25">
      <c r="A6139" s="1" t="s">
        <v>12274</v>
      </c>
      <c r="B6139" s="1" t="str">
        <f>"9781782410133"</f>
        <v>9781782410133</v>
      </c>
      <c r="C6139" s="1" t="s">
        <v>68</v>
      </c>
      <c r="D6139" s="2">
        <v>34699</v>
      </c>
      <c r="E6139" s="1" t="s">
        <v>12275</v>
      </c>
      <c r="F6139" s="1" t="s">
        <v>13</v>
      </c>
    </row>
    <row r="6140" spans="1:6" ht="30" customHeight="1" x14ac:dyDescent="0.25">
      <c r="A6140" s="1" t="s">
        <v>12276</v>
      </c>
      <c r="B6140" s="1" t="str">
        <f>"9780231510776"</f>
        <v>9780231510776</v>
      </c>
      <c r="C6140" s="1" t="s">
        <v>11751</v>
      </c>
      <c r="D6140" s="2">
        <v>38859</v>
      </c>
      <c r="E6140" s="1" t="s">
        <v>12277</v>
      </c>
      <c r="F6140" s="1" t="s">
        <v>30</v>
      </c>
    </row>
    <row r="6141" spans="1:6" ht="30" customHeight="1" x14ac:dyDescent="0.25">
      <c r="A6141" s="1" t="s">
        <v>12278</v>
      </c>
      <c r="B6141" s="1" t="str">
        <f>"9781118472002"</f>
        <v>9781118472002</v>
      </c>
      <c r="C6141" s="1" t="s">
        <v>65</v>
      </c>
      <c r="D6141" s="2">
        <v>41123</v>
      </c>
      <c r="E6141" s="1" t="s">
        <v>12279</v>
      </c>
      <c r="F6141" s="1" t="s">
        <v>13</v>
      </c>
    </row>
    <row r="6142" spans="1:6" ht="30" customHeight="1" x14ac:dyDescent="0.25">
      <c r="A6142" s="1" t="s">
        <v>12280</v>
      </c>
      <c r="B6142" s="1" t="str">
        <f>"9780191585586"</f>
        <v>9780191585586</v>
      </c>
      <c r="C6142" s="1" t="s">
        <v>1120</v>
      </c>
      <c r="D6142" s="2">
        <v>39898</v>
      </c>
      <c r="E6142" s="1" t="s">
        <v>12281</v>
      </c>
      <c r="F6142" s="1" t="s">
        <v>13</v>
      </c>
    </row>
    <row r="6143" spans="1:6" ht="30" customHeight="1" x14ac:dyDescent="0.25">
      <c r="A6143" s="1" t="s">
        <v>12282</v>
      </c>
      <c r="B6143" s="1" t="str">
        <f>"9780826109866"</f>
        <v>9780826109866</v>
      </c>
      <c r="C6143" s="1" t="s">
        <v>2339</v>
      </c>
      <c r="D6143" s="2">
        <v>41000</v>
      </c>
      <c r="E6143" s="1" t="s">
        <v>12283</v>
      </c>
      <c r="F6143" s="1" t="s">
        <v>5964</v>
      </c>
    </row>
    <row r="6144" spans="1:6" ht="30" customHeight="1" x14ac:dyDescent="0.25">
      <c r="A6144" s="1" t="s">
        <v>12284</v>
      </c>
      <c r="B6144" s="1" t="str">
        <f>"9781846287060"</f>
        <v>9781846287060</v>
      </c>
      <c r="C6144" s="1" t="s">
        <v>4178</v>
      </c>
      <c r="D6144" s="2">
        <v>39448</v>
      </c>
      <c r="E6144" s="1" t="s">
        <v>12285</v>
      </c>
      <c r="F6144" s="1" t="s">
        <v>13</v>
      </c>
    </row>
    <row r="6145" spans="1:6" ht="30" customHeight="1" x14ac:dyDescent="0.25">
      <c r="A6145" s="1" t="s">
        <v>12286</v>
      </c>
      <c r="B6145" s="1" t="str">
        <f>"9781846288678"</f>
        <v>9781846288678</v>
      </c>
      <c r="C6145" s="1" t="s">
        <v>4178</v>
      </c>
      <c r="D6145" s="2">
        <v>39448</v>
      </c>
      <c r="E6145" s="1" t="s">
        <v>12287</v>
      </c>
      <c r="F6145" s="1" t="s">
        <v>599</v>
      </c>
    </row>
    <row r="6146" spans="1:6" ht="30" customHeight="1" x14ac:dyDescent="0.25">
      <c r="A6146" s="1" t="s">
        <v>12288</v>
      </c>
      <c r="B6146" s="1" t="str">
        <f>"9780387733296"</f>
        <v>9780387733296</v>
      </c>
      <c r="C6146" s="1" t="s">
        <v>4178</v>
      </c>
      <c r="D6146" s="2">
        <v>39448</v>
      </c>
      <c r="E6146" s="1" t="s">
        <v>12289</v>
      </c>
      <c r="F6146" s="1" t="s">
        <v>13</v>
      </c>
    </row>
    <row r="6147" spans="1:6" ht="30" customHeight="1" x14ac:dyDescent="0.25">
      <c r="A6147" s="1" t="s">
        <v>12290</v>
      </c>
      <c r="B6147" s="1" t="str">
        <f>"9781118233931"</f>
        <v>9781118233931</v>
      </c>
      <c r="C6147" s="1" t="s">
        <v>65</v>
      </c>
      <c r="D6147" s="2">
        <v>41127</v>
      </c>
      <c r="E6147" s="1" t="s">
        <v>12291</v>
      </c>
      <c r="F6147" s="1" t="s">
        <v>13</v>
      </c>
    </row>
    <row r="6148" spans="1:6" ht="30" customHeight="1" x14ac:dyDescent="0.25">
      <c r="A6148" s="1" t="s">
        <v>12292</v>
      </c>
      <c r="B6148" s="1" t="str">
        <f>"9781119941002"</f>
        <v>9781119941002</v>
      </c>
      <c r="C6148" s="1" t="s">
        <v>65</v>
      </c>
      <c r="D6148" s="2">
        <v>41127</v>
      </c>
      <c r="E6148" s="1" t="s">
        <v>12293</v>
      </c>
      <c r="F6148" s="1" t="s">
        <v>13</v>
      </c>
    </row>
    <row r="6149" spans="1:6" ht="30" customHeight="1" x14ac:dyDescent="0.25">
      <c r="A6149" s="1" t="s">
        <v>12294</v>
      </c>
      <c r="B6149" s="1" t="str">
        <f>"9781118482520"</f>
        <v>9781118482520</v>
      </c>
      <c r="C6149" s="1" t="s">
        <v>65</v>
      </c>
      <c r="D6149" s="2">
        <v>41177</v>
      </c>
      <c r="E6149" s="1" t="s">
        <v>12295</v>
      </c>
      <c r="F6149" s="1" t="s">
        <v>13</v>
      </c>
    </row>
    <row r="6150" spans="1:6" ht="30" customHeight="1" x14ac:dyDescent="0.25">
      <c r="A6150" s="1" t="s">
        <v>12296</v>
      </c>
      <c r="B6150" s="1" t="str">
        <f>"9780191629990"</f>
        <v>9780191629990</v>
      </c>
      <c r="C6150" s="1" t="s">
        <v>1117</v>
      </c>
      <c r="D6150" s="2">
        <v>41130</v>
      </c>
      <c r="E6150" s="1" t="s">
        <v>12297</v>
      </c>
      <c r="F6150" s="1" t="s">
        <v>13</v>
      </c>
    </row>
    <row r="6151" spans="1:6" ht="30" customHeight="1" x14ac:dyDescent="0.25">
      <c r="A6151" s="1" t="s">
        <v>12298</v>
      </c>
      <c r="B6151" s="1" t="str">
        <f>"9780191629952"</f>
        <v>9780191629952</v>
      </c>
      <c r="C6151" s="1" t="s">
        <v>1120</v>
      </c>
      <c r="D6151" s="2">
        <v>41109</v>
      </c>
      <c r="E6151" s="1" t="s">
        <v>12299</v>
      </c>
      <c r="F6151" s="1" t="s">
        <v>13</v>
      </c>
    </row>
    <row r="6152" spans="1:6" ht="30" customHeight="1" x14ac:dyDescent="0.25">
      <c r="A6152" s="1" t="s">
        <v>12300</v>
      </c>
      <c r="B6152" s="1" t="str">
        <f>"9781118359730"</f>
        <v>9781118359730</v>
      </c>
      <c r="C6152" s="1" t="s">
        <v>65</v>
      </c>
      <c r="D6152" s="2">
        <v>41129</v>
      </c>
      <c r="E6152" s="1" t="s">
        <v>12301</v>
      </c>
      <c r="F6152" s="1" t="s">
        <v>12302</v>
      </c>
    </row>
    <row r="6153" spans="1:6" ht="30" customHeight="1" x14ac:dyDescent="0.25">
      <c r="A6153" s="1" t="s">
        <v>12303</v>
      </c>
      <c r="B6153" s="1" t="str">
        <f>"9781782410157"</f>
        <v>9781782410157</v>
      </c>
      <c r="C6153" s="1" t="s">
        <v>68</v>
      </c>
      <c r="D6153" s="2">
        <v>36160</v>
      </c>
      <c r="E6153" s="1" t="s">
        <v>12304</v>
      </c>
      <c r="F6153" s="1" t="s">
        <v>13</v>
      </c>
    </row>
    <row r="6154" spans="1:6" ht="30" customHeight="1" x14ac:dyDescent="0.25">
      <c r="A6154" s="1" t="s">
        <v>1940</v>
      </c>
      <c r="B6154" s="1" t="str">
        <f>"9780123854728"</f>
        <v>9780123854728</v>
      </c>
      <c r="C6154" s="1" t="s">
        <v>900</v>
      </c>
      <c r="D6154" s="2">
        <v>41170</v>
      </c>
      <c r="E6154" s="1" t="s">
        <v>12305</v>
      </c>
      <c r="F6154" s="1" t="s">
        <v>268</v>
      </c>
    </row>
    <row r="6155" spans="1:6" ht="30" customHeight="1" x14ac:dyDescent="0.25">
      <c r="A6155" s="1" t="s">
        <v>12306</v>
      </c>
      <c r="B6155" s="1" t="str">
        <f>"9781118314517"</f>
        <v>9781118314517</v>
      </c>
      <c r="C6155" s="1" t="s">
        <v>65</v>
      </c>
      <c r="D6155" s="2">
        <v>41131</v>
      </c>
      <c r="E6155" s="1" t="s">
        <v>12307</v>
      </c>
      <c r="F6155" s="1" t="s">
        <v>158</v>
      </c>
    </row>
    <row r="6156" spans="1:6" ht="30" customHeight="1" x14ac:dyDescent="0.25">
      <c r="A6156" s="1" t="s">
        <v>12308</v>
      </c>
      <c r="B6156" s="1" t="str">
        <f>"9783527664481"</f>
        <v>9783527664481</v>
      </c>
      <c r="C6156" s="1" t="s">
        <v>65</v>
      </c>
      <c r="D6156" s="2">
        <v>41130</v>
      </c>
      <c r="E6156" s="1" t="s">
        <v>12309</v>
      </c>
      <c r="F6156" s="1" t="s">
        <v>268</v>
      </c>
    </row>
    <row r="6157" spans="1:6" ht="30" customHeight="1" x14ac:dyDescent="0.25">
      <c r="A6157" s="1" t="s">
        <v>12310</v>
      </c>
      <c r="B6157" s="1" t="str">
        <f>"9789004232549"</f>
        <v>9789004232549</v>
      </c>
      <c r="C6157" s="1" t="s">
        <v>906</v>
      </c>
      <c r="D6157" s="2">
        <v>41106</v>
      </c>
      <c r="E6157" s="1" t="s">
        <v>12311</v>
      </c>
      <c r="F6157" s="1" t="s">
        <v>13</v>
      </c>
    </row>
    <row r="6158" spans="1:6" ht="30" customHeight="1" x14ac:dyDescent="0.25">
      <c r="A6158" s="1" t="s">
        <v>12312</v>
      </c>
      <c r="B6158" s="1" t="str">
        <f>"9780739170243"</f>
        <v>9780739170243</v>
      </c>
      <c r="C6158" s="1" t="s">
        <v>9841</v>
      </c>
      <c r="D6158" s="2">
        <v>41011</v>
      </c>
      <c r="E6158" s="1" t="s">
        <v>12313</v>
      </c>
      <c r="F6158" s="1" t="s">
        <v>13</v>
      </c>
    </row>
    <row r="6159" spans="1:6" ht="30" customHeight="1" x14ac:dyDescent="0.25">
      <c r="A6159" s="1" t="s">
        <v>12314</v>
      </c>
      <c r="B6159" s="1" t="str">
        <f>"9780759121416"</f>
        <v>9780759121416</v>
      </c>
      <c r="C6159" s="1" t="s">
        <v>8723</v>
      </c>
      <c r="D6159" s="2">
        <v>41152</v>
      </c>
      <c r="E6159" s="1" t="s">
        <v>12315</v>
      </c>
      <c r="F6159" s="1" t="s">
        <v>8798</v>
      </c>
    </row>
    <row r="6160" spans="1:6" ht="30" customHeight="1" x14ac:dyDescent="0.25">
      <c r="A6160" s="1" t="s">
        <v>12316</v>
      </c>
      <c r="B6160" s="1" t="str">
        <f>"9783110303667"</f>
        <v>9783110303667</v>
      </c>
      <c r="C6160" s="1" t="s">
        <v>1848</v>
      </c>
      <c r="D6160" s="2">
        <v>41249</v>
      </c>
      <c r="E6160" s="1" t="s">
        <v>12317</v>
      </c>
      <c r="F6160" s="1" t="s">
        <v>359</v>
      </c>
    </row>
    <row r="6161" spans="1:6" ht="30" customHeight="1" x14ac:dyDescent="0.25">
      <c r="A6161" s="1" t="s">
        <v>12318</v>
      </c>
      <c r="B6161" s="1" t="str">
        <f>"9781118429907"</f>
        <v>9781118429907</v>
      </c>
      <c r="C6161" s="1" t="s">
        <v>65</v>
      </c>
      <c r="D6161" s="2">
        <v>41131</v>
      </c>
      <c r="E6161" s="1" t="s">
        <v>12319</v>
      </c>
      <c r="F6161" s="1" t="s">
        <v>13</v>
      </c>
    </row>
    <row r="6162" spans="1:6" ht="30" customHeight="1" x14ac:dyDescent="0.25">
      <c r="A6162" s="1" t="s">
        <v>12320</v>
      </c>
      <c r="B6162" s="1" t="str">
        <f>"9781446266151"</f>
        <v>9781446266151</v>
      </c>
      <c r="C6162" s="1" t="s">
        <v>1228</v>
      </c>
      <c r="D6162" s="2">
        <v>36555</v>
      </c>
      <c r="E6162" s="1" t="s">
        <v>12321</v>
      </c>
      <c r="F6162" s="1" t="s">
        <v>13</v>
      </c>
    </row>
    <row r="6163" spans="1:6" ht="30" customHeight="1" x14ac:dyDescent="0.25">
      <c r="A6163" s="1" t="s">
        <v>12322</v>
      </c>
      <c r="B6163" s="1" t="str">
        <f>"9781446265383"</f>
        <v>9781446265383</v>
      </c>
      <c r="C6163" s="1" t="s">
        <v>1228</v>
      </c>
      <c r="D6163" s="2">
        <v>41113</v>
      </c>
      <c r="E6163" s="1" t="s">
        <v>12323</v>
      </c>
      <c r="F6163" s="1" t="s">
        <v>95</v>
      </c>
    </row>
    <row r="6164" spans="1:6" ht="30" customHeight="1" x14ac:dyDescent="0.25">
      <c r="A6164" s="1" t="s">
        <v>12324</v>
      </c>
      <c r="B6164" s="1" t="str">
        <f>"9781848609006"</f>
        <v>9781848609006</v>
      </c>
      <c r="C6164" s="1" t="s">
        <v>1228</v>
      </c>
      <c r="D6164" s="2">
        <v>36272</v>
      </c>
      <c r="E6164" s="1" t="s">
        <v>12325</v>
      </c>
      <c r="F6164" s="1" t="s">
        <v>13</v>
      </c>
    </row>
    <row r="6165" spans="1:6" ht="30" customHeight="1" x14ac:dyDescent="0.25">
      <c r="A6165" s="1" t="s">
        <v>12326</v>
      </c>
      <c r="B6165" s="1" t="str">
        <f>"9781446265451"</f>
        <v>9781446265451</v>
      </c>
      <c r="C6165" s="1" t="s">
        <v>1228</v>
      </c>
      <c r="D6165" s="2">
        <v>41113</v>
      </c>
      <c r="E6165" s="1" t="s">
        <v>12327</v>
      </c>
      <c r="F6165" s="1" t="s">
        <v>13</v>
      </c>
    </row>
    <row r="6166" spans="1:6" ht="30" customHeight="1" x14ac:dyDescent="0.25">
      <c r="A6166" s="1" t="s">
        <v>12328</v>
      </c>
      <c r="B6166" s="1" t="str">
        <f>"9781446265420"</f>
        <v>9781446265420</v>
      </c>
      <c r="C6166" s="1" t="s">
        <v>1228</v>
      </c>
      <c r="D6166" s="2">
        <v>41113</v>
      </c>
      <c r="E6166" s="1" t="s">
        <v>6676</v>
      </c>
      <c r="F6166" s="1" t="s">
        <v>13</v>
      </c>
    </row>
    <row r="6167" spans="1:6" ht="30" customHeight="1" x14ac:dyDescent="0.25">
      <c r="A6167" s="1" t="s">
        <v>12329</v>
      </c>
      <c r="B6167" s="1" t="str">
        <f>"9780123948335"</f>
        <v>9780123948335</v>
      </c>
      <c r="C6167" s="1" t="s">
        <v>900</v>
      </c>
      <c r="D6167" s="2">
        <v>41124</v>
      </c>
      <c r="E6167" s="1" t="s">
        <v>12330</v>
      </c>
      <c r="F6167" s="1" t="s">
        <v>176</v>
      </c>
    </row>
    <row r="6168" spans="1:6" ht="30" customHeight="1" x14ac:dyDescent="0.25">
      <c r="A6168" s="1" t="s">
        <v>12331</v>
      </c>
      <c r="B6168" s="1" t="str">
        <f>"9789048513017"</f>
        <v>9789048513017</v>
      </c>
      <c r="C6168" s="1" t="s">
        <v>5455</v>
      </c>
      <c r="D6168" s="2">
        <v>41105</v>
      </c>
      <c r="E6168" s="1" t="s">
        <v>12332</v>
      </c>
      <c r="F6168" s="1" t="s">
        <v>12333</v>
      </c>
    </row>
    <row r="6169" spans="1:6" ht="30" customHeight="1" x14ac:dyDescent="0.25">
      <c r="A6169" s="1" t="s">
        <v>12334</v>
      </c>
      <c r="B6169" s="1" t="str">
        <f>"9781400845620"</f>
        <v>9781400845620</v>
      </c>
      <c r="C6169" s="1" t="s">
        <v>6462</v>
      </c>
      <c r="D6169" s="2">
        <v>41231</v>
      </c>
      <c r="E6169" s="1" t="s">
        <v>12335</v>
      </c>
      <c r="F6169" s="1" t="s">
        <v>70</v>
      </c>
    </row>
    <row r="6170" spans="1:6" ht="30" customHeight="1" x14ac:dyDescent="0.25">
      <c r="A6170" s="1" t="s">
        <v>12336</v>
      </c>
      <c r="B6170" s="1" t="str">
        <f>"9781118302385"</f>
        <v>9781118302385</v>
      </c>
      <c r="C6170" s="1" t="s">
        <v>65</v>
      </c>
      <c r="D6170" s="2">
        <v>41144</v>
      </c>
      <c r="E6170" s="1" t="s">
        <v>7076</v>
      </c>
      <c r="F6170" s="1" t="s">
        <v>158</v>
      </c>
    </row>
    <row r="6171" spans="1:6" ht="30" customHeight="1" x14ac:dyDescent="0.25">
      <c r="A6171" s="1" t="s">
        <v>12337</v>
      </c>
      <c r="B6171" s="1" t="str">
        <f>"9780826108401"</f>
        <v>9780826108401</v>
      </c>
      <c r="C6171" s="1" t="s">
        <v>2339</v>
      </c>
      <c r="D6171" s="2">
        <v>41091</v>
      </c>
      <c r="E6171" s="1" t="s">
        <v>12338</v>
      </c>
      <c r="F6171" s="1" t="s">
        <v>132</v>
      </c>
    </row>
    <row r="6172" spans="1:6" ht="30" customHeight="1" x14ac:dyDescent="0.25">
      <c r="A6172" s="1" t="s">
        <v>12339</v>
      </c>
      <c r="B6172" s="1" t="str">
        <f>"9780826108029"</f>
        <v>9780826108029</v>
      </c>
      <c r="C6172" s="1" t="s">
        <v>2339</v>
      </c>
      <c r="D6172" s="2">
        <v>41127</v>
      </c>
      <c r="E6172" s="1" t="s">
        <v>12340</v>
      </c>
      <c r="F6172" s="1" t="s">
        <v>95</v>
      </c>
    </row>
    <row r="6173" spans="1:6" ht="30" customHeight="1" x14ac:dyDescent="0.25">
      <c r="A6173" s="1" t="s">
        <v>12341</v>
      </c>
      <c r="B6173" s="1" t="str">
        <f>"9780821395677"</f>
        <v>9780821395677</v>
      </c>
      <c r="C6173" s="1" t="s">
        <v>6702</v>
      </c>
      <c r="D6173" s="2">
        <v>40909</v>
      </c>
      <c r="E6173" s="1" t="s">
        <v>12342</v>
      </c>
      <c r="F6173" s="1" t="s">
        <v>30</v>
      </c>
    </row>
    <row r="6174" spans="1:6" ht="30" customHeight="1" x14ac:dyDescent="0.25">
      <c r="A6174" s="1" t="s">
        <v>12343</v>
      </c>
      <c r="B6174" s="1" t="str">
        <f>"9780199908486"</f>
        <v>9780199908486</v>
      </c>
      <c r="C6174" s="1" t="s">
        <v>1123</v>
      </c>
      <c r="D6174" s="2">
        <v>41183</v>
      </c>
      <c r="E6174" s="1" t="s">
        <v>1337</v>
      </c>
      <c r="F6174" s="1" t="s">
        <v>541</v>
      </c>
    </row>
    <row r="6175" spans="1:6" ht="30" customHeight="1" x14ac:dyDescent="0.25">
      <c r="A6175" s="1" t="s">
        <v>12344</v>
      </c>
      <c r="B6175" s="1" t="str">
        <f>"9781611320114"</f>
        <v>9781611320114</v>
      </c>
      <c r="C6175" s="1" t="s">
        <v>68</v>
      </c>
      <c r="D6175" s="2">
        <v>40909</v>
      </c>
      <c r="E6175" s="1" t="s">
        <v>12345</v>
      </c>
      <c r="F6175" s="1" t="s">
        <v>214</v>
      </c>
    </row>
    <row r="6176" spans="1:6" ht="30" customHeight="1" x14ac:dyDescent="0.25">
      <c r="A6176" s="1" t="s">
        <v>12346</v>
      </c>
      <c r="B6176" s="1" t="str">
        <f>"9781781901250"</f>
        <v>9781781901250</v>
      </c>
      <c r="C6176" s="1" t="s">
        <v>971</v>
      </c>
      <c r="D6176" s="2">
        <v>41155</v>
      </c>
      <c r="E6176" s="1" t="s">
        <v>6549</v>
      </c>
      <c r="F6176" s="1" t="s">
        <v>30</v>
      </c>
    </row>
    <row r="6177" spans="1:6" ht="30" customHeight="1" x14ac:dyDescent="0.25">
      <c r="A6177" s="1" t="s">
        <v>12347</v>
      </c>
      <c r="B6177" s="1" t="str">
        <f>"9781781901298"</f>
        <v>9781781901298</v>
      </c>
      <c r="C6177" s="1" t="s">
        <v>971</v>
      </c>
      <c r="D6177" s="2">
        <v>41157</v>
      </c>
      <c r="E6177" s="1" t="s">
        <v>12348</v>
      </c>
      <c r="F6177" s="1" t="s">
        <v>6806</v>
      </c>
    </row>
    <row r="6178" spans="1:6" ht="30" customHeight="1" x14ac:dyDescent="0.25">
      <c r="A6178" s="1" t="s">
        <v>12349</v>
      </c>
      <c r="B6178" s="1" t="str">
        <f>"9780199714551"</f>
        <v>9780199714551</v>
      </c>
      <c r="C6178" s="1" t="s">
        <v>1123</v>
      </c>
      <c r="D6178" s="2">
        <v>39538</v>
      </c>
      <c r="E6178" s="1" t="s">
        <v>12350</v>
      </c>
      <c r="F6178" s="1" t="s">
        <v>13</v>
      </c>
    </row>
    <row r="6179" spans="1:6" ht="30" customHeight="1" x14ac:dyDescent="0.25">
      <c r="A6179" s="1" t="s">
        <v>12351</v>
      </c>
      <c r="B6179" s="1" t="str">
        <f>"9789814355698"</f>
        <v>9789814355698</v>
      </c>
      <c r="C6179" s="1" t="s">
        <v>881</v>
      </c>
      <c r="D6179" s="2">
        <v>41773</v>
      </c>
      <c r="E6179" s="1" t="s">
        <v>12352</v>
      </c>
      <c r="F6179" s="1" t="s">
        <v>13</v>
      </c>
    </row>
    <row r="6180" spans="1:6" ht="30" customHeight="1" x14ac:dyDescent="0.25">
      <c r="A6180" s="1" t="s">
        <v>12353</v>
      </c>
      <c r="B6180" s="1" t="str">
        <f>"9789814324205"</f>
        <v>9789814324205</v>
      </c>
      <c r="C6180" s="1" t="s">
        <v>881</v>
      </c>
      <c r="D6180" s="2">
        <v>41773</v>
      </c>
      <c r="E6180" s="1" t="s">
        <v>12354</v>
      </c>
      <c r="F6180" s="1" t="s">
        <v>13</v>
      </c>
    </row>
    <row r="6181" spans="1:6" ht="30" customHeight="1" x14ac:dyDescent="0.25">
      <c r="A6181" s="1" t="s">
        <v>12355</v>
      </c>
      <c r="B6181" s="1" t="str">
        <f>"9789814322317"</f>
        <v>9789814322317</v>
      </c>
      <c r="C6181" s="1" t="s">
        <v>881</v>
      </c>
      <c r="D6181" s="2">
        <v>41773</v>
      </c>
      <c r="E6181" s="1" t="s">
        <v>12356</v>
      </c>
      <c r="F6181" s="1" t="s">
        <v>13</v>
      </c>
    </row>
    <row r="6182" spans="1:6" ht="30" customHeight="1" x14ac:dyDescent="0.25">
      <c r="A6182" s="1" t="s">
        <v>12357</v>
      </c>
      <c r="B6182" s="1" t="str">
        <f>"9783110287073"</f>
        <v>9783110287073</v>
      </c>
      <c r="C6182" s="1" t="s">
        <v>1848</v>
      </c>
      <c r="D6182" s="2">
        <v>41264</v>
      </c>
      <c r="E6182" s="1" t="s">
        <v>12358</v>
      </c>
      <c r="F6182" s="1" t="s">
        <v>268</v>
      </c>
    </row>
    <row r="6183" spans="1:6" ht="30" customHeight="1" x14ac:dyDescent="0.25">
      <c r="A6183" s="1" t="s">
        <v>12359</v>
      </c>
      <c r="B6183" s="1" t="str">
        <f>"9781118424193"</f>
        <v>9781118424193</v>
      </c>
      <c r="C6183" s="1" t="s">
        <v>65</v>
      </c>
      <c r="D6183" s="2">
        <v>41152</v>
      </c>
      <c r="E6183" s="1" t="s">
        <v>12360</v>
      </c>
      <c r="F6183" s="1" t="s">
        <v>13</v>
      </c>
    </row>
    <row r="6184" spans="1:6" ht="30" customHeight="1" x14ac:dyDescent="0.25">
      <c r="A6184" s="1" t="s">
        <v>12361</v>
      </c>
      <c r="B6184" s="1" t="str">
        <f>"9781118301869"</f>
        <v>9781118301869</v>
      </c>
      <c r="C6184" s="1" t="s">
        <v>65</v>
      </c>
      <c r="D6184" s="2">
        <v>41156</v>
      </c>
      <c r="E6184" s="1" t="s">
        <v>12362</v>
      </c>
      <c r="F6184" s="1" t="s">
        <v>13</v>
      </c>
    </row>
    <row r="6185" spans="1:6" ht="30" customHeight="1" x14ac:dyDescent="0.25">
      <c r="A6185" s="1" t="s">
        <v>12363</v>
      </c>
      <c r="B6185" s="1" t="str">
        <f>"9781118292846"</f>
        <v>9781118292846</v>
      </c>
      <c r="C6185" s="1" t="s">
        <v>11</v>
      </c>
      <c r="D6185" s="2">
        <v>41157</v>
      </c>
      <c r="E6185" s="1" t="s">
        <v>12364</v>
      </c>
      <c r="F6185" s="1" t="s">
        <v>13</v>
      </c>
    </row>
    <row r="6186" spans="1:6" ht="30" customHeight="1" x14ac:dyDescent="0.25">
      <c r="A6186" s="1" t="s">
        <v>12365</v>
      </c>
      <c r="B6186" s="1" t="str">
        <f>"9780813539270"</f>
        <v>9780813539270</v>
      </c>
      <c r="C6186" s="1" t="s">
        <v>3656</v>
      </c>
      <c r="D6186" s="2">
        <v>38763</v>
      </c>
      <c r="E6186" s="1" t="s">
        <v>12366</v>
      </c>
      <c r="F6186" s="1" t="s">
        <v>87</v>
      </c>
    </row>
    <row r="6187" spans="1:6" ht="30" customHeight="1" x14ac:dyDescent="0.25">
      <c r="A6187" s="1" t="s">
        <v>12367</v>
      </c>
      <c r="B6187" s="1" t="str">
        <f>"9780813553177"</f>
        <v>9780813553177</v>
      </c>
      <c r="C6187" s="1" t="s">
        <v>3656</v>
      </c>
      <c r="D6187" s="2">
        <v>41124</v>
      </c>
      <c r="E6187" s="1" t="s">
        <v>12368</v>
      </c>
      <c r="F6187" s="1" t="s">
        <v>87</v>
      </c>
    </row>
    <row r="6188" spans="1:6" ht="30" customHeight="1" x14ac:dyDescent="0.25">
      <c r="A6188" s="1" t="s">
        <v>12369</v>
      </c>
      <c r="B6188" s="1" t="str">
        <f>"9780739143544"</f>
        <v>9780739143544</v>
      </c>
      <c r="C6188" s="1" t="s">
        <v>9841</v>
      </c>
      <c r="D6188" s="2">
        <v>41100</v>
      </c>
      <c r="E6188" s="1" t="s">
        <v>12370</v>
      </c>
      <c r="F6188" s="1" t="s">
        <v>95</v>
      </c>
    </row>
    <row r="6189" spans="1:6" ht="30" customHeight="1" x14ac:dyDescent="0.25">
      <c r="A6189" s="1" t="s">
        <v>12371</v>
      </c>
      <c r="B6189" s="1" t="str">
        <f>"9780739169346"</f>
        <v>9780739169346</v>
      </c>
      <c r="C6189" s="1" t="s">
        <v>9841</v>
      </c>
      <c r="D6189" s="2">
        <v>40740</v>
      </c>
      <c r="E6189" s="1" t="s">
        <v>12372</v>
      </c>
      <c r="F6189" s="1" t="s">
        <v>7940</v>
      </c>
    </row>
    <row r="6190" spans="1:6" ht="30" customHeight="1" x14ac:dyDescent="0.25">
      <c r="A6190" s="1" t="s">
        <v>12373</v>
      </c>
      <c r="B6190" s="1" t="str">
        <f>"9781461627173"</f>
        <v>9781461627173</v>
      </c>
      <c r="C6190" s="1" t="s">
        <v>6903</v>
      </c>
      <c r="D6190" s="2">
        <v>40330</v>
      </c>
      <c r="E6190" s="1" t="s">
        <v>12374</v>
      </c>
      <c r="F6190" s="1" t="s">
        <v>13</v>
      </c>
    </row>
    <row r="6191" spans="1:6" ht="30" customHeight="1" x14ac:dyDescent="0.25">
      <c r="A6191" s="1" t="s">
        <v>12375</v>
      </c>
      <c r="B6191" s="1" t="str">
        <f>"9781118412701"</f>
        <v>9781118412701</v>
      </c>
      <c r="C6191" s="1" t="s">
        <v>65</v>
      </c>
      <c r="D6191" s="2">
        <v>41158</v>
      </c>
      <c r="E6191" s="1" t="s">
        <v>12376</v>
      </c>
      <c r="F6191" s="1" t="s">
        <v>13</v>
      </c>
    </row>
    <row r="6192" spans="1:6" ht="30" customHeight="1" x14ac:dyDescent="0.25">
      <c r="A6192" s="1" t="s">
        <v>12377</v>
      </c>
      <c r="B6192" s="1" t="str">
        <f>"9781118399354"</f>
        <v>9781118399354</v>
      </c>
      <c r="C6192" s="1" t="s">
        <v>65</v>
      </c>
      <c r="D6192" s="2">
        <v>41215</v>
      </c>
      <c r="E6192" s="1" t="s">
        <v>12378</v>
      </c>
      <c r="F6192" s="1" t="s">
        <v>13</v>
      </c>
    </row>
    <row r="6193" spans="1:6" ht="30" customHeight="1" x14ac:dyDescent="0.25">
      <c r="A6193" s="1" t="s">
        <v>12379</v>
      </c>
      <c r="B6193" s="1" t="str">
        <f>"9789004232075"</f>
        <v>9789004232075</v>
      </c>
      <c r="C6193" s="1" t="s">
        <v>906</v>
      </c>
      <c r="D6193" s="2">
        <v>41773</v>
      </c>
      <c r="E6193" s="1" t="s">
        <v>12380</v>
      </c>
      <c r="F6193" s="1" t="s">
        <v>137</v>
      </c>
    </row>
    <row r="6194" spans="1:6" ht="30" customHeight="1" x14ac:dyDescent="0.25">
      <c r="A6194" s="1" t="s">
        <v>12381</v>
      </c>
      <c r="B6194" s="1" t="str">
        <f>"9781446264225"</f>
        <v>9781446264225</v>
      </c>
      <c r="C6194" s="1" t="s">
        <v>1228</v>
      </c>
      <c r="D6194" s="2">
        <v>38034</v>
      </c>
      <c r="E6194" s="1" t="s">
        <v>3635</v>
      </c>
      <c r="F6194" s="1" t="s">
        <v>200</v>
      </c>
    </row>
    <row r="6195" spans="1:6" ht="30" customHeight="1" x14ac:dyDescent="0.25">
      <c r="A6195" s="1" t="s">
        <v>12382</v>
      </c>
      <c r="B6195" s="1" t="str">
        <f>"9781446265833"</f>
        <v>9781446265833</v>
      </c>
      <c r="C6195" s="1" t="s">
        <v>1228</v>
      </c>
      <c r="D6195" s="2">
        <v>36892</v>
      </c>
      <c r="E6195" s="1" t="s">
        <v>12383</v>
      </c>
      <c r="F6195" s="1" t="s">
        <v>13</v>
      </c>
    </row>
    <row r="6196" spans="1:6" ht="30" customHeight="1" x14ac:dyDescent="0.25">
      <c r="A6196" s="1" t="s">
        <v>12384</v>
      </c>
      <c r="B6196" s="1" t="str">
        <f>"9781446264874"</f>
        <v>9781446264874</v>
      </c>
      <c r="C6196" s="1" t="s">
        <v>1228</v>
      </c>
      <c r="D6196" s="2">
        <v>36921</v>
      </c>
      <c r="E6196" s="1" t="s">
        <v>12385</v>
      </c>
      <c r="F6196" s="1" t="s">
        <v>13</v>
      </c>
    </row>
    <row r="6197" spans="1:6" ht="30" customHeight="1" x14ac:dyDescent="0.25">
      <c r="A6197" s="1" t="s">
        <v>12386</v>
      </c>
      <c r="B6197" s="1" t="str">
        <f>"9781446266267"</f>
        <v>9781446266267</v>
      </c>
      <c r="C6197" s="1" t="s">
        <v>1228</v>
      </c>
      <c r="D6197" s="2">
        <v>36892</v>
      </c>
      <c r="E6197" s="1" t="s">
        <v>12387</v>
      </c>
      <c r="F6197" s="1" t="s">
        <v>13</v>
      </c>
    </row>
    <row r="6198" spans="1:6" ht="30" customHeight="1" x14ac:dyDescent="0.25">
      <c r="A6198" s="1" t="s">
        <v>12388</v>
      </c>
      <c r="B6198" s="1" t="str">
        <f>"9781446265369"</f>
        <v>9781446265369</v>
      </c>
      <c r="C6198" s="1" t="s">
        <v>1228</v>
      </c>
      <c r="D6198" s="2">
        <v>37651</v>
      </c>
      <c r="E6198" s="1" t="s">
        <v>12389</v>
      </c>
      <c r="F6198" s="1" t="s">
        <v>33</v>
      </c>
    </row>
    <row r="6199" spans="1:6" ht="30" customHeight="1" x14ac:dyDescent="0.25">
      <c r="A6199" s="1" t="s">
        <v>12390</v>
      </c>
      <c r="B6199" s="1" t="str">
        <f>"9781446264317"</f>
        <v>9781446264317</v>
      </c>
      <c r="C6199" s="1" t="s">
        <v>1228</v>
      </c>
      <c r="D6199" s="2">
        <v>35992</v>
      </c>
      <c r="E6199" s="1" t="s">
        <v>12391</v>
      </c>
      <c r="F6199" s="1" t="s">
        <v>304</v>
      </c>
    </row>
    <row r="6200" spans="1:6" ht="30" customHeight="1" x14ac:dyDescent="0.25">
      <c r="A6200" s="1" t="s">
        <v>12392</v>
      </c>
      <c r="B6200" s="1" t="str">
        <f>"9781446265253"</f>
        <v>9781446265253</v>
      </c>
      <c r="C6200" s="1" t="s">
        <v>1228</v>
      </c>
      <c r="D6200" s="2">
        <v>41142</v>
      </c>
      <c r="E6200" s="1" t="s">
        <v>12393</v>
      </c>
      <c r="F6200" s="1" t="s">
        <v>95</v>
      </c>
    </row>
    <row r="6201" spans="1:6" ht="30" customHeight="1" x14ac:dyDescent="0.25">
      <c r="A6201" s="1" t="s">
        <v>12394</v>
      </c>
      <c r="B6201" s="1" t="str">
        <f>"9781446265529"</f>
        <v>9781446265529</v>
      </c>
      <c r="C6201" s="1" t="s">
        <v>1228</v>
      </c>
      <c r="D6201" s="2">
        <v>36460</v>
      </c>
      <c r="E6201" s="1" t="s">
        <v>12395</v>
      </c>
      <c r="F6201" s="1" t="s">
        <v>30</v>
      </c>
    </row>
    <row r="6202" spans="1:6" ht="30" customHeight="1" x14ac:dyDescent="0.25">
      <c r="A6202" s="1" t="s">
        <v>12396</v>
      </c>
      <c r="B6202" s="1" t="str">
        <f>"9781446264188"</f>
        <v>9781446264188</v>
      </c>
      <c r="C6202" s="1" t="s">
        <v>1228</v>
      </c>
      <c r="D6202" s="2">
        <v>34912</v>
      </c>
      <c r="E6202" s="1" t="s">
        <v>12397</v>
      </c>
      <c r="F6202" s="1" t="s">
        <v>87</v>
      </c>
    </row>
    <row r="6203" spans="1:6" ht="30" customHeight="1" x14ac:dyDescent="0.25">
      <c r="A6203" s="1" t="s">
        <v>12398</v>
      </c>
      <c r="B6203" s="1" t="str">
        <f>"9781446265826"</f>
        <v>9781446265826</v>
      </c>
      <c r="C6203" s="1" t="s">
        <v>1228</v>
      </c>
      <c r="D6203" s="2">
        <v>35186</v>
      </c>
      <c r="E6203" s="1" t="s">
        <v>12399</v>
      </c>
      <c r="F6203" s="1" t="s">
        <v>95</v>
      </c>
    </row>
    <row r="6204" spans="1:6" ht="30" customHeight="1" x14ac:dyDescent="0.25">
      <c r="A6204" s="1" t="s">
        <v>12400</v>
      </c>
      <c r="B6204" s="1" t="str">
        <f>"9781446264416"</f>
        <v>9781446264416</v>
      </c>
      <c r="C6204" s="1" t="s">
        <v>1228</v>
      </c>
      <c r="D6204" s="2">
        <v>35429</v>
      </c>
      <c r="E6204" s="1" t="s">
        <v>12401</v>
      </c>
      <c r="F6204" s="1" t="s">
        <v>95</v>
      </c>
    </row>
    <row r="6205" spans="1:6" ht="30" customHeight="1" x14ac:dyDescent="0.25">
      <c r="A6205" s="1" t="s">
        <v>12402</v>
      </c>
      <c r="B6205" s="1" t="str">
        <f>"9781446264065"</f>
        <v>9781446264065</v>
      </c>
      <c r="C6205" s="1" t="s">
        <v>1228</v>
      </c>
      <c r="D6205" s="2">
        <v>35704</v>
      </c>
      <c r="E6205" s="1" t="s">
        <v>12403</v>
      </c>
      <c r="F6205" s="1" t="s">
        <v>13</v>
      </c>
    </row>
    <row r="6206" spans="1:6" ht="30" customHeight="1" x14ac:dyDescent="0.25">
      <c r="A6206" s="1" t="s">
        <v>12404</v>
      </c>
      <c r="B6206" s="1" t="str">
        <f>"9781446265338"</f>
        <v>9781446265338</v>
      </c>
      <c r="C6206" s="1" t="s">
        <v>1228</v>
      </c>
      <c r="D6206" s="2">
        <v>35735</v>
      </c>
      <c r="E6206" s="1" t="s">
        <v>12405</v>
      </c>
      <c r="F6206" s="1" t="s">
        <v>13</v>
      </c>
    </row>
    <row r="6207" spans="1:6" ht="30" customHeight="1" x14ac:dyDescent="0.25">
      <c r="A6207" s="1" t="s">
        <v>12406</v>
      </c>
      <c r="B6207" s="1" t="str">
        <f>"9781446266168"</f>
        <v>9781446266168</v>
      </c>
      <c r="C6207" s="1" t="s">
        <v>1228</v>
      </c>
      <c r="D6207" s="2">
        <v>37651</v>
      </c>
      <c r="E6207" s="1" t="s">
        <v>12407</v>
      </c>
      <c r="F6207" s="1" t="s">
        <v>87</v>
      </c>
    </row>
    <row r="6208" spans="1:6" ht="30" customHeight="1" x14ac:dyDescent="0.25">
      <c r="A6208" s="1" t="s">
        <v>12408</v>
      </c>
      <c r="B6208" s="1" t="str">
        <f>"9781446265284"</f>
        <v>9781446265284</v>
      </c>
      <c r="C6208" s="1" t="s">
        <v>1228</v>
      </c>
      <c r="D6208" s="2">
        <v>36369</v>
      </c>
      <c r="E6208" s="1" t="s">
        <v>12409</v>
      </c>
      <c r="F6208" s="1" t="s">
        <v>13</v>
      </c>
    </row>
    <row r="6209" spans="1:6" ht="30" customHeight="1" x14ac:dyDescent="0.25">
      <c r="A6209" s="1" t="s">
        <v>12410</v>
      </c>
      <c r="B6209" s="1" t="str">
        <f>"9781446265888"</f>
        <v>9781446265888</v>
      </c>
      <c r="C6209" s="1" t="s">
        <v>1228</v>
      </c>
      <c r="D6209" s="2">
        <v>36281</v>
      </c>
      <c r="E6209" s="1" t="s">
        <v>12411</v>
      </c>
      <c r="F6209" s="1" t="s">
        <v>87</v>
      </c>
    </row>
    <row r="6210" spans="1:6" ht="30" customHeight="1" x14ac:dyDescent="0.25">
      <c r="A6210" s="1" t="s">
        <v>12412</v>
      </c>
      <c r="B6210" s="1" t="str">
        <f>"9781848608894"</f>
        <v>9781848608894</v>
      </c>
      <c r="C6210" s="1" t="s">
        <v>1228</v>
      </c>
      <c r="D6210" s="2">
        <v>36514</v>
      </c>
      <c r="E6210" s="1" t="s">
        <v>12413</v>
      </c>
      <c r="F6210" s="1" t="s">
        <v>87</v>
      </c>
    </row>
    <row r="6211" spans="1:6" ht="30" customHeight="1" x14ac:dyDescent="0.25">
      <c r="A6211" s="1" t="s">
        <v>12414</v>
      </c>
      <c r="B6211" s="1" t="str">
        <f>"9781446264072"</f>
        <v>9781446264072</v>
      </c>
      <c r="C6211" s="1" t="s">
        <v>1228</v>
      </c>
      <c r="D6211" s="2">
        <v>41142</v>
      </c>
      <c r="E6211" s="1" t="s">
        <v>12415</v>
      </c>
      <c r="F6211" s="1" t="s">
        <v>127</v>
      </c>
    </row>
    <row r="6212" spans="1:6" ht="30" customHeight="1" x14ac:dyDescent="0.25">
      <c r="A6212" s="1" t="s">
        <v>12416</v>
      </c>
      <c r="B6212" s="1" t="str">
        <f>"9781446264157"</f>
        <v>9781446264157</v>
      </c>
      <c r="C6212" s="1" t="s">
        <v>1228</v>
      </c>
      <c r="D6212" s="2">
        <v>35135</v>
      </c>
      <c r="E6212" s="1" t="s">
        <v>12417</v>
      </c>
      <c r="F6212" s="1" t="s">
        <v>541</v>
      </c>
    </row>
    <row r="6213" spans="1:6" ht="30" customHeight="1" x14ac:dyDescent="0.25">
      <c r="A6213" s="1" t="s">
        <v>12418</v>
      </c>
      <c r="B6213" s="1" t="str">
        <f>"9781446202678"</f>
        <v>9781446202678</v>
      </c>
      <c r="C6213" s="1" t="s">
        <v>1228</v>
      </c>
      <c r="D6213" s="2">
        <v>37987</v>
      </c>
      <c r="E6213" s="1" t="s">
        <v>12419</v>
      </c>
      <c r="F6213" s="1" t="s">
        <v>13</v>
      </c>
    </row>
    <row r="6214" spans="1:6" ht="30" customHeight="1" x14ac:dyDescent="0.25">
      <c r="A6214" s="1" t="s">
        <v>12420</v>
      </c>
      <c r="B6214" s="1" t="str">
        <f>"9781446264751"</f>
        <v>9781446264751</v>
      </c>
      <c r="C6214" s="1" t="s">
        <v>1228</v>
      </c>
      <c r="D6214" s="2">
        <v>36220</v>
      </c>
      <c r="E6214" s="1" t="s">
        <v>12421</v>
      </c>
      <c r="F6214" s="1" t="s">
        <v>13</v>
      </c>
    </row>
    <row r="6215" spans="1:6" ht="30" customHeight="1" x14ac:dyDescent="0.25">
      <c r="A6215" s="1" t="s">
        <v>12422</v>
      </c>
      <c r="B6215" s="1" t="str">
        <f>"9781446264669"</f>
        <v>9781446264669</v>
      </c>
      <c r="C6215" s="1" t="s">
        <v>1228</v>
      </c>
      <c r="D6215" s="2">
        <v>36382</v>
      </c>
      <c r="E6215" s="1" t="s">
        <v>12423</v>
      </c>
      <c r="F6215" s="1" t="s">
        <v>13</v>
      </c>
    </row>
    <row r="6216" spans="1:6" ht="30" customHeight="1" x14ac:dyDescent="0.25">
      <c r="A6216" s="1" t="s">
        <v>12424</v>
      </c>
      <c r="B6216" s="1" t="str">
        <f>"9781907830754"</f>
        <v>9781907830754</v>
      </c>
      <c r="C6216" s="1" t="s">
        <v>11198</v>
      </c>
      <c r="D6216" s="2">
        <v>40787</v>
      </c>
      <c r="E6216" s="1" t="s">
        <v>12425</v>
      </c>
      <c r="F6216" s="1" t="s">
        <v>137</v>
      </c>
    </row>
    <row r="6217" spans="1:6" ht="30" customHeight="1" x14ac:dyDescent="0.25">
      <c r="A6217" s="1" t="s">
        <v>12426</v>
      </c>
      <c r="B6217" s="1" t="str">
        <f>"9781139572453"</f>
        <v>9781139572453</v>
      </c>
      <c r="C6217" s="1" t="s">
        <v>25</v>
      </c>
      <c r="D6217" s="2">
        <v>39569</v>
      </c>
      <c r="E6217" s="1" t="s">
        <v>12427</v>
      </c>
      <c r="F6217" s="1" t="s">
        <v>13</v>
      </c>
    </row>
    <row r="6218" spans="1:6" ht="30" customHeight="1" x14ac:dyDescent="0.25">
      <c r="A6218" s="1" t="s">
        <v>12428</v>
      </c>
      <c r="B6218" s="1" t="str">
        <f>"9781118274125"</f>
        <v>9781118274125</v>
      </c>
      <c r="C6218" s="1" t="s">
        <v>65</v>
      </c>
      <c r="D6218" s="2">
        <v>41159</v>
      </c>
      <c r="E6218" s="1" t="s">
        <v>12429</v>
      </c>
      <c r="F6218" s="1" t="s">
        <v>6960</v>
      </c>
    </row>
    <row r="6219" spans="1:6" ht="30" customHeight="1" x14ac:dyDescent="0.25">
      <c r="A6219" s="1" t="s">
        <v>12430</v>
      </c>
      <c r="B6219" s="1" t="str">
        <f>"9781907830242"</f>
        <v>9781907830242</v>
      </c>
      <c r="C6219" s="1" t="s">
        <v>11198</v>
      </c>
      <c r="D6219" s="2">
        <v>40803</v>
      </c>
      <c r="E6219" s="1" t="s">
        <v>12431</v>
      </c>
      <c r="F6219" s="1" t="s">
        <v>234</v>
      </c>
    </row>
    <row r="6220" spans="1:6" ht="30" customHeight="1" x14ac:dyDescent="0.25">
      <c r="A6220" s="1" t="s">
        <v>12432</v>
      </c>
      <c r="B6220" s="1" t="str">
        <f>"9780199875542"</f>
        <v>9780199875542</v>
      </c>
      <c r="C6220" s="1" t="s">
        <v>1123</v>
      </c>
      <c r="D6220" s="2">
        <v>41145</v>
      </c>
      <c r="E6220" s="1" t="s">
        <v>12433</v>
      </c>
      <c r="F6220" s="1" t="s">
        <v>95</v>
      </c>
    </row>
    <row r="6221" spans="1:6" ht="30" customHeight="1" x14ac:dyDescent="0.25">
      <c r="A6221" s="1" t="s">
        <v>12434</v>
      </c>
      <c r="B6221" s="1" t="str">
        <f>"9780826106643"</f>
        <v>9780826106643</v>
      </c>
      <c r="C6221" s="1" t="s">
        <v>2339</v>
      </c>
      <c r="D6221" s="2">
        <v>40861</v>
      </c>
      <c r="E6221" s="1" t="s">
        <v>12435</v>
      </c>
      <c r="F6221" s="1" t="s">
        <v>8958</v>
      </c>
    </row>
    <row r="6222" spans="1:6" ht="30" customHeight="1" x14ac:dyDescent="0.25">
      <c r="A6222" s="1" t="s">
        <v>12436</v>
      </c>
      <c r="B6222" s="1" t="str">
        <f>"9780826107695"</f>
        <v>9780826107695</v>
      </c>
      <c r="C6222" s="1" t="s">
        <v>2339</v>
      </c>
      <c r="D6222" s="2">
        <v>41122</v>
      </c>
      <c r="E6222" s="1" t="s">
        <v>12437</v>
      </c>
      <c r="F6222" s="1" t="s">
        <v>126</v>
      </c>
    </row>
    <row r="6223" spans="1:6" ht="30" customHeight="1" x14ac:dyDescent="0.25">
      <c r="A6223" s="1" t="s">
        <v>12438</v>
      </c>
      <c r="B6223" s="1" t="str">
        <f>"9780826108654"</f>
        <v>9780826108654</v>
      </c>
      <c r="C6223" s="1" t="s">
        <v>2339</v>
      </c>
      <c r="D6223" s="2">
        <v>41145</v>
      </c>
      <c r="E6223" s="1" t="s">
        <v>3386</v>
      </c>
      <c r="F6223" s="1" t="s">
        <v>82</v>
      </c>
    </row>
    <row r="6224" spans="1:6" ht="30" customHeight="1" x14ac:dyDescent="0.25">
      <c r="A6224" s="1" t="s">
        <v>12439</v>
      </c>
      <c r="B6224" s="1" t="str">
        <f>"9780821396193"</f>
        <v>9780821396193</v>
      </c>
      <c r="C6224" s="1" t="s">
        <v>6702</v>
      </c>
      <c r="D6224" s="2">
        <v>40909</v>
      </c>
      <c r="E6224" s="1" t="s">
        <v>12440</v>
      </c>
      <c r="F6224" s="1" t="s">
        <v>95</v>
      </c>
    </row>
    <row r="6225" spans="1:6" ht="30" customHeight="1" x14ac:dyDescent="0.25">
      <c r="A6225" s="1" t="s">
        <v>12441</v>
      </c>
      <c r="B6225" s="1" t="str">
        <f>"9781782410263"</f>
        <v>9781782410263</v>
      </c>
      <c r="C6225" s="1" t="s">
        <v>8994</v>
      </c>
      <c r="D6225" s="2">
        <v>41162</v>
      </c>
      <c r="E6225" s="1" t="s">
        <v>9306</v>
      </c>
      <c r="F6225" s="1" t="s">
        <v>104</v>
      </c>
    </row>
    <row r="6226" spans="1:6" ht="30" customHeight="1" x14ac:dyDescent="0.25">
      <c r="A6226" s="1" t="s">
        <v>12442</v>
      </c>
      <c r="B6226" s="1" t="str">
        <f>"9781920196592"</f>
        <v>9781920196592</v>
      </c>
      <c r="C6226" s="1" t="s">
        <v>12443</v>
      </c>
      <c r="D6226" s="2">
        <v>41183</v>
      </c>
      <c r="E6226" s="1" t="s">
        <v>12444</v>
      </c>
      <c r="F6226" s="1" t="s">
        <v>95</v>
      </c>
    </row>
    <row r="6227" spans="1:6" ht="30" customHeight="1" x14ac:dyDescent="0.25">
      <c r="A6227" s="1" t="s">
        <v>12445</v>
      </c>
      <c r="B6227" s="1" t="str">
        <f>"9781409422549"</f>
        <v>9781409422549</v>
      </c>
      <c r="C6227" s="1" t="s">
        <v>93</v>
      </c>
      <c r="D6227" s="2">
        <v>41214</v>
      </c>
      <c r="E6227" s="1" t="s">
        <v>12446</v>
      </c>
      <c r="F6227" s="1" t="s">
        <v>13</v>
      </c>
    </row>
    <row r="6228" spans="1:6" ht="30" customHeight="1" x14ac:dyDescent="0.25">
      <c r="A6228" s="1" t="s">
        <v>12447</v>
      </c>
      <c r="B6228" s="1" t="str">
        <f>"9780826129550"</f>
        <v>9780826129550</v>
      </c>
      <c r="C6228" s="1" t="s">
        <v>2339</v>
      </c>
      <c r="D6228" s="2">
        <v>40763</v>
      </c>
      <c r="E6228" s="1" t="s">
        <v>12448</v>
      </c>
      <c r="F6228" s="1" t="s">
        <v>126</v>
      </c>
    </row>
    <row r="6229" spans="1:6" ht="30" customHeight="1" x14ac:dyDescent="0.25">
      <c r="A6229" s="1" t="s">
        <v>12449</v>
      </c>
      <c r="B6229" s="1" t="str">
        <f>"9780826195739"</f>
        <v>9780826195739</v>
      </c>
      <c r="C6229" s="1" t="s">
        <v>2339</v>
      </c>
      <c r="D6229" s="2">
        <v>41173</v>
      </c>
      <c r="E6229" s="1" t="s">
        <v>12450</v>
      </c>
      <c r="F6229" s="1" t="s">
        <v>114</v>
      </c>
    </row>
    <row r="6230" spans="1:6" ht="30" customHeight="1" x14ac:dyDescent="0.25">
      <c r="A6230" s="1" t="s">
        <v>12451</v>
      </c>
      <c r="B6230" s="1" t="str">
        <f>"9781847356024"</f>
        <v>9781847356024</v>
      </c>
      <c r="C6230" s="1" t="s">
        <v>7299</v>
      </c>
      <c r="D6230" s="2">
        <v>41151</v>
      </c>
      <c r="E6230" s="1" t="s">
        <v>12452</v>
      </c>
      <c r="F6230" s="1" t="s">
        <v>1469</v>
      </c>
    </row>
    <row r="6231" spans="1:6" ht="30" customHeight="1" x14ac:dyDescent="0.25">
      <c r="A6231" s="1" t="s">
        <v>12453</v>
      </c>
      <c r="B6231" s="1" t="str">
        <f>"9781118402207"</f>
        <v>9781118402207</v>
      </c>
      <c r="C6231" s="1" t="s">
        <v>65</v>
      </c>
      <c r="D6231" s="2">
        <v>41169</v>
      </c>
      <c r="E6231" s="1" t="s">
        <v>12454</v>
      </c>
      <c r="F6231" s="1" t="s">
        <v>6960</v>
      </c>
    </row>
    <row r="6232" spans="1:6" ht="30" customHeight="1" x14ac:dyDescent="0.25">
      <c r="A6232" s="1" t="s">
        <v>12455</v>
      </c>
      <c r="B6232" s="1" t="str">
        <f>"9781118504581"</f>
        <v>9781118504581</v>
      </c>
      <c r="C6232" s="1" t="s">
        <v>11</v>
      </c>
      <c r="D6232" s="2">
        <v>41156</v>
      </c>
      <c r="E6232" s="1" t="s">
        <v>12456</v>
      </c>
      <c r="F6232" s="1" t="s">
        <v>95</v>
      </c>
    </row>
    <row r="6233" spans="1:6" ht="30" customHeight="1" x14ac:dyDescent="0.25">
      <c r="A6233" s="1" t="s">
        <v>12457</v>
      </c>
      <c r="B6233" s="1" t="str">
        <f>"9780520953482"</f>
        <v>9780520953482</v>
      </c>
      <c r="C6233" s="1" t="s">
        <v>818</v>
      </c>
      <c r="D6233" s="2">
        <v>41200</v>
      </c>
      <c r="E6233" s="1" t="s">
        <v>12458</v>
      </c>
      <c r="F6233" s="1" t="s">
        <v>406</v>
      </c>
    </row>
    <row r="6234" spans="1:6" ht="30" customHeight="1" x14ac:dyDescent="0.25">
      <c r="A6234" s="1" t="s">
        <v>12459</v>
      </c>
      <c r="B6234" s="1" t="str">
        <f>"9781461627166"</f>
        <v>9781461627166</v>
      </c>
      <c r="C6234" s="1" t="s">
        <v>6903</v>
      </c>
      <c r="D6234" s="2">
        <v>40330</v>
      </c>
      <c r="E6234" s="1" t="s">
        <v>12374</v>
      </c>
      <c r="F6234" s="1" t="s">
        <v>13</v>
      </c>
    </row>
    <row r="6235" spans="1:6" ht="30" customHeight="1" x14ac:dyDescent="0.25">
      <c r="A6235" s="1" t="s">
        <v>12460</v>
      </c>
      <c r="B6235" s="1" t="str">
        <f>"9781461630005"</f>
        <v>9781461630005</v>
      </c>
      <c r="C6235" s="1" t="s">
        <v>6903</v>
      </c>
      <c r="D6235" s="2">
        <v>40404</v>
      </c>
      <c r="E6235" s="1" t="s">
        <v>12461</v>
      </c>
      <c r="F6235" s="1" t="s">
        <v>13</v>
      </c>
    </row>
    <row r="6236" spans="1:6" ht="30" customHeight="1" x14ac:dyDescent="0.25">
      <c r="A6236" s="1" t="s">
        <v>12462</v>
      </c>
      <c r="B6236" s="1" t="str">
        <f>"9781118404225"</f>
        <v>9781118404225</v>
      </c>
      <c r="C6236" s="1" t="s">
        <v>65</v>
      </c>
      <c r="D6236" s="2">
        <v>41244</v>
      </c>
      <c r="E6236" s="1" t="s">
        <v>12463</v>
      </c>
      <c r="F6236" s="1" t="s">
        <v>12464</v>
      </c>
    </row>
    <row r="6237" spans="1:6" ht="30" customHeight="1" x14ac:dyDescent="0.25">
      <c r="A6237" s="1" t="s">
        <v>12465</v>
      </c>
      <c r="B6237" s="1" t="str">
        <f>"9781444315332"</f>
        <v>9781444315332</v>
      </c>
      <c r="C6237" s="1" t="s">
        <v>65</v>
      </c>
      <c r="D6237" s="2">
        <v>41173</v>
      </c>
      <c r="E6237" s="1" t="s">
        <v>12466</v>
      </c>
      <c r="F6237" s="1" t="s">
        <v>13</v>
      </c>
    </row>
    <row r="6238" spans="1:6" ht="30" customHeight="1" x14ac:dyDescent="0.25">
      <c r="A6238" s="1" t="s">
        <v>12467</v>
      </c>
      <c r="B6238" s="1" t="str">
        <f>"9781118209677"</f>
        <v>9781118209677</v>
      </c>
      <c r="C6238" s="1" t="s">
        <v>65</v>
      </c>
      <c r="D6238" s="2">
        <v>41173</v>
      </c>
      <c r="E6238" s="1" t="s">
        <v>12468</v>
      </c>
      <c r="F6238" s="1" t="s">
        <v>95</v>
      </c>
    </row>
    <row r="6239" spans="1:6" ht="30" customHeight="1" x14ac:dyDescent="0.25">
      <c r="A6239" s="1" t="s">
        <v>12469</v>
      </c>
      <c r="B6239" s="1" t="str">
        <f>"9780123919304"</f>
        <v>9780123919304</v>
      </c>
      <c r="C6239" s="1" t="s">
        <v>900</v>
      </c>
      <c r="D6239" s="2">
        <v>41274</v>
      </c>
      <c r="E6239" s="1" t="s">
        <v>12470</v>
      </c>
      <c r="F6239" s="1" t="s">
        <v>13</v>
      </c>
    </row>
    <row r="6240" spans="1:6" ht="30" customHeight="1" x14ac:dyDescent="0.25">
      <c r="A6240" s="1" t="s">
        <v>12471</v>
      </c>
      <c r="B6240" s="1" t="str">
        <f>"9780821397077"</f>
        <v>9780821397077</v>
      </c>
      <c r="C6240" s="1" t="s">
        <v>6702</v>
      </c>
      <c r="D6240" s="2">
        <v>40909</v>
      </c>
      <c r="E6240" s="1" t="s">
        <v>12472</v>
      </c>
      <c r="F6240" s="1" t="s">
        <v>5103</v>
      </c>
    </row>
    <row r="6241" spans="1:6" ht="30" customHeight="1" x14ac:dyDescent="0.25">
      <c r="A6241" s="1" t="s">
        <v>12473</v>
      </c>
      <c r="B6241" s="1" t="str">
        <f>"9781607509868"</f>
        <v>9781607509868</v>
      </c>
      <c r="C6241" s="1" t="s">
        <v>1390</v>
      </c>
      <c r="D6241" s="2">
        <v>41114</v>
      </c>
      <c r="E6241" s="1" t="s">
        <v>10944</v>
      </c>
      <c r="F6241" s="1" t="s">
        <v>13</v>
      </c>
    </row>
    <row r="6242" spans="1:6" ht="30" customHeight="1" x14ac:dyDescent="0.25">
      <c r="A6242" s="1" t="s">
        <v>12474</v>
      </c>
      <c r="B6242" s="1" t="str">
        <f>"9781614990673"</f>
        <v>9781614990673</v>
      </c>
      <c r="C6242" s="1" t="s">
        <v>1390</v>
      </c>
      <c r="D6242" s="2">
        <v>41079</v>
      </c>
      <c r="E6242" s="1" t="s">
        <v>12475</v>
      </c>
      <c r="F6242" s="1" t="s">
        <v>13</v>
      </c>
    </row>
    <row r="6243" spans="1:6" ht="30" customHeight="1" x14ac:dyDescent="0.25">
      <c r="A6243" s="1" t="s">
        <v>12476</v>
      </c>
      <c r="B6243" s="1" t="str">
        <f>"9781614990789"</f>
        <v>9781614990789</v>
      </c>
      <c r="C6243" s="1" t="s">
        <v>1390</v>
      </c>
      <c r="D6243" s="2">
        <v>41101</v>
      </c>
      <c r="E6243" s="1" t="s">
        <v>12477</v>
      </c>
      <c r="F6243" s="1" t="s">
        <v>13</v>
      </c>
    </row>
    <row r="6244" spans="1:6" ht="30" customHeight="1" x14ac:dyDescent="0.25">
      <c r="A6244" s="1" t="s">
        <v>12478</v>
      </c>
      <c r="B6244" s="1" t="str">
        <f>"9781614990864"</f>
        <v>9781614990864</v>
      </c>
      <c r="C6244" s="1" t="s">
        <v>1390</v>
      </c>
      <c r="D6244" s="2">
        <v>41149</v>
      </c>
      <c r="E6244" s="1" t="s">
        <v>12479</v>
      </c>
      <c r="F6244" s="1" t="s">
        <v>13</v>
      </c>
    </row>
    <row r="6245" spans="1:6" ht="30" customHeight="1" x14ac:dyDescent="0.25">
      <c r="A6245" s="1" t="s">
        <v>12480</v>
      </c>
      <c r="B6245" s="1" t="str">
        <f>"9781614990888"</f>
        <v>9781614990888</v>
      </c>
      <c r="C6245" s="1" t="s">
        <v>1390</v>
      </c>
      <c r="D6245" s="2">
        <v>41145</v>
      </c>
      <c r="E6245" s="1" t="s">
        <v>12481</v>
      </c>
      <c r="F6245" s="1" t="s">
        <v>158</v>
      </c>
    </row>
    <row r="6246" spans="1:6" ht="30" customHeight="1" x14ac:dyDescent="0.25">
      <c r="A6246" s="1" t="s">
        <v>12482</v>
      </c>
      <c r="B6246" s="1" t="str">
        <f>"9781614991212"</f>
        <v>9781614991212</v>
      </c>
      <c r="C6246" s="1" t="s">
        <v>1390</v>
      </c>
      <c r="D6246" s="2">
        <v>41166</v>
      </c>
      <c r="E6246" s="1" t="s">
        <v>7132</v>
      </c>
      <c r="F6246" s="1" t="s">
        <v>33</v>
      </c>
    </row>
    <row r="6247" spans="1:6" ht="30" customHeight="1" x14ac:dyDescent="0.25">
      <c r="A6247" s="1" t="s">
        <v>12483</v>
      </c>
      <c r="B6247" s="1" t="str">
        <f>"9781614991274"</f>
        <v>9781614991274</v>
      </c>
      <c r="C6247" s="1" t="s">
        <v>1390</v>
      </c>
      <c r="D6247" s="2">
        <v>41192</v>
      </c>
      <c r="E6247" s="1" t="s">
        <v>12484</v>
      </c>
      <c r="F6247" s="1" t="s">
        <v>95</v>
      </c>
    </row>
    <row r="6248" spans="1:6" ht="30" customHeight="1" x14ac:dyDescent="0.25">
      <c r="A6248" s="1" t="s">
        <v>12485</v>
      </c>
      <c r="B6248" s="1" t="str">
        <f>"9781118350737"</f>
        <v>9781118350737</v>
      </c>
      <c r="C6248" s="1" t="s">
        <v>65</v>
      </c>
      <c r="D6248" s="2">
        <v>41222</v>
      </c>
      <c r="E6248" s="1" t="s">
        <v>12486</v>
      </c>
      <c r="F6248" s="1" t="s">
        <v>13</v>
      </c>
    </row>
    <row r="6249" spans="1:6" ht="30" customHeight="1" x14ac:dyDescent="0.25">
      <c r="A6249" s="1" t="s">
        <v>12487</v>
      </c>
      <c r="B6249" s="1" t="str">
        <f>"9780123849380"</f>
        <v>9780123849380</v>
      </c>
      <c r="C6249" s="1" t="s">
        <v>900</v>
      </c>
      <c r="D6249" s="2">
        <v>41183</v>
      </c>
      <c r="E6249" s="1" t="s">
        <v>12488</v>
      </c>
      <c r="F6249" s="1" t="s">
        <v>268</v>
      </c>
    </row>
    <row r="6250" spans="1:6" ht="30" customHeight="1" x14ac:dyDescent="0.25">
      <c r="A6250" s="1" t="s">
        <v>12489</v>
      </c>
      <c r="B6250" s="1" t="str">
        <f>"9781555817176"</f>
        <v>9781555817176</v>
      </c>
      <c r="C6250" s="1" t="s">
        <v>7254</v>
      </c>
      <c r="D6250" s="2">
        <v>40909</v>
      </c>
      <c r="E6250" s="1" t="s">
        <v>12490</v>
      </c>
      <c r="F6250" s="1" t="s">
        <v>1948</v>
      </c>
    </row>
    <row r="6251" spans="1:6" ht="30" customHeight="1" x14ac:dyDescent="0.25">
      <c r="A6251" s="1" t="s">
        <v>12491</v>
      </c>
      <c r="B6251" s="1" t="str">
        <f>"9781555817220"</f>
        <v>9781555817220</v>
      </c>
      <c r="C6251" s="1" t="s">
        <v>7254</v>
      </c>
      <c r="D6251" s="2">
        <v>40544</v>
      </c>
      <c r="E6251" s="1" t="s">
        <v>12492</v>
      </c>
      <c r="F6251" s="1" t="s">
        <v>13</v>
      </c>
    </row>
    <row r="6252" spans="1:6" ht="30" customHeight="1" x14ac:dyDescent="0.25">
      <c r="A6252" s="1" t="s">
        <v>12493</v>
      </c>
      <c r="B6252" s="1" t="str">
        <f>"9781555817213"</f>
        <v>9781555817213</v>
      </c>
      <c r="C6252" s="1" t="s">
        <v>7254</v>
      </c>
      <c r="D6252" s="2">
        <v>40909</v>
      </c>
      <c r="E6252" s="1" t="s">
        <v>12494</v>
      </c>
      <c r="F6252" s="1" t="s">
        <v>176</v>
      </c>
    </row>
    <row r="6253" spans="1:6" ht="30" customHeight="1" x14ac:dyDescent="0.25">
      <c r="A6253" s="1" t="s">
        <v>12495</v>
      </c>
      <c r="B6253" s="1" t="str">
        <f>"9781782410331"</f>
        <v>9781782410331</v>
      </c>
      <c r="C6253" s="1" t="s">
        <v>68</v>
      </c>
      <c r="D6253" s="2">
        <v>41183</v>
      </c>
      <c r="E6253" s="1" t="s">
        <v>12496</v>
      </c>
      <c r="F6253" s="1" t="s">
        <v>13</v>
      </c>
    </row>
    <row r="6254" spans="1:6" ht="30" customHeight="1" x14ac:dyDescent="0.25">
      <c r="A6254" s="1" t="s">
        <v>12497</v>
      </c>
      <c r="B6254" s="1" t="str">
        <f>"9781118458839"</f>
        <v>9781118458839</v>
      </c>
      <c r="C6254" s="1" t="s">
        <v>65</v>
      </c>
      <c r="D6254" s="2">
        <v>41185</v>
      </c>
      <c r="E6254" s="1" t="s">
        <v>12498</v>
      </c>
      <c r="F6254" s="1" t="s">
        <v>4011</v>
      </c>
    </row>
    <row r="6255" spans="1:6" ht="30" customHeight="1" x14ac:dyDescent="0.25">
      <c r="A6255" s="1" t="s">
        <v>12499</v>
      </c>
      <c r="B6255" s="1" t="str">
        <f>"9781608052561"</f>
        <v>9781608052561</v>
      </c>
      <c r="C6255" s="1" t="s">
        <v>11332</v>
      </c>
      <c r="D6255" s="2">
        <v>41089</v>
      </c>
      <c r="E6255" s="1" t="s">
        <v>12500</v>
      </c>
      <c r="F6255" s="1" t="s">
        <v>13</v>
      </c>
    </row>
    <row r="6256" spans="1:6" ht="30" customHeight="1" x14ac:dyDescent="0.25">
      <c r="A6256" s="1" t="s">
        <v>12501</v>
      </c>
      <c r="B6256" s="1" t="str">
        <f>"9781608054473"</f>
        <v>9781608054473</v>
      </c>
      <c r="C6256" s="1" t="s">
        <v>11332</v>
      </c>
      <c r="D6256" s="2">
        <v>41107</v>
      </c>
      <c r="E6256" s="1" t="s">
        <v>12502</v>
      </c>
      <c r="F6256" s="1" t="s">
        <v>406</v>
      </c>
    </row>
    <row r="6257" spans="1:6" ht="30" customHeight="1" x14ac:dyDescent="0.25">
      <c r="A6257" s="1" t="s">
        <v>12503</v>
      </c>
      <c r="B6257" s="1" t="str">
        <f>"9780739174401"</f>
        <v>9780739174401</v>
      </c>
      <c r="C6257" s="1" t="s">
        <v>9841</v>
      </c>
      <c r="D6257" s="2">
        <v>41131</v>
      </c>
      <c r="E6257" s="1" t="s">
        <v>12504</v>
      </c>
      <c r="F6257" s="1" t="s">
        <v>13</v>
      </c>
    </row>
    <row r="6258" spans="1:6" ht="30" customHeight="1" x14ac:dyDescent="0.25">
      <c r="A6258" s="1" t="s">
        <v>12505</v>
      </c>
      <c r="B6258" s="1" t="str">
        <f>"9781118551660"</f>
        <v>9781118551660</v>
      </c>
      <c r="C6258" s="1" t="s">
        <v>65</v>
      </c>
      <c r="D6258" s="2">
        <v>41185</v>
      </c>
      <c r="E6258" s="1" t="s">
        <v>12506</v>
      </c>
      <c r="F6258" s="1" t="s">
        <v>13</v>
      </c>
    </row>
    <row r="6259" spans="1:6" ht="30" customHeight="1" x14ac:dyDescent="0.25">
      <c r="A6259" s="1" t="s">
        <v>12507</v>
      </c>
      <c r="B6259" s="1" t="str">
        <f>"9781780529738"</f>
        <v>9781780529738</v>
      </c>
      <c r="C6259" s="1" t="s">
        <v>971</v>
      </c>
      <c r="D6259" s="2">
        <v>41165</v>
      </c>
      <c r="E6259" s="1" t="s">
        <v>12508</v>
      </c>
      <c r="F6259" s="1" t="s">
        <v>2443</v>
      </c>
    </row>
    <row r="6260" spans="1:6" ht="30" customHeight="1" x14ac:dyDescent="0.25">
      <c r="A6260" s="1" t="s">
        <v>12509</v>
      </c>
      <c r="B6260" s="1" t="str">
        <f>"9780123850904"</f>
        <v>9780123850904</v>
      </c>
      <c r="C6260" s="1" t="s">
        <v>12510</v>
      </c>
      <c r="D6260" s="2">
        <v>41274</v>
      </c>
      <c r="E6260" s="1" t="s">
        <v>12511</v>
      </c>
      <c r="F6260" s="1" t="s">
        <v>13</v>
      </c>
    </row>
    <row r="6261" spans="1:6" ht="30" customHeight="1" x14ac:dyDescent="0.25">
      <c r="A6261" s="1" t="s">
        <v>12512</v>
      </c>
      <c r="B6261" s="1" t="str">
        <f>"9780813553641"</f>
        <v>9780813553641</v>
      </c>
      <c r="C6261" s="1" t="s">
        <v>3656</v>
      </c>
      <c r="D6261" s="2">
        <v>41176</v>
      </c>
      <c r="E6261" s="1" t="s">
        <v>12513</v>
      </c>
      <c r="F6261" s="1" t="s">
        <v>95</v>
      </c>
    </row>
    <row r="6262" spans="1:6" ht="30" customHeight="1" x14ac:dyDescent="0.25">
      <c r="A6262" s="1" t="s">
        <v>12514</v>
      </c>
      <c r="B6262" s="1" t="str">
        <f>"9780813554020"</f>
        <v>9780813554020</v>
      </c>
      <c r="C6262" s="1" t="s">
        <v>3656</v>
      </c>
      <c r="D6262" s="2">
        <v>41227</v>
      </c>
      <c r="E6262" s="1" t="s">
        <v>12515</v>
      </c>
      <c r="F6262" s="1" t="s">
        <v>95</v>
      </c>
    </row>
    <row r="6263" spans="1:6" ht="30" customHeight="1" x14ac:dyDescent="0.25">
      <c r="A6263" s="1" t="s">
        <v>12516</v>
      </c>
      <c r="B6263" s="1" t="str">
        <f>"9781856424479"</f>
        <v>9781856424479</v>
      </c>
      <c r="C6263" s="1" t="s">
        <v>9846</v>
      </c>
      <c r="D6263" s="2">
        <v>41096</v>
      </c>
      <c r="E6263" s="1" t="s">
        <v>12517</v>
      </c>
      <c r="F6263" s="1" t="s">
        <v>126</v>
      </c>
    </row>
    <row r="6264" spans="1:6" ht="30" customHeight="1" x14ac:dyDescent="0.25">
      <c r="A6264" s="1" t="s">
        <v>12518</v>
      </c>
      <c r="B6264" s="1" t="str">
        <f>"9789062998586"</f>
        <v>9789062998586</v>
      </c>
      <c r="C6264" s="1" t="s">
        <v>3412</v>
      </c>
      <c r="D6264" s="2">
        <v>41205</v>
      </c>
      <c r="E6264" s="1" t="s">
        <v>12519</v>
      </c>
      <c r="F6264" s="1" t="s">
        <v>13</v>
      </c>
    </row>
    <row r="6265" spans="1:6" ht="30" customHeight="1" x14ac:dyDescent="0.25">
      <c r="A6265" s="1" t="s">
        <v>12520</v>
      </c>
      <c r="B6265" s="1" t="str">
        <f>"9789062997848"</f>
        <v>9789062997848</v>
      </c>
      <c r="C6265" s="1" t="s">
        <v>3412</v>
      </c>
      <c r="D6265" s="2">
        <v>35845</v>
      </c>
      <c r="E6265" s="1" t="s">
        <v>12521</v>
      </c>
      <c r="F6265" s="1" t="s">
        <v>13</v>
      </c>
    </row>
    <row r="6266" spans="1:6" ht="30" customHeight="1" x14ac:dyDescent="0.25">
      <c r="A6266" s="1" t="s">
        <v>12522</v>
      </c>
      <c r="B6266" s="1" t="str">
        <f>"9789062998067"</f>
        <v>9789062998067</v>
      </c>
      <c r="C6266" s="1" t="s">
        <v>3412</v>
      </c>
      <c r="D6266" s="2">
        <v>35885</v>
      </c>
      <c r="E6266" s="1" t="s">
        <v>12523</v>
      </c>
      <c r="F6266" s="1" t="s">
        <v>13</v>
      </c>
    </row>
    <row r="6267" spans="1:6" ht="30" customHeight="1" x14ac:dyDescent="0.25">
      <c r="A6267" s="1" t="s">
        <v>12524</v>
      </c>
      <c r="B6267" s="1" t="str">
        <f>"9789062997879"</f>
        <v>9789062997879</v>
      </c>
      <c r="C6267" s="1" t="s">
        <v>3412</v>
      </c>
      <c r="D6267" s="2">
        <v>36663</v>
      </c>
      <c r="E6267" s="1" t="s">
        <v>12525</v>
      </c>
      <c r="F6267" s="1" t="s">
        <v>13</v>
      </c>
    </row>
    <row r="6268" spans="1:6" ht="30" customHeight="1" x14ac:dyDescent="0.25">
      <c r="A6268" s="1" t="s">
        <v>12526</v>
      </c>
      <c r="B6268" s="1" t="str">
        <f>"9789062998340"</f>
        <v>9789062998340</v>
      </c>
      <c r="C6268" s="1" t="s">
        <v>3412</v>
      </c>
      <c r="D6268" s="2">
        <v>35671</v>
      </c>
      <c r="E6268" s="1" t="s">
        <v>12527</v>
      </c>
      <c r="F6268" s="1" t="s">
        <v>13</v>
      </c>
    </row>
    <row r="6269" spans="1:6" ht="30" customHeight="1" x14ac:dyDescent="0.25">
      <c r="A6269" s="1" t="s">
        <v>12528</v>
      </c>
      <c r="B6269" s="1" t="str">
        <f>"9789062997831"</f>
        <v>9789062997831</v>
      </c>
      <c r="C6269" s="1" t="s">
        <v>3412</v>
      </c>
      <c r="D6269" s="2">
        <v>35853</v>
      </c>
      <c r="E6269" s="1" t="s">
        <v>12529</v>
      </c>
      <c r="F6269" s="1" t="s">
        <v>13</v>
      </c>
    </row>
    <row r="6270" spans="1:6" ht="30" customHeight="1" x14ac:dyDescent="0.25">
      <c r="A6270" s="1" t="s">
        <v>12530</v>
      </c>
      <c r="B6270" s="1" t="str">
        <f>"9789062998272"</f>
        <v>9789062998272</v>
      </c>
      <c r="C6270" s="1" t="s">
        <v>3412</v>
      </c>
      <c r="D6270" s="2">
        <v>35832</v>
      </c>
      <c r="E6270" s="1" t="s">
        <v>3426</v>
      </c>
      <c r="F6270" s="1" t="s">
        <v>221</v>
      </c>
    </row>
    <row r="6271" spans="1:6" ht="30" customHeight="1" x14ac:dyDescent="0.25">
      <c r="A6271" s="1" t="s">
        <v>12531</v>
      </c>
      <c r="B6271" s="1" t="str">
        <f>"9789062998302"</f>
        <v>9789062998302</v>
      </c>
      <c r="C6271" s="1" t="s">
        <v>3412</v>
      </c>
      <c r="D6271" s="2">
        <v>35881</v>
      </c>
      <c r="E6271" s="1" t="s">
        <v>12532</v>
      </c>
      <c r="F6271" s="1" t="s">
        <v>13</v>
      </c>
    </row>
    <row r="6272" spans="1:6" ht="30" customHeight="1" x14ac:dyDescent="0.25">
      <c r="A6272" s="1" t="s">
        <v>12533</v>
      </c>
      <c r="B6272" s="1" t="str">
        <f>"9789062998319"</f>
        <v>9789062998319</v>
      </c>
      <c r="C6272" s="1" t="s">
        <v>3412</v>
      </c>
      <c r="D6272" s="2">
        <v>35979</v>
      </c>
      <c r="E6272" s="1" t="s">
        <v>12534</v>
      </c>
      <c r="F6272" s="1" t="s">
        <v>13</v>
      </c>
    </row>
    <row r="6273" spans="1:6" ht="30" customHeight="1" x14ac:dyDescent="0.25">
      <c r="A6273" s="1" t="s">
        <v>12535</v>
      </c>
      <c r="B6273" s="1" t="str">
        <f>"9781782410188"</f>
        <v>9781782410188</v>
      </c>
      <c r="C6273" s="1" t="s">
        <v>68</v>
      </c>
      <c r="D6273" s="2">
        <v>41138</v>
      </c>
      <c r="E6273" s="1" t="s">
        <v>12536</v>
      </c>
      <c r="F6273" s="1" t="s">
        <v>30</v>
      </c>
    </row>
    <row r="6274" spans="1:6" ht="30" customHeight="1" x14ac:dyDescent="0.25">
      <c r="A6274" s="1" t="s">
        <v>12537</v>
      </c>
      <c r="B6274" s="1" t="str">
        <f>"9780813553726"</f>
        <v>9780813553726</v>
      </c>
      <c r="C6274" s="1" t="s">
        <v>3656</v>
      </c>
      <c r="D6274" s="2">
        <v>41773</v>
      </c>
      <c r="E6274" s="1" t="s">
        <v>12538</v>
      </c>
      <c r="F6274" s="1" t="s">
        <v>304</v>
      </c>
    </row>
    <row r="6275" spans="1:6" ht="30" customHeight="1" x14ac:dyDescent="0.25">
      <c r="A6275" s="1" t="s">
        <v>12539</v>
      </c>
      <c r="B6275" s="1" t="str">
        <f>"9789814343602"</f>
        <v>9789814343602</v>
      </c>
      <c r="C6275" s="1" t="s">
        <v>881</v>
      </c>
      <c r="D6275" s="2">
        <v>41773</v>
      </c>
      <c r="E6275" s="1" t="s">
        <v>12540</v>
      </c>
      <c r="F6275" s="1" t="s">
        <v>13</v>
      </c>
    </row>
    <row r="6276" spans="1:6" ht="30" customHeight="1" x14ac:dyDescent="0.25">
      <c r="A6276" s="1" t="s">
        <v>12541</v>
      </c>
      <c r="B6276" s="1" t="str">
        <f>"9789814327770"</f>
        <v>9789814327770</v>
      </c>
      <c r="C6276" s="1" t="s">
        <v>881</v>
      </c>
      <c r="D6276" s="2">
        <v>41773</v>
      </c>
      <c r="E6276" s="1" t="s">
        <v>12542</v>
      </c>
      <c r="F6276" s="1" t="s">
        <v>13</v>
      </c>
    </row>
    <row r="6277" spans="1:6" ht="30" customHeight="1" x14ac:dyDescent="0.25">
      <c r="A6277" s="1" t="s">
        <v>12543</v>
      </c>
      <c r="B6277" s="1" t="str">
        <f>"9781118523124"</f>
        <v>9781118523124</v>
      </c>
      <c r="C6277" s="1" t="s">
        <v>11</v>
      </c>
      <c r="D6277" s="2">
        <v>41193</v>
      </c>
      <c r="E6277" s="1" t="s">
        <v>12544</v>
      </c>
      <c r="F6277" s="1" t="s">
        <v>13</v>
      </c>
    </row>
    <row r="6278" spans="1:6" ht="30" customHeight="1" x14ac:dyDescent="0.25">
      <c r="A6278" s="1" t="s">
        <v>12545</v>
      </c>
      <c r="B6278" s="1" t="str">
        <f>"9781608051441"</f>
        <v>9781608051441</v>
      </c>
      <c r="C6278" s="1" t="s">
        <v>11332</v>
      </c>
      <c r="D6278" s="2">
        <v>41122</v>
      </c>
      <c r="E6278" s="1" t="s">
        <v>12546</v>
      </c>
      <c r="F6278" s="1" t="s">
        <v>13</v>
      </c>
    </row>
    <row r="6279" spans="1:6" ht="30" customHeight="1" x14ac:dyDescent="0.25">
      <c r="A6279" s="1" t="s">
        <v>12547</v>
      </c>
      <c r="B6279" s="1" t="str">
        <f>"9781608053612"</f>
        <v>9781608053612</v>
      </c>
      <c r="C6279" s="1" t="s">
        <v>11332</v>
      </c>
      <c r="D6279" s="2">
        <v>41124</v>
      </c>
      <c r="E6279" s="1" t="s">
        <v>12548</v>
      </c>
      <c r="F6279" s="1" t="s">
        <v>33</v>
      </c>
    </row>
    <row r="6280" spans="1:6" ht="30" customHeight="1" x14ac:dyDescent="0.25">
      <c r="A6280" s="1" t="s">
        <v>12549</v>
      </c>
      <c r="B6280" s="1" t="str">
        <f>"9781608052837"</f>
        <v>9781608052837</v>
      </c>
      <c r="C6280" s="1" t="s">
        <v>11332</v>
      </c>
      <c r="D6280" s="2">
        <v>41138</v>
      </c>
      <c r="E6280" s="1" t="s">
        <v>12550</v>
      </c>
      <c r="F6280" s="1" t="s">
        <v>5140</v>
      </c>
    </row>
    <row r="6281" spans="1:6" ht="30" customHeight="1" x14ac:dyDescent="0.25">
      <c r="A6281" s="1" t="s">
        <v>12551</v>
      </c>
      <c r="B6281" s="1" t="str">
        <f>"9781136915789"</f>
        <v>9781136915789</v>
      </c>
      <c r="C6281" s="1" t="s">
        <v>68</v>
      </c>
      <c r="D6281" s="2">
        <v>38588</v>
      </c>
      <c r="E6281" s="1" t="s">
        <v>12552</v>
      </c>
      <c r="F6281" s="1" t="s">
        <v>13</v>
      </c>
    </row>
    <row r="6282" spans="1:6" ht="30" customHeight="1" x14ac:dyDescent="0.25">
      <c r="A6282" s="1" t="s">
        <v>12553</v>
      </c>
      <c r="B6282" s="1" t="str">
        <f>"9780816682744"</f>
        <v>9780816682744</v>
      </c>
      <c r="C6282" s="1" t="s">
        <v>3458</v>
      </c>
      <c r="D6282" s="2">
        <v>41152</v>
      </c>
      <c r="E6282" s="1" t="s">
        <v>12554</v>
      </c>
      <c r="F6282" s="1" t="s">
        <v>148</v>
      </c>
    </row>
    <row r="6283" spans="1:6" ht="30" customHeight="1" x14ac:dyDescent="0.25">
      <c r="A6283" s="1" t="s">
        <v>12555</v>
      </c>
      <c r="B6283" s="1" t="str">
        <f>"9781118464267"</f>
        <v>9781118464267</v>
      </c>
      <c r="C6283" s="1" t="s">
        <v>11</v>
      </c>
      <c r="D6283" s="2">
        <v>41198</v>
      </c>
      <c r="E6283" s="1" t="s">
        <v>12556</v>
      </c>
      <c r="F6283" s="1" t="s">
        <v>30</v>
      </c>
    </row>
    <row r="6284" spans="1:6" ht="30" customHeight="1" x14ac:dyDescent="0.25">
      <c r="A6284" s="1" t="s">
        <v>12557</v>
      </c>
      <c r="B6284" s="1" t="str">
        <f>"9781782410348"</f>
        <v>9781782410348</v>
      </c>
      <c r="C6284" s="1" t="s">
        <v>68</v>
      </c>
      <c r="D6284" s="2">
        <v>41214</v>
      </c>
      <c r="E6284" s="1" t="s">
        <v>12558</v>
      </c>
      <c r="F6284" s="1" t="s">
        <v>104</v>
      </c>
    </row>
    <row r="6285" spans="1:6" ht="30" customHeight="1" x14ac:dyDescent="0.25">
      <c r="A6285" s="1" t="s">
        <v>12559</v>
      </c>
      <c r="B6285" s="1" t="str">
        <f>"9780123878168"</f>
        <v>9780123878168</v>
      </c>
      <c r="C6285" s="1" t="s">
        <v>900</v>
      </c>
      <c r="D6285" s="2">
        <v>41200</v>
      </c>
      <c r="E6285" s="1" t="s">
        <v>12560</v>
      </c>
      <c r="F6285" s="1" t="s">
        <v>268</v>
      </c>
    </row>
    <row r="6286" spans="1:6" ht="30" customHeight="1" x14ac:dyDescent="0.25">
      <c r="A6286" s="1" t="s">
        <v>12561</v>
      </c>
      <c r="B6286" s="1" t="str">
        <f>"9781608052349"</f>
        <v>9781608052349</v>
      </c>
      <c r="C6286" s="1" t="s">
        <v>11332</v>
      </c>
      <c r="D6286" s="2">
        <v>41159</v>
      </c>
      <c r="E6286" s="1" t="s">
        <v>12562</v>
      </c>
      <c r="F6286" s="1" t="s">
        <v>13</v>
      </c>
    </row>
    <row r="6287" spans="1:6" ht="30" customHeight="1" x14ac:dyDescent="0.25">
      <c r="A6287" s="1" t="s">
        <v>12563</v>
      </c>
      <c r="B6287" s="1" t="str">
        <f>"9781909102170"</f>
        <v>9781909102170</v>
      </c>
      <c r="C6287" s="1" t="s">
        <v>9846</v>
      </c>
      <c r="D6287" s="2">
        <v>39845</v>
      </c>
      <c r="E6287" s="1" t="s">
        <v>12564</v>
      </c>
      <c r="F6287" s="1" t="s">
        <v>2443</v>
      </c>
    </row>
    <row r="6288" spans="1:6" ht="30" customHeight="1" x14ac:dyDescent="0.25">
      <c r="A6288" s="1" t="s">
        <v>12565</v>
      </c>
      <c r="B6288" s="1" t="str">
        <f>"9780765709523"</f>
        <v>9780765709523</v>
      </c>
      <c r="C6288" s="1" t="s">
        <v>6903</v>
      </c>
      <c r="D6288" s="2">
        <v>41194</v>
      </c>
      <c r="E6288" s="1" t="s">
        <v>12566</v>
      </c>
      <c r="F6288" s="1" t="s">
        <v>13</v>
      </c>
    </row>
    <row r="6289" spans="1:6" ht="30" customHeight="1" x14ac:dyDescent="0.25">
      <c r="A6289" s="1" t="s">
        <v>12567</v>
      </c>
      <c r="B6289" s="1" t="str">
        <f>"9788779349186"</f>
        <v>9788779349186</v>
      </c>
      <c r="C6289" s="1" t="s">
        <v>8538</v>
      </c>
      <c r="D6289" s="2">
        <v>38353</v>
      </c>
      <c r="E6289" s="1" t="s">
        <v>12568</v>
      </c>
      <c r="F6289" s="1" t="s">
        <v>13</v>
      </c>
    </row>
    <row r="6290" spans="1:6" ht="30" customHeight="1" x14ac:dyDescent="0.25">
      <c r="A6290" s="1" t="s">
        <v>12569</v>
      </c>
      <c r="B6290" s="1" t="str">
        <f>"9788779349100"</f>
        <v>9788779349100</v>
      </c>
      <c r="C6290" s="1" t="s">
        <v>8538</v>
      </c>
      <c r="D6290" s="2">
        <v>38353</v>
      </c>
      <c r="E6290" s="1" t="s">
        <v>12570</v>
      </c>
      <c r="F6290" s="1" t="s">
        <v>13</v>
      </c>
    </row>
    <row r="6291" spans="1:6" ht="30" customHeight="1" x14ac:dyDescent="0.25">
      <c r="A6291" s="1" t="s">
        <v>12571</v>
      </c>
      <c r="B6291" s="1" t="str">
        <f>"9788779349643"</f>
        <v>9788779349643</v>
      </c>
      <c r="C6291" s="1" t="s">
        <v>8538</v>
      </c>
      <c r="D6291" s="2">
        <v>39083</v>
      </c>
      <c r="E6291" s="1" t="s">
        <v>12572</v>
      </c>
      <c r="F6291" s="1" t="s">
        <v>13</v>
      </c>
    </row>
    <row r="6292" spans="1:6" ht="30" customHeight="1" x14ac:dyDescent="0.25">
      <c r="A6292" s="1" t="s">
        <v>12573</v>
      </c>
      <c r="B6292" s="1" t="str">
        <f>"9781907830747"</f>
        <v>9781907830747</v>
      </c>
      <c r="C6292" s="1" t="s">
        <v>11198</v>
      </c>
      <c r="D6292" s="2">
        <v>40838</v>
      </c>
      <c r="E6292" s="1" t="s">
        <v>12574</v>
      </c>
      <c r="F6292" s="1" t="s">
        <v>13</v>
      </c>
    </row>
    <row r="6293" spans="1:6" ht="30" customHeight="1" x14ac:dyDescent="0.25">
      <c r="A6293" s="1" t="s">
        <v>12575</v>
      </c>
      <c r="B6293" s="1" t="str">
        <f>"9780123822284"</f>
        <v>9780123822284</v>
      </c>
      <c r="C6293" s="1" t="s">
        <v>900</v>
      </c>
      <c r="D6293" s="2">
        <v>41212</v>
      </c>
      <c r="E6293" s="1" t="s">
        <v>12576</v>
      </c>
      <c r="F6293" s="1" t="s">
        <v>13</v>
      </c>
    </row>
    <row r="6294" spans="1:6" ht="30" customHeight="1" x14ac:dyDescent="0.25">
      <c r="A6294" s="1" t="s">
        <v>12577</v>
      </c>
      <c r="B6294" s="1" t="str">
        <f>"9781608823970"</f>
        <v>9781608823970</v>
      </c>
      <c r="C6294" s="1" t="s">
        <v>10294</v>
      </c>
      <c r="D6294" s="2">
        <v>41244</v>
      </c>
      <c r="E6294" s="1" t="s">
        <v>12578</v>
      </c>
      <c r="F6294" s="1" t="s">
        <v>13</v>
      </c>
    </row>
    <row r="6295" spans="1:6" ht="30" customHeight="1" x14ac:dyDescent="0.25">
      <c r="A6295" s="1" t="s">
        <v>12579</v>
      </c>
      <c r="B6295" s="1" t="str">
        <f>"9781400845095"</f>
        <v>9781400845095</v>
      </c>
      <c r="C6295" s="1" t="s">
        <v>6462</v>
      </c>
      <c r="D6295" s="2">
        <v>41353</v>
      </c>
      <c r="E6295" s="1" t="s">
        <v>12580</v>
      </c>
      <c r="F6295" s="1" t="s">
        <v>95</v>
      </c>
    </row>
    <row r="6296" spans="1:6" ht="30" customHeight="1" x14ac:dyDescent="0.25">
      <c r="A6296" s="1" t="s">
        <v>12581</v>
      </c>
      <c r="B6296" s="1" t="str">
        <f>"9781593326654"</f>
        <v>9781593326654</v>
      </c>
      <c r="C6296" s="1" t="s">
        <v>11006</v>
      </c>
      <c r="D6296" s="2">
        <v>40558</v>
      </c>
      <c r="E6296" s="1" t="s">
        <v>12582</v>
      </c>
      <c r="F6296" s="1" t="s">
        <v>95</v>
      </c>
    </row>
    <row r="6297" spans="1:6" ht="30" customHeight="1" x14ac:dyDescent="0.25">
      <c r="A6297" s="1" t="s">
        <v>12583</v>
      </c>
      <c r="B6297" s="1" t="str">
        <f>"9781608052998"</f>
        <v>9781608052998</v>
      </c>
      <c r="C6297" s="1" t="s">
        <v>11332</v>
      </c>
      <c r="D6297" s="2">
        <v>41159</v>
      </c>
      <c r="E6297" s="1" t="s">
        <v>12584</v>
      </c>
      <c r="F6297" s="1" t="s">
        <v>650</v>
      </c>
    </row>
    <row r="6298" spans="1:6" ht="30" customHeight="1" x14ac:dyDescent="0.25">
      <c r="A6298" s="1" t="s">
        <v>12585</v>
      </c>
      <c r="B6298" s="1" t="str">
        <f>"9781608054695"</f>
        <v>9781608054695</v>
      </c>
      <c r="C6298" s="1" t="s">
        <v>11332</v>
      </c>
      <c r="D6298" s="2">
        <v>41185</v>
      </c>
      <c r="E6298" s="1" t="s">
        <v>12586</v>
      </c>
      <c r="F6298" s="1" t="s">
        <v>13</v>
      </c>
    </row>
    <row r="6299" spans="1:6" ht="30" customHeight="1" x14ac:dyDescent="0.25">
      <c r="A6299" s="1" t="s">
        <v>12587</v>
      </c>
      <c r="B6299" s="1" t="str">
        <f>"9781608054701"</f>
        <v>9781608054701</v>
      </c>
      <c r="C6299" s="1" t="s">
        <v>11332</v>
      </c>
      <c r="D6299" s="2">
        <v>41253</v>
      </c>
      <c r="E6299" s="1" t="s">
        <v>12588</v>
      </c>
      <c r="F6299" s="1" t="s">
        <v>13</v>
      </c>
    </row>
    <row r="6300" spans="1:6" ht="30" customHeight="1" x14ac:dyDescent="0.25">
      <c r="A6300" s="1" t="s">
        <v>12589</v>
      </c>
      <c r="B6300" s="1" t="str">
        <f>"9781608054626"</f>
        <v>9781608054626</v>
      </c>
      <c r="C6300" s="1" t="s">
        <v>11332</v>
      </c>
      <c r="D6300" s="2">
        <v>41200</v>
      </c>
      <c r="E6300" s="1" t="s">
        <v>12590</v>
      </c>
      <c r="F6300" s="1" t="s">
        <v>13</v>
      </c>
    </row>
    <row r="6301" spans="1:6" ht="30" customHeight="1" x14ac:dyDescent="0.25">
      <c r="A6301" s="1" t="s">
        <v>12591</v>
      </c>
      <c r="B6301" s="1" t="str">
        <f>"9781782410362"</f>
        <v>9781782410362</v>
      </c>
      <c r="C6301" s="1" t="s">
        <v>68</v>
      </c>
      <c r="D6301" s="2">
        <v>41275</v>
      </c>
      <c r="E6301" s="1" t="s">
        <v>12592</v>
      </c>
      <c r="F6301" s="1" t="s">
        <v>13</v>
      </c>
    </row>
    <row r="6302" spans="1:6" ht="30" customHeight="1" x14ac:dyDescent="0.25">
      <c r="A6302" s="1" t="s">
        <v>12593</v>
      </c>
      <c r="B6302" s="1" t="str">
        <f>"9781611321432"</f>
        <v>9781611321432</v>
      </c>
      <c r="C6302" s="1" t="s">
        <v>68</v>
      </c>
      <c r="D6302" s="2">
        <v>41182</v>
      </c>
      <c r="E6302" s="1" t="s">
        <v>12594</v>
      </c>
      <c r="F6302" s="1" t="s">
        <v>95</v>
      </c>
    </row>
    <row r="6303" spans="1:6" ht="30" customHeight="1" x14ac:dyDescent="0.25">
      <c r="A6303" s="1" t="s">
        <v>12595</v>
      </c>
      <c r="B6303" s="1" t="str">
        <f>"9781118284285"</f>
        <v>9781118284285</v>
      </c>
      <c r="C6303" s="1" t="s">
        <v>65</v>
      </c>
      <c r="D6303" s="2">
        <v>41218</v>
      </c>
      <c r="E6303" s="1" t="s">
        <v>12596</v>
      </c>
      <c r="F6303" s="1" t="s">
        <v>30</v>
      </c>
    </row>
    <row r="6304" spans="1:6" ht="30" customHeight="1" x14ac:dyDescent="0.25">
      <c r="A6304" s="1" t="s">
        <v>12597</v>
      </c>
      <c r="B6304" s="1" t="str">
        <f>"9780123965400"</f>
        <v>9780123965400</v>
      </c>
      <c r="C6304" s="1" t="s">
        <v>900</v>
      </c>
      <c r="D6304" s="2">
        <v>41204</v>
      </c>
      <c r="E6304" s="1" t="s">
        <v>12598</v>
      </c>
      <c r="F6304" s="1" t="s">
        <v>13</v>
      </c>
    </row>
    <row r="6305" spans="1:6" ht="30" customHeight="1" x14ac:dyDescent="0.25">
      <c r="A6305" s="1" t="s">
        <v>12599</v>
      </c>
      <c r="B6305" s="1" t="str">
        <f>"9780123977625"</f>
        <v>9780123977625</v>
      </c>
      <c r="C6305" s="1" t="s">
        <v>900</v>
      </c>
      <c r="D6305" s="2">
        <v>41204</v>
      </c>
      <c r="E6305" s="1" t="s">
        <v>12600</v>
      </c>
      <c r="F6305" s="1" t="s">
        <v>13</v>
      </c>
    </row>
    <row r="6306" spans="1:6" ht="30" customHeight="1" x14ac:dyDescent="0.25">
      <c r="A6306" s="1" t="s">
        <v>12601</v>
      </c>
      <c r="B6306" s="1" t="str">
        <f>"9780123977649"</f>
        <v>9780123977649</v>
      </c>
      <c r="C6306" s="1" t="s">
        <v>900</v>
      </c>
      <c r="D6306" s="2">
        <v>41204</v>
      </c>
      <c r="E6306" s="1" t="s">
        <v>12600</v>
      </c>
      <c r="F6306" s="1" t="s">
        <v>13</v>
      </c>
    </row>
    <row r="6307" spans="1:6" ht="30" customHeight="1" x14ac:dyDescent="0.25">
      <c r="A6307" s="1" t="s">
        <v>12602</v>
      </c>
      <c r="B6307" s="1" t="str">
        <f>"9780123977656"</f>
        <v>9780123977656</v>
      </c>
      <c r="C6307" s="1" t="s">
        <v>900</v>
      </c>
      <c r="D6307" s="2">
        <v>41204</v>
      </c>
      <c r="E6307" s="1" t="s">
        <v>12600</v>
      </c>
      <c r="F6307" s="1" t="s">
        <v>13</v>
      </c>
    </row>
    <row r="6308" spans="1:6" ht="30" customHeight="1" x14ac:dyDescent="0.25">
      <c r="A6308" s="1" t="s">
        <v>12603</v>
      </c>
      <c r="B6308" s="1" t="str">
        <f>"9781782410164"</f>
        <v>9781782410164</v>
      </c>
      <c r="C6308" s="1" t="s">
        <v>8994</v>
      </c>
      <c r="D6308" s="2">
        <v>37407</v>
      </c>
      <c r="E6308" s="1" t="s">
        <v>12604</v>
      </c>
      <c r="F6308" s="1" t="s">
        <v>13</v>
      </c>
    </row>
    <row r="6309" spans="1:6" ht="30" customHeight="1" x14ac:dyDescent="0.25">
      <c r="A6309" s="1" t="s">
        <v>12605</v>
      </c>
      <c r="B6309" s="1" t="str">
        <f>"9781782410379"</f>
        <v>9781782410379</v>
      </c>
      <c r="C6309" s="1" t="s">
        <v>68</v>
      </c>
      <c r="D6309" s="2">
        <v>41275</v>
      </c>
      <c r="E6309" s="1" t="s">
        <v>12606</v>
      </c>
      <c r="F6309" s="1" t="s">
        <v>104</v>
      </c>
    </row>
    <row r="6310" spans="1:6" ht="30" customHeight="1" x14ac:dyDescent="0.25">
      <c r="A6310" s="1" t="s">
        <v>12607</v>
      </c>
      <c r="B6310" s="1" t="str">
        <f>"9781782410393"</f>
        <v>9781782410393</v>
      </c>
      <c r="C6310" s="1" t="s">
        <v>8994</v>
      </c>
      <c r="D6310" s="2">
        <v>37256</v>
      </c>
      <c r="E6310" s="1" t="s">
        <v>12608</v>
      </c>
      <c r="F6310" s="1" t="s">
        <v>13</v>
      </c>
    </row>
    <row r="6311" spans="1:6" ht="30" customHeight="1" x14ac:dyDescent="0.25">
      <c r="A6311" s="1" t="s">
        <v>12609</v>
      </c>
      <c r="B6311" s="1" t="str">
        <f>"9781782410416"</f>
        <v>9781782410416</v>
      </c>
      <c r="C6311" s="1" t="s">
        <v>8994</v>
      </c>
      <c r="D6311" s="2">
        <v>36525</v>
      </c>
      <c r="E6311" s="1" t="s">
        <v>12610</v>
      </c>
      <c r="F6311" s="1" t="s">
        <v>291</v>
      </c>
    </row>
    <row r="6312" spans="1:6" ht="30" customHeight="1" x14ac:dyDescent="0.25">
      <c r="A6312" s="1" t="s">
        <v>12611</v>
      </c>
      <c r="B6312" s="1" t="str">
        <f>"9781118511527"</f>
        <v>9781118511527</v>
      </c>
      <c r="C6312" s="1" t="s">
        <v>65</v>
      </c>
      <c r="D6312" s="2">
        <v>41221</v>
      </c>
      <c r="E6312" s="1" t="s">
        <v>12612</v>
      </c>
      <c r="F6312" s="1" t="s">
        <v>13</v>
      </c>
    </row>
    <row r="6313" spans="1:6" ht="30" customHeight="1" x14ac:dyDescent="0.25">
      <c r="A6313" s="1" t="s">
        <v>12613</v>
      </c>
      <c r="B6313" s="1" t="str">
        <f>"9781409435419"</f>
        <v>9781409435419</v>
      </c>
      <c r="C6313" s="1" t="s">
        <v>6126</v>
      </c>
      <c r="D6313" s="2">
        <v>41261</v>
      </c>
      <c r="E6313" s="1" t="s">
        <v>12614</v>
      </c>
      <c r="F6313" s="1" t="s">
        <v>95</v>
      </c>
    </row>
    <row r="6314" spans="1:6" ht="30" customHeight="1" x14ac:dyDescent="0.25">
      <c r="A6314" s="1" t="s">
        <v>12615</v>
      </c>
      <c r="B6314" s="1" t="str">
        <f>"9781907830679"</f>
        <v>9781907830679</v>
      </c>
      <c r="C6314" s="1" t="s">
        <v>11198</v>
      </c>
      <c r="D6314" s="2">
        <v>41239</v>
      </c>
      <c r="E6314" s="1" t="s">
        <v>12616</v>
      </c>
      <c r="F6314" s="1" t="s">
        <v>82</v>
      </c>
    </row>
    <row r="6315" spans="1:6" ht="30" customHeight="1" x14ac:dyDescent="0.25">
      <c r="A6315" s="1" t="s">
        <v>12617</v>
      </c>
      <c r="B6315" s="1" t="str">
        <f>"9781847791634"</f>
        <v>9781847791634</v>
      </c>
      <c r="C6315" s="1" t="s">
        <v>8297</v>
      </c>
      <c r="D6315" s="2">
        <v>41474</v>
      </c>
      <c r="E6315" s="1" t="s">
        <v>12618</v>
      </c>
      <c r="F6315" s="1" t="s">
        <v>3893</v>
      </c>
    </row>
    <row r="6316" spans="1:6" ht="30" customHeight="1" x14ac:dyDescent="0.25">
      <c r="A6316" s="1" t="s">
        <v>12619</v>
      </c>
      <c r="B6316" s="1" t="str">
        <f>"9781847792167"</f>
        <v>9781847792167</v>
      </c>
      <c r="C6316" s="1" t="s">
        <v>8297</v>
      </c>
      <c r="D6316" s="2">
        <v>41474</v>
      </c>
      <c r="E6316" s="1" t="s">
        <v>12620</v>
      </c>
      <c r="F6316" s="1" t="s">
        <v>30</v>
      </c>
    </row>
    <row r="6317" spans="1:6" ht="30" customHeight="1" x14ac:dyDescent="0.25">
      <c r="A6317" s="1" t="s">
        <v>12621</v>
      </c>
      <c r="B6317" s="1" t="str">
        <f>"9781847791573"</f>
        <v>9781847791573</v>
      </c>
      <c r="C6317" s="1" t="s">
        <v>8297</v>
      </c>
      <c r="D6317" s="2">
        <v>41474</v>
      </c>
      <c r="E6317" s="1" t="s">
        <v>12622</v>
      </c>
      <c r="F6317" s="1" t="s">
        <v>87</v>
      </c>
    </row>
    <row r="6318" spans="1:6" ht="30" customHeight="1" x14ac:dyDescent="0.25">
      <c r="A6318" s="1" t="s">
        <v>12623</v>
      </c>
      <c r="B6318" s="1" t="str">
        <f>"9781847794291"</f>
        <v>9781847794291</v>
      </c>
      <c r="C6318" s="1" t="s">
        <v>8297</v>
      </c>
      <c r="D6318" s="2">
        <v>41292</v>
      </c>
      <c r="E6318" s="1" t="s">
        <v>12624</v>
      </c>
      <c r="F6318" s="1" t="s">
        <v>13</v>
      </c>
    </row>
    <row r="6319" spans="1:6" ht="30" customHeight="1" x14ac:dyDescent="0.25">
      <c r="A6319" s="1" t="s">
        <v>12625</v>
      </c>
      <c r="B6319" s="1" t="str">
        <f>"9780826107015"</f>
        <v>9780826107015</v>
      </c>
      <c r="C6319" s="1" t="s">
        <v>2339</v>
      </c>
      <c r="D6319" s="2">
        <v>41232</v>
      </c>
      <c r="E6319" s="1" t="s">
        <v>12626</v>
      </c>
      <c r="F6319" s="1" t="s">
        <v>13</v>
      </c>
    </row>
    <row r="6320" spans="1:6" ht="30" customHeight="1" x14ac:dyDescent="0.25">
      <c r="A6320" s="1" t="s">
        <v>12627</v>
      </c>
      <c r="B6320" s="1" t="str">
        <f>"9780826109460"</f>
        <v>9780826109460</v>
      </c>
      <c r="C6320" s="1" t="s">
        <v>2339</v>
      </c>
      <c r="D6320" s="2">
        <v>41153</v>
      </c>
      <c r="E6320" s="1" t="s">
        <v>12628</v>
      </c>
      <c r="F6320" s="1" t="s">
        <v>126</v>
      </c>
    </row>
    <row r="6321" spans="1:6" ht="30" customHeight="1" x14ac:dyDescent="0.25">
      <c r="A6321" s="1" t="s">
        <v>12629</v>
      </c>
      <c r="B6321" s="1" t="str">
        <f>"9780826148131"</f>
        <v>9780826148131</v>
      </c>
      <c r="C6321" s="1" t="s">
        <v>2339</v>
      </c>
      <c r="D6321" s="2">
        <v>41275</v>
      </c>
      <c r="E6321" s="1" t="s">
        <v>12630</v>
      </c>
      <c r="F6321" s="1" t="s">
        <v>126</v>
      </c>
    </row>
    <row r="6322" spans="1:6" ht="30" customHeight="1" x14ac:dyDescent="0.25">
      <c r="A6322" s="1" t="s">
        <v>12631</v>
      </c>
      <c r="B6322" s="1" t="str">
        <f>"9780826157331"</f>
        <v>9780826157331</v>
      </c>
      <c r="C6322" s="1" t="s">
        <v>2339</v>
      </c>
      <c r="D6322" s="2">
        <v>41183</v>
      </c>
      <c r="E6322" s="1" t="s">
        <v>12632</v>
      </c>
      <c r="F6322" s="1" t="s">
        <v>126</v>
      </c>
    </row>
    <row r="6323" spans="1:6" ht="30" customHeight="1" x14ac:dyDescent="0.25">
      <c r="A6323" s="1" t="s">
        <v>12633</v>
      </c>
      <c r="B6323" s="1" t="str">
        <f>"9780826195890"</f>
        <v>9780826195890</v>
      </c>
      <c r="C6323" s="1" t="s">
        <v>2339</v>
      </c>
      <c r="D6323" s="2">
        <v>41592</v>
      </c>
      <c r="E6323" s="1" t="s">
        <v>12634</v>
      </c>
      <c r="F6323" s="1" t="s">
        <v>126</v>
      </c>
    </row>
    <row r="6324" spans="1:6" ht="30" customHeight="1" x14ac:dyDescent="0.25">
      <c r="A6324" s="1" t="s">
        <v>12635</v>
      </c>
      <c r="B6324" s="1" t="str">
        <f>"9780123919434"</f>
        <v>9780123919434</v>
      </c>
      <c r="C6324" s="1" t="s">
        <v>900</v>
      </c>
      <c r="D6324" s="2">
        <v>41260</v>
      </c>
      <c r="E6324" s="1" t="s">
        <v>12636</v>
      </c>
      <c r="F6324" s="1" t="s">
        <v>13</v>
      </c>
    </row>
    <row r="6325" spans="1:6" ht="30" customHeight="1" x14ac:dyDescent="0.25">
      <c r="A6325" s="1" t="s">
        <v>12637</v>
      </c>
      <c r="B6325" s="1" t="str">
        <f>"9780191539572"</f>
        <v>9780191539572</v>
      </c>
      <c r="C6325" s="1" t="s">
        <v>1117</v>
      </c>
      <c r="D6325" s="2">
        <v>40066</v>
      </c>
      <c r="E6325" s="1" t="s">
        <v>12638</v>
      </c>
      <c r="F6325" s="1" t="s">
        <v>13</v>
      </c>
    </row>
    <row r="6326" spans="1:6" ht="30" customHeight="1" x14ac:dyDescent="0.25">
      <c r="A6326" s="1" t="s">
        <v>12639</v>
      </c>
      <c r="B6326" s="1" t="str">
        <f>"9780199700349"</f>
        <v>9780199700349</v>
      </c>
      <c r="C6326" s="1" t="s">
        <v>1123</v>
      </c>
      <c r="D6326" s="2">
        <v>40252</v>
      </c>
      <c r="E6326" s="1" t="s">
        <v>12640</v>
      </c>
      <c r="F6326" s="1" t="s">
        <v>13</v>
      </c>
    </row>
    <row r="6327" spans="1:6" ht="30" customHeight="1" x14ac:dyDescent="0.25">
      <c r="A6327" s="1" t="s">
        <v>12641</v>
      </c>
      <c r="B6327" s="1" t="str">
        <f>"9780191665400"</f>
        <v>9780191665400</v>
      </c>
      <c r="C6327" s="1" t="s">
        <v>1117</v>
      </c>
      <c r="D6327" s="2">
        <v>41179</v>
      </c>
      <c r="E6327" s="1" t="s">
        <v>12642</v>
      </c>
      <c r="F6327" s="1" t="s">
        <v>30</v>
      </c>
    </row>
    <row r="6328" spans="1:6" ht="30" customHeight="1" x14ac:dyDescent="0.25">
      <c r="A6328" s="1" t="s">
        <v>12643</v>
      </c>
      <c r="B6328" s="1" t="str">
        <f>"9781118485941"</f>
        <v>9781118485941</v>
      </c>
      <c r="C6328" s="1" t="s">
        <v>11</v>
      </c>
      <c r="D6328" s="2">
        <v>41226</v>
      </c>
      <c r="E6328" s="1" t="s">
        <v>12644</v>
      </c>
      <c r="F6328" s="1" t="s">
        <v>13</v>
      </c>
    </row>
    <row r="6329" spans="1:6" ht="30" customHeight="1" x14ac:dyDescent="0.25">
      <c r="A6329" s="1" t="s">
        <v>12645</v>
      </c>
      <c r="B6329" s="1" t="str">
        <f>"9781581106435"</f>
        <v>9781581106435</v>
      </c>
      <c r="C6329" s="1" t="s">
        <v>9624</v>
      </c>
      <c r="D6329" s="2">
        <v>41773</v>
      </c>
      <c r="E6329" s="1" t="s">
        <v>12646</v>
      </c>
      <c r="F6329" s="1" t="s">
        <v>13</v>
      </c>
    </row>
    <row r="6330" spans="1:6" ht="30" customHeight="1" x14ac:dyDescent="0.25">
      <c r="A6330" s="1" t="s">
        <v>12647</v>
      </c>
      <c r="B6330" s="1" t="str">
        <f>"9781581106473"</f>
        <v>9781581106473</v>
      </c>
      <c r="C6330" s="1" t="s">
        <v>9624</v>
      </c>
      <c r="D6330" s="2">
        <v>40786</v>
      </c>
      <c r="E6330" s="1" t="s">
        <v>12648</v>
      </c>
      <c r="F6330" s="1" t="s">
        <v>13</v>
      </c>
    </row>
    <row r="6331" spans="1:6" ht="30" customHeight="1" x14ac:dyDescent="0.25">
      <c r="A6331" s="1" t="s">
        <v>12649</v>
      </c>
      <c r="B6331" s="1" t="str">
        <f>"9781581105247"</f>
        <v>9781581105247</v>
      </c>
      <c r="C6331" s="1" t="s">
        <v>9624</v>
      </c>
      <c r="D6331" s="2">
        <v>40817</v>
      </c>
      <c r="E6331" s="1" t="s">
        <v>12650</v>
      </c>
      <c r="F6331" s="1" t="s">
        <v>33</v>
      </c>
    </row>
    <row r="6332" spans="1:6" ht="30" customHeight="1" x14ac:dyDescent="0.25">
      <c r="A6332" s="1" t="s">
        <v>12651</v>
      </c>
      <c r="B6332" s="1" t="str">
        <f>"9781581107562"</f>
        <v>9781581107562</v>
      </c>
      <c r="C6332" s="1" t="s">
        <v>9624</v>
      </c>
      <c r="D6332" s="2">
        <v>41194</v>
      </c>
      <c r="E6332" s="1" t="s">
        <v>12652</v>
      </c>
      <c r="F6332" s="1" t="s">
        <v>13</v>
      </c>
    </row>
    <row r="6333" spans="1:6" ht="30" customHeight="1" x14ac:dyDescent="0.25">
      <c r="A6333" s="1" t="s">
        <v>12653</v>
      </c>
      <c r="B6333" s="1" t="str">
        <f>"9781581107272"</f>
        <v>9781581107272</v>
      </c>
      <c r="C6333" s="1" t="s">
        <v>9624</v>
      </c>
      <c r="D6333" s="2">
        <v>40909</v>
      </c>
      <c r="E6333" s="1" t="s">
        <v>12654</v>
      </c>
      <c r="F6333" s="1" t="s">
        <v>13</v>
      </c>
    </row>
    <row r="6334" spans="1:6" ht="30" customHeight="1" x14ac:dyDescent="0.25">
      <c r="A6334" s="1" t="s">
        <v>12655</v>
      </c>
      <c r="B6334" s="1" t="str">
        <f>"9781581107715"</f>
        <v>9781581107715</v>
      </c>
      <c r="C6334" s="1" t="s">
        <v>9624</v>
      </c>
      <c r="D6334" s="2">
        <v>41211</v>
      </c>
      <c r="E6334" s="1" t="s">
        <v>12656</v>
      </c>
      <c r="F6334" s="1" t="s">
        <v>13</v>
      </c>
    </row>
    <row r="6335" spans="1:6" ht="30" customHeight="1" x14ac:dyDescent="0.25">
      <c r="A6335" s="1" t="s">
        <v>12657</v>
      </c>
      <c r="B6335" s="1" t="str">
        <f>"9781581107722"</f>
        <v>9781581107722</v>
      </c>
      <c r="C6335" s="1" t="s">
        <v>9624</v>
      </c>
      <c r="D6335" s="2">
        <v>41183</v>
      </c>
      <c r="E6335" s="1" t="s">
        <v>12658</v>
      </c>
      <c r="F6335" s="1" t="s">
        <v>13</v>
      </c>
    </row>
    <row r="6336" spans="1:6" ht="30" customHeight="1" x14ac:dyDescent="0.25">
      <c r="A6336" s="1" t="s">
        <v>12659</v>
      </c>
      <c r="B6336" s="1" t="str">
        <f>"9781581106497"</f>
        <v>9781581106497</v>
      </c>
      <c r="C6336" s="1" t="s">
        <v>9624</v>
      </c>
      <c r="D6336" s="2">
        <v>41773</v>
      </c>
      <c r="E6336" s="1" t="s">
        <v>12660</v>
      </c>
      <c r="F6336" s="1" t="s">
        <v>13</v>
      </c>
    </row>
    <row r="6337" spans="1:6" ht="30" customHeight="1" x14ac:dyDescent="0.25">
      <c r="A6337" s="1" t="s">
        <v>12661</v>
      </c>
      <c r="B6337" s="1" t="str">
        <f>"9781581107258"</f>
        <v>9781581107258</v>
      </c>
      <c r="C6337" s="1" t="s">
        <v>9624</v>
      </c>
      <c r="D6337" s="2">
        <v>40879</v>
      </c>
      <c r="E6337" s="1" t="s">
        <v>12662</v>
      </c>
      <c r="F6337" s="1" t="s">
        <v>356</v>
      </c>
    </row>
    <row r="6338" spans="1:6" ht="30" customHeight="1" x14ac:dyDescent="0.25">
      <c r="A6338" s="1" t="s">
        <v>12663</v>
      </c>
      <c r="B6338" s="1" t="str">
        <f>"9781581106527"</f>
        <v>9781581106527</v>
      </c>
      <c r="C6338" s="1" t="s">
        <v>9624</v>
      </c>
      <c r="D6338" s="2">
        <v>40819</v>
      </c>
      <c r="E6338" s="1" t="s">
        <v>12664</v>
      </c>
      <c r="F6338" s="1" t="s">
        <v>13</v>
      </c>
    </row>
    <row r="6339" spans="1:6" ht="30" customHeight="1" x14ac:dyDescent="0.25">
      <c r="A6339" s="1" t="s">
        <v>12665</v>
      </c>
      <c r="B6339" s="1" t="str">
        <f>"9781581107630"</f>
        <v>9781581107630</v>
      </c>
      <c r="C6339" s="1" t="s">
        <v>9624</v>
      </c>
      <c r="D6339" s="2">
        <v>41197</v>
      </c>
      <c r="E6339" s="1" t="s">
        <v>12666</v>
      </c>
      <c r="F6339" s="1" t="s">
        <v>406</v>
      </c>
    </row>
    <row r="6340" spans="1:6" ht="30" customHeight="1" x14ac:dyDescent="0.25">
      <c r="A6340" s="1" t="s">
        <v>12667</v>
      </c>
      <c r="B6340" s="1" t="str">
        <f>"9781581107746"</f>
        <v>9781581107746</v>
      </c>
      <c r="C6340" s="1" t="s">
        <v>9624</v>
      </c>
      <c r="D6340" s="2">
        <v>41122</v>
      </c>
      <c r="E6340" s="1" t="s">
        <v>12668</v>
      </c>
      <c r="F6340" s="1" t="s">
        <v>234</v>
      </c>
    </row>
    <row r="6341" spans="1:6" ht="30" customHeight="1" x14ac:dyDescent="0.25">
      <c r="A6341" s="1" t="s">
        <v>12669</v>
      </c>
      <c r="B6341" s="1" t="str">
        <f>"9781581107050"</f>
        <v>9781581107050</v>
      </c>
      <c r="C6341" s="1" t="s">
        <v>9624</v>
      </c>
      <c r="D6341" s="2">
        <v>40911</v>
      </c>
      <c r="E6341" s="1" t="s">
        <v>12670</v>
      </c>
      <c r="F6341" s="1" t="s">
        <v>13</v>
      </c>
    </row>
    <row r="6342" spans="1:6" ht="30" customHeight="1" x14ac:dyDescent="0.25">
      <c r="A6342" s="1" t="s">
        <v>12671</v>
      </c>
      <c r="B6342" s="1" t="str">
        <f>"9780080877808"</f>
        <v>9780080877808</v>
      </c>
      <c r="C6342" s="1" t="s">
        <v>900</v>
      </c>
      <c r="D6342" s="2">
        <v>41274</v>
      </c>
      <c r="E6342" s="1" t="s">
        <v>12672</v>
      </c>
      <c r="F6342" s="1" t="s">
        <v>13</v>
      </c>
    </row>
    <row r="6343" spans="1:6" ht="30" customHeight="1" x14ac:dyDescent="0.25">
      <c r="A6343" s="1" t="s">
        <v>12673</v>
      </c>
      <c r="B6343" s="1" t="str">
        <f>"9781782410430"</f>
        <v>9781782410430</v>
      </c>
      <c r="C6343" s="1" t="s">
        <v>8994</v>
      </c>
      <c r="D6343" s="2">
        <v>41214</v>
      </c>
      <c r="E6343" s="1" t="s">
        <v>9073</v>
      </c>
      <c r="F6343" s="1" t="s">
        <v>13</v>
      </c>
    </row>
    <row r="6344" spans="1:6" ht="30" customHeight="1" x14ac:dyDescent="0.25">
      <c r="A6344" s="1" t="s">
        <v>12674</v>
      </c>
      <c r="B6344" s="1" t="str">
        <f>"9781617050596"</f>
        <v>9781617050596</v>
      </c>
      <c r="C6344" s="1" t="s">
        <v>2342</v>
      </c>
      <c r="D6344" s="2">
        <v>40893</v>
      </c>
      <c r="E6344" s="1" t="s">
        <v>12675</v>
      </c>
      <c r="F6344" s="1" t="s">
        <v>13</v>
      </c>
    </row>
    <row r="6345" spans="1:6" ht="30" customHeight="1" x14ac:dyDescent="0.25">
      <c r="A6345" s="1" t="s">
        <v>12676</v>
      </c>
      <c r="B6345" s="1" t="str">
        <f>"9780826107435"</f>
        <v>9780826107435</v>
      </c>
      <c r="C6345" s="1" t="s">
        <v>2339</v>
      </c>
      <c r="D6345" s="2">
        <v>41229</v>
      </c>
      <c r="E6345" s="1" t="s">
        <v>12677</v>
      </c>
      <c r="F6345" s="1" t="s">
        <v>95</v>
      </c>
    </row>
    <row r="6346" spans="1:6" ht="30" customHeight="1" x14ac:dyDescent="0.25">
      <c r="A6346" s="1" t="s">
        <v>12678</v>
      </c>
      <c r="B6346" s="1" t="str">
        <f>"9781933286624"</f>
        <v>9781933286624</v>
      </c>
      <c r="C6346" s="1" t="s">
        <v>1509</v>
      </c>
      <c r="D6346" s="2">
        <v>41152</v>
      </c>
      <c r="E6346" s="1" t="s">
        <v>12679</v>
      </c>
      <c r="F6346" s="1" t="s">
        <v>13</v>
      </c>
    </row>
    <row r="6347" spans="1:6" ht="30" customHeight="1" x14ac:dyDescent="0.25">
      <c r="A6347" s="1" t="s">
        <v>12680</v>
      </c>
      <c r="B6347" s="1" t="str">
        <f>"9781599474021"</f>
        <v>9781599474021</v>
      </c>
      <c r="C6347" s="1" t="s">
        <v>9984</v>
      </c>
      <c r="D6347" s="2">
        <v>41214</v>
      </c>
      <c r="E6347" s="1" t="s">
        <v>12681</v>
      </c>
      <c r="F6347" s="1" t="s">
        <v>13</v>
      </c>
    </row>
    <row r="6348" spans="1:6" ht="30" customHeight="1" x14ac:dyDescent="0.25">
      <c r="A6348" s="1" t="s">
        <v>12682</v>
      </c>
      <c r="B6348" s="1" t="str">
        <f>"9780765709288"</f>
        <v>9780765709288</v>
      </c>
      <c r="C6348" s="1" t="s">
        <v>6903</v>
      </c>
      <c r="D6348" s="2">
        <v>41234</v>
      </c>
      <c r="E6348" s="1" t="s">
        <v>12683</v>
      </c>
      <c r="F6348" s="1" t="s">
        <v>13</v>
      </c>
    </row>
    <row r="6349" spans="1:6" ht="30" customHeight="1" x14ac:dyDescent="0.25">
      <c r="A6349" s="1" t="s">
        <v>12684</v>
      </c>
      <c r="B6349" s="1" t="str">
        <f>"9781139811439"</f>
        <v>9781139811439</v>
      </c>
      <c r="C6349" s="1" t="s">
        <v>25</v>
      </c>
      <c r="D6349" s="2">
        <v>39692</v>
      </c>
      <c r="E6349" s="1" t="s">
        <v>12685</v>
      </c>
      <c r="F6349" s="1" t="s">
        <v>13</v>
      </c>
    </row>
    <row r="6350" spans="1:6" ht="30" customHeight="1" x14ac:dyDescent="0.25">
      <c r="A6350" s="1" t="s">
        <v>12686</v>
      </c>
      <c r="B6350" s="1" t="str">
        <f>"9781581106213"</f>
        <v>9781581106213</v>
      </c>
      <c r="C6350" s="1" t="s">
        <v>9624</v>
      </c>
      <c r="D6350" s="2">
        <v>41258</v>
      </c>
      <c r="E6350" s="1" t="s">
        <v>12687</v>
      </c>
      <c r="F6350" s="1" t="s">
        <v>13</v>
      </c>
    </row>
    <row r="6351" spans="1:6" ht="30" customHeight="1" x14ac:dyDescent="0.25">
      <c r="A6351" s="1" t="s">
        <v>12688</v>
      </c>
      <c r="B6351" s="1" t="str">
        <f>"9781447306955"</f>
        <v>9781447306955</v>
      </c>
      <c r="C6351" s="1" t="s">
        <v>5446</v>
      </c>
      <c r="D6351" s="2">
        <v>41227</v>
      </c>
      <c r="E6351" s="1" t="s">
        <v>12689</v>
      </c>
      <c r="F6351" s="1" t="s">
        <v>95</v>
      </c>
    </row>
    <row r="6352" spans="1:6" ht="30" customHeight="1" x14ac:dyDescent="0.25">
      <c r="A6352" s="1" t="s">
        <v>12690</v>
      </c>
      <c r="B6352" s="1" t="str">
        <f>"9780807837436"</f>
        <v>9780807837436</v>
      </c>
      <c r="C6352" s="1" t="s">
        <v>4843</v>
      </c>
      <c r="D6352" s="2">
        <v>41239</v>
      </c>
      <c r="E6352" s="1" t="s">
        <v>12691</v>
      </c>
      <c r="F6352" s="1" t="s">
        <v>12692</v>
      </c>
    </row>
    <row r="6353" spans="1:6" ht="30" customHeight="1" x14ac:dyDescent="0.25">
      <c r="A6353" s="1" t="s">
        <v>12693</v>
      </c>
      <c r="B6353" s="1" t="str">
        <f>"9789004201286"</f>
        <v>9789004201286</v>
      </c>
      <c r="C6353" s="1" t="s">
        <v>906</v>
      </c>
      <c r="D6353" s="2">
        <v>41773</v>
      </c>
      <c r="E6353" s="1" t="s">
        <v>12694</v>
      </c>
      <c r="F6353" s="1" t="s">
        <v>12695</v>
      </c>
    </row>
    <row r="6354" spans="1:6" ht="30" customHeight="1" x14ac:dyDescent="0.25">
      <c r="A6354" s="1" t="s">
        <v>12696</v>
      </c>
      <c r="B6354" s="1" t="str">
        <f>"9789004187443"</f>
        <v>9789004187443</v>
      </c>
      <c r="C6354" s="1" t="s">
        <v>906</v>
      </c>
      <c r="D6354" s="2">
        <v>40422</v>
      </c>
      <c r="E6354" s="1" t="s">
        <v>12697</v>
      </c>
      <c r="F6354" s="1" t="s">
        <v>148</v>
      </c>
    </row>
    <row r="6355" spans="1:6" ht="30" customHeight="1" x14ac:dyDescent="0.25">
      <c r="A6355" s="1" t="s">
        <v>12698</v>
      </c>
      <c r="B6355" s="1" t="str">
        <f>"9781443828246"</f>
        <v>9781443828246</v>
      </c>
      <c r="C6355" s="1" t="s">
        <v>12699</v>
      </c>
      <c r="D6355" s="2">
        <v>40634</v>
      </c>
      <c r="E6355" s="1" t="s">
        <v>12700</v>
      </c>
      <c r="F6355" s="1" t="s">
        <v>13</v>
      </c>
    </row>
    <row r="6356" spans="1:6" ht="30" customHeight="1" x14ac:dyDescent="0.25">
      <c r="A6356" s="1" t="s">
        <v>12701</v>
      </c>
      <c r="B6356" s="1" t="str">
        <f>"9789812792785"</f>
        <v>9789812792785</v>
      </c>
      <c r="C6356" s="1" t="s">
        <v>881</v>
      </c>
      <c r="D6356" s="2">
        <v>41773</v>
      </c>
      <c r="E6356" s="1" t="s">
        <v>12702</v>
      </c>
      <c r="F6356" s="1" t="s">
        <v>13</v>
      </c>
    </row>
    <row r="6357" spans="1:6" ht="30" customHeight="1" x14ac:dyDescent="0.25">
      <c r="A6357" s="1" t="s">
        <v>12703</v>
      </c>
      <c r="B6357" s="1" t="str">
        <f>"9789812811486"</f>
        <v>9789812811486</v>
      </c>
      <c r="C6357" s="1" t="s">
        <v>881</v>
      </c>
      <c r="D6357" s="2">
        <v>41773</v>
      </c>
      <c r="E6357" s="1" t="s">
        <v>12704</v>
      </c>
      <c r="F6357" s="1" t="s">
        <v>963</v>
      </c>
    </row>
    <row r="6358" spans="1:6" ht="30" customHeight="1" x14ac:dyDescent="0.25">
      <c r="A6358" s="1" t="s">
        <v>12705</v>
      </c>
      <c r="B6358" s="1" t="str">
        <f>"9789814299794"</f>
        <v>9789814299794</v>
      </c>
      <c r="C6358" s="1" t="s">
        <v>881</v>
      </c>
      <c r="D6358" s="2">
        <v>41773</v>
      </c>
      <c r="E6358" s="1" t="s">
        <v>12706</v>
      </c>
      <c r="F6358" s="1" t="s">
        <v>13</v>
      </c>
    </row>
    <row r="6359" spans="1:6" ht="30" customHeight="1" x14ac:dyDescent="0.25">
      <c r="A6359" s="1" t="s">
        <v>12707</v>
      </c>
      <c r="B6359" s="1" t="str">
        <f>"9789814350457"</f>
        <v>9789814350457</v>
      </c>
      <c r="C6359" s="1" t="s">
        <v>881</v>
      </c>
      <c r="D6359" s="2">
        <v>41773</v>
      </c>
      <c r="E6359" s="1" t="s">
        <v>12708</v>
      </c>
      <c r="F6359" s="1" t="s">
        <v>1568</v>
      </c>
    </row>
    <row r="6360" spans="1:6" ht="30" customHeight="1" x14ac:dyDescent="0.25">
      <c r="A6360" s="1" t="s">
        <v>12709</v>
      </c>
      <c r="B6360" s="1" t="str">
        <f>"9780807145340"</f>
        <v>9780807145340</v>
      </c>
      <c r="C6360" s="1" t="s">
        <v>12710</v>
      </c>
      <c r="D6360" s="2">
        <v>41306</v>
      </c>
      <c r="E6360" s="1" t="s">
        <v>12711</v>
      </c>
      <c r="F6360" s="1" t="s">
        <v>1338</v>
      </c>
    </row>
    <row r="6361" spans="1:6" ht="30" customHeight="1" x14ac:dyDescent="0.25">
      <c r="A6361" s="1" t="s">
        <v>12712</v>
      </c>
      <c r="B6361" s="1" t="str">
        <f>"9781584658283"</f>
        <v>9781584658283</v>
      </c>
      <c r="C6361" s="1" t="s">
        <v>12713</v>
      </c>
      <c r="D6361" s="2">
        <v>40071</v>
      </c>
      <c r="E6361" s="1" t="s">
        <v>12714</v>
      </c>
      <c r="F6361" s="1" t="s">
        <v>13</v>
      </c>
    </row>
    <row r="6362" spans="1:6" ht="30" customHeight="1" x14ac:dyDescent="0.25">
      <c r="A6362" s="1" t="s">
        <v>12715</v>
      </c>
      <c r="B6362" s="1" t="str">
        <f>"9781584658788"</f>
        <v>9781584658788</v>
      </c>
      <c r="C6362" s="1" t="s">
        <v>12716</v>
      </c>
      <c r="D6362" s="2">
        <v>40132</v>
      </c>
      <c r="E6362" s="1" t="s">
        <v>12717</v>
      </c>
      <c r="F6362" s="1" t="s">
        <v>13</v>
      </c>
    </row>
    <row r="6363" spans="1:6" ht="30" customHeight="1" x14ac:dyDescent="0.25">
      <c r="A6363" s="1" t="s">
        <v>12718</v>
      </c>
      <c r="B6363" s="1" t="str">
        <f>"9781611680188"</f>
        <v>9781611680188</v>
      </c>
      <c r="C6363" s="1" t="s">
        <v>12713</v>
      </c>
      <c r="D6363" s="2">
        <v>40673</v>
      </c>
      <c r="E6363" s="1" t="s">
        <v>12719</v>
      </c>
      <c r="F6363" s="1" t="s">
        <v>95</v>
      </c>
    </row>
    <row r="6364" spans="1:6" ht="30" customHeight="1" x14ac:dyDescent="0.25">
      <c r="A6364" s="1" t="s">
        <v>12720</v>
      </c>
      <c r="B6364" s="1" t="str">
        <f>"9781611680201"</f>
        <v>9781611680201</v>
      </c>
      <c r="C6364" s="1" t="s">
        <v>12713</v>
      </c>
      <c r="D6364" s="2">
        <v>40736</v>
      </c>
      <c r="E6364" s="1" t="s">
        <v>12721</v>
      </c>
      <c r="F6364" s="1" t="s">
        <v>13</v>
      </c>
    </row>
    <row r="6365" spans="1:6" ht="30" customHeight="1" x14ac:dyDescent="0.25">
      <c r="A6365" s="1" t="s">
        <v>12722</v>
      </c>
      <c r="B6365" s="1" t="str">
        <f>"9781611680102"</f>
        <v>9781611680102</v>
      </c>
      <c r="C6365" s="1" t="s">
        <v>12713</v>
      </c>
      <c r="D6365" s="2">
        <v>40736</v>
      </c>
      <c r="E6365" s="1" t="s">
        <v>12723</v>
      </c>
      <c r="F6365" s="1" t="s">
        <v>13</v>
      </c>
    </row>
    <row r="6366" spans="1:6" ht="30" customHeight="1" x14ac:dyDescent="0.25">
      <c r="A6366" s="1" t="s">
        <v>12724</v>
      </c>
      <c r="B6366" s="1" t="str">
        <f>"9781611682526"</f>
        <v>9781611682526</v>
      </c>
      <c r="C6366" s="1" t="s">
        <v>12713</v>
      </c>
      <c r="D6366" s="2">
        <v>41072</v>
      </c>
      <c r="E6366" s="1" t="s">
        <v>12725</v>
      </c>
      <c r="F6366" s="1" t="s">
        <v>205</v>
      </c>
    </row>
    <row r="6367" spans="1:6" ht="30" customHeight="1" x14ac:dyDescent="0.25">
      <c r="A6367" s="1" t="s">
        <v>12726</v>
      </c>
      <c r="B6367" s="1" t="str">
        <f>"9781611682687"</f>
        <v>9781611682687</v>
      </c>
      <c r="C6367" s="1" t="s">
        <v>12713</v>
      </c>
      <c r="D6367" s="2">
        <v>41037</v>
      </c>
      <c r="E6367" s="1" t="s">
        <v>12727</v>
      </c>
      <c r="F6367" s="1" t="s">
        <v>301</v>
      </c>
    </row>
    <row r="6368" spans="1:6" ht="30" customHeight="1" x14ac:dyDescent="0.25">
      <c r="A6368" s="1" t="s">
        <v>12728</v>
      </c>
      <c r="B6368" s="1" t="str">
        <f>"9789401200363"</f>
        <v>9789401200363</v>
      </c>
      <c r="C6368" s="1" t="s">
        <v>7988</v>
      </c>
      <c r="D6368" s="2">
        <v>40909</v>
      </c>
      <c r="E6368" s="1" t="s">
        <v>12729</v>
      </c>
      <c r="F6368" s="1" t="s">
        <v>599</v>
      </c>
    </row>
    <row r="6369" spans="1:6" ht="30" customHeight="1" x14ac:dyDescent="0.25">
      <c r="A6369" s="1" t="s">
        <v>12730</v>
      </c>
      <c r="B6369" s="1" t="str">
        <f>"9780520954526"</f>
        <v>9780520954526</v>
      </c>
      <c r="C6369" s="1" t="s">
        <v>818</v>
      </c>
      <c r="D6369" s="2">
        <v>41275</v>
      </c>
      <c r="E6369" s="1" t="s">
        <v>12731</v>
      </c>
      <c r="F6369" s="1" t="s">
        <v>158</v>
      </c>
    </row>
    <row r="6370" spans="1:6" ht="30" customHeight="1" x14ac:dyDescent="0.25">
      <c r="A6370" s="1" t="s">
        <v>12732</v>
      </c>
      <c r="B6370" s="1" t="str">
        <f>"9781782410508"</f>
        <v>9781782410508</v>
      </c>
      <c r="C6370" s="1" t="s">
        <v>68</v>
      </c>
      <c r="D6370" s="2">
        <v>41275</v>
      </c>
      <c r="E6370" s="1" t="s">
        <v>12733</v>
      </c>
      <c r="F6370" s="1" t="s">
        <v>13</v>
      </c>
    </row>
    <row r="6371" spans="1:6" ht="30" customHeight="1" x14ac:dyDescent="0.25">
      <c r="A6371" s="1" t="s">
        <v>12734</v>
      </c>
      <c r="B6371" s="1" t="str">
        <f>"9781611684094"</f>
        <v>9781611684094</v>
      </c>
      <c r="C6371" s="1" t="s">
        <v>12713</v>
      </c>
      <c r="D6371" s="2">
        <v>41464</v>
      </c>
      <c r="E6371" s="1" t="s">
        <v>12735</v>
      </c>
      <c r="F6371" s="1" t="s">
        <v>30</v>
      </c>
    </row>
    <row r="6372" spans="1:6" ht="30" customHeight="1" x14ac:dyDescent="0.25">
      <c r="A6372" s="1" t="s">
        <v>12736</v>
      </c>
      <c r="B6372" s="1" t="str">
        <f>"9781907830709"</f>
        <v>9781907830709</v>
      </c>
      <c r="C6372" s="1" t="s">
        <v>11198</v>
      </c>
      <c r="D6372" s="2">
        <v>41260</v>
      </c>
      <c r="E6372" s="1" t="s">
        <v>12737</v>
      </c>
      <c r="F6372" s="1" t="s">
        <v>82</v>
      </c>
    </row>
    <row r="6373" spans="1:6" ht="30" customHeight="1" x14ac:dyDescent="0.25">
      <c r="A6373" s="1" t="s">
        <v>12738</v>
      </c>
      <c r="B6373" s="1" t="str">
        <f>"9781455731299"</f>
        <v>9781455731299</v>
      </c>
      <c r="C6373" s="1" t="s">
        <v>10526</v>
      </c>
      <c r="D6373" s="2">
        <v>41274</v>
      </c>
      <c r="E6373" s="1" t="s">
        <v>12739</v>
      </c>
      <c r="F6373" s="1" t="s">
        <v>13</v>
      </c>
    </row>
    <row r="6374" spans="1:6" ht="30" customHeight="1" x14ac:dyDescent="0.25">
      <c r="A6374" s="1" t="s">
        <v>12740</v>
      </c>
      <c r="B6374" s="1" t="str">
        <f>"9781782410584"</f>
        <v>9781782410584</v>
      </c>
      <c r="C6374" s="1" t="s">
        <v>8994</v>
      </c>
      <c r="D6374" s="2">
        <v>41275</v>
      </c>
      <c r="E6374" s="1" t="s">
        <v>12741</v>
      </c>
      <c r="F6374" s="1" t="s">
        <v>291</v>
      </c>
    </row>
    <row r="6375" spans="1:6" ht="30" customHeight="1" x14ac:dyDescent="0.25">
      <c r="A6375" s="1" t="s">
        <v>12742</v>
      </c>
      <c r="B6375" s="1" t="str">
        <f>"9780199720330"</f>
        <v>9780199720330</v>
      </c>
      <c r="C6375" s="1" t="s">
        <v>1120</v>
      </c>
      <c r="D6375" s="2">
        <v>41236</v>
      </c>
      <c r="E6375" s="1" t="s">
        <v>12743</v>
      </c>
      <c r="F6375" s="1" t="s">
        <v>13</v>
      </c>
    </row>
    <row r="6376" spans="1:6" ht="30" customHeight="1" x14ac:dyDescent="0.25">
      <c r="A6376" s="1" t="s">
        <v>12744</v>
      </c>
      <c r="B6376" s="1" t="str">
        <f>"9781603447485"</f>
        <v>9781603447485</v>
      </c>
      <c r="C6376" s="1" t="s">
        <v>12745</v>
      </c>
      <c r="D6376" s="2">
        <v>40987</v>
      </c>
      <c r="E6376" s="1" t="s">
        <v>12746</v>
      </c>
      <c r="F6376" s="1" t="s">
        <v>12747</v>
      </c>
    </row>
    <row r="6377" spans="1:6" ht="30" customHeight="1" x14ac:dyDescent="0.25">
      <c r="A6377" s="1" t="s">
        <v>12748</v>
      </c>
      <c r="B6377" s="1" t="str">
        <f>"9781782410461"</f>
        <v>9781782410461</v>
      </c>
      <c r="C6377" s="1" t="s">
        <v>8994</v>
      </c>
      <c r="D6377" s="2">
        <v>41275</v>
      </c>
      <c r="E6377" s="1" t="s">
        <v>12749</v>
      </c>
      <c r="F6377" s="1" t="s">
        <v>104</v>
      </c>
    </row>
    <row r="6378" spans="1:6" ht="30" customHeight="1" x14ac:dyDescent="0.25">
      <c r="A6378" s="1" t="s">
        <v>12750</v>
      </c>
      <c r="B6378" s="1" t="str">
        <f>"9781782410485"</f>
        <v>9781782410485</v>
      </c>
      <c r="C6378" s="1" t="s">
        <v>68</v>
      </c>
      <c r="D6378" s="2">
        <v>41275</v>
      </c>
      <c r="E6378" s="1" t="s">
        <v>12751</v>
      </c>
      <c r="F6378" s="1" t="s">
        <v>291</v>
      </c>
    </row>
    <row r="6379" spans="1:6" ht="30" customHeight="1" x14ac:dyDescent="0.25">
      <c r="A6379" s="1" t="s">
        <v>12752</v>
      </c>
      <c r="B6379" s="1" t="str">
        <f>"9780511413339"</f>
        <v>9780511413339</v>
      </c>
      <c r="C6379" s="1" t="s">
        <v>25</v>
      </c>
      <c r="D6379" s="2">
        <v>39873</v>
      </c>
      <c r="E6379" s="1" t="s">
        <v>12753</v>
      </c>
      <c r="F6379" s="1" t="s">
        <v>205</v>
      </c>
    </row>
    <row r="6380" spans="1:6" ht="30" customHeight="1" x14ac:dyDescent="0.25">
      <c r="A6380" s="1" t="s">
        <v>12754</v>
      </c>
      <c r="B6380" s="1" t="str">
        <f>"9781139855259"</f>
        <v>9781139855259</v>
      </c>
      <c r="C6380" s="1" t="s">
        <v>25</v>
      </c>
      <c r="D6380" s="2">
        <v>40437</v>
      </c>
      <c r="E6380" s="1" t="s">
        <v>12755</v>
      </c>
      <c r="F6380" s="1" t="s">
        <v>13</v>
      </c>
    </row>
    <row r="6381" spans="1:6" ht="30" customHeight="1" x14ac:dyDescent="0.25">
      <c r="A6381" s="1" t="s">
        <v>12756</v>
      </c>
      <c r="B6381" s="1" t="str">
        <f>"9781139855310"</f>
        <v>9781139855310</v>
      </c>
      <c r="C6381" s="1" t="s">
        <v>25</v>
      </c>
      <c r="D6381" s="2">
        <v>40224</v>
      </c>
      <c r="E6381" s="1" t="s">
        <v>12757</v>
      </c>
      <c r="F6381" s="1" t="s">
        <v>13</v>
      </c>
    </row>
    <row r="6382" spans="1:6" ht="30" customHeight="1" x14ac:dyDescent="0.25">
      <c r="A6382" s="1" t="s">
        <v>12758</v>
      </c>
      <c r="B6382" s="1" t="str">
        <f>"9781139638807"</f>
        <v>9781139638807</v>
      </c>
      <c r="C6382" s="1" t="s">
        <v>25</v>
      </c>
      <c r="D6382" s="2">
        <v>39755</v>
      </c>
      <c r="E6382" s="1" t="s">
        <v>12759</v>
      </c>
      <c r="F6382" s="1" t="s">
        <v>356</v>
      </c>
    </row>
    <row r="6383" spans="1:6" ht="30" customHeight="1" x14ac:dyDescent="0.25">
      <c r="A6383" s="1" t="s">
        <v>12760</v>
      </c>
      <c r="B6383" s="1" t="str">
        <f>"9780765709660"</f>
        <v>9780765709660</v>
      </c>
      <c r="C6383" s="1" t="s">
        <v>6903</v>
      </c>
      <c r="D6383" s="2">
        <v>41270</v>
      </c>
      <c r="E6383" s="1" t="s">
        <v>12761</v>
      </c>
      <c r="F6383" s="1" t="s">
        <v>13</v>
      </c>
    </row>
    <row r="6384" spans="1:6" ht="30" customHeight="1" x14ac:dyDescent="0.25">
      <c r="A6384" s="1" t="s">
        <v>12762</v>
      </c>
      <c r="B6384" s="1" t="str">
        <f>"9781118418840"</f>
        <v>9781118418840</v>
      </c>
      <c r="C6384" s="1" t="s">
        <v>65</v>
      </c>
      <c r="D6384" s="2">
        <v>41255</v>
      </c>
      <c r="E6384" s="1" t="s">
        <v>12763</v>
      </c>
      <c r="F6384" s="1" t="s">
        <v>30</v>
      </c>
    </row>
    <row r="6385" spans="1:6" ht="30" customHeight="1" x14ac:dyDescent="0.25">
      <c r="A6385" s="1" t="s">
        <v>12764</v>
      </c>
      <c r="B6385" s="1" t="str">
        <f>"9781118464656"</f>
        <v>9781118464656</v>
      </c>
      <c r="C6385" s="1" t="s">
        <v>11</v>
      </c>
      <c r="D6385" s="2">
        <v>41255</v>
      </c>
      <c r="E6385" s="1" t="s">
        <v>12765</v>
      </c>
      <c r="F6385" s="1" t="s">
        <v>2073</v>
      </c>
    </row>
    <row r="6386" spans="1:6" ht="30" customHeight="1" x14ac:dyDescent="0.25">
      <c r="A6386" s="1" t="s">
        <v>12766</v>
      </c>
      <c r="B6386" s="1" t="str">
        <f>"9780123851840"</f>
        <v>9780123851840</v>
      </c>
      <c r="C6386" s="1" t="s">
        <v>900</v>
      </c>
      <c r="D6386" s="2">
        <v>41274</v>
      </c>
      <c r="E6386" s="1" t="s">
        <v>12767</v>
      </c>
      <c r="F6386" s="1" t="s">
        <v>13</v>
      </c>
    </row>
    <row r="6387" spans="1:6" ht="30" customHeight="1" x14ac:dyDescent="0.25">
      <c r="A6387" s="1" t="s">
        <v>12768</v>
      </c>
      <c r="B6387" s="1" t="str">
        <f>"9781782410560"</f>
        <v>9781782410560</v>
      </c>
      <c r="C6387" s="1" t="s">
        <v>68</v>
      </c>
      <c r="D6387" s="2">
        <v>41334</v>
      </c>
      <c r="E6387" s="1" t="s">
        <v>12769</v>
      </c>
      <c r="F6387" s="1" t="s">
        <v>104</v>
      </c>
    </row>
    <row r="6388" spans="1:6" ht="30" customHeight="1" x14ac:dyDescent="0.25">
      <c r="A6388" s="1" t="s">
        <v>12770</v>
      </c>
      <c r="B6388" s="1" t="str">
        <f>"9781782410577"</f>
        <v>9781782410577</v>
      </c>
      <c r="C6388" s="1" t="s">
        <v>8994</v>
      </c>
      <c r="D6388" s="2">
        <v>41275</v>
      </c>
      <c r="E6388" s="1" t="s">
        <v>12771</v>
      </c>
      <c r="F6388" s="1" t="s">
        <v>104</v>
      </c>
    </row>
    <row r="6389" spans="1:6" ht="30" customHeight="1" x14ac:dyDescent="0.25">
      <c r="A6389" s="1" t="s">
        <v>12772</v>
      </c>
      <c r="B6389" s="1" t="str">
        <f>"9781780324258"</f>
        <v>9781780324258</v>
      </c>
      <c r="C6389" s="1" t="s">
        <v>8476</v>
      </c>
      <c r="D6389" s="2">
        <v>41284</v>
      </c>
      <c r="E6389" s="1" t="s">
        <v>12773</v>
      </c>
      <c r="F6389" s="1" t="s">
        <v>95</v>
      </c>
    </row>
    <row r="6390" spans="1:6" ht="30" customHeight="1" x14ac:dyDescent="0.25">
      <c r="A6390" s="1" t="s">
        <v>12774</v>
      </c>
      <c r="B6390" s="1" t="str">
        <f>"9780199930685"</f>
        <v>9780199930685</v>
      </c>
      <c r="C6390" s="1" t="s">
        <v>1123</v>
      </c>
      <c r="D6390" s="2">
        <v>40990</v>
      </c>
      <c r="E6390" s="1" t="s">
        <v>12775</v>
      </c>
      <c r="F6390" s="1" t="s">
        <v>599</v>
      </c>
    </row>
    <row r="6391" spans="1:6" ht="30" customHeight="1" x14ac:dyDescent="0.25">
      <c r="A6391" s="1" t="s">
        <v>12776</v>
      </c>
      <c r="B6391" s="1" t="str">
        <f>"9789004235519"</f>
        <v>9789004235519</v>
      </c>
      <c r="C6391" s="1" t="s">
        <v>906</v>
      </c>
      <c r="D6391" s="2">
        <v>41183</v>
      </c>
      <c r="E6391" s="1" t="s">
        <v>12777</v>
      </c>
      <c r="F6391" s="1" t="s">
        <v>13</v>
      </c>
    </row>
    <row r="6392" spans="1:6" ht="30" customHeight="1" x14ac:dyDescent="0.25">
      <c r="A6392" s="1" t="s">
        <v>12778</v>
      </c>
      <c r="B6392" s="1" t="str">
        <f>"9781608052165"</f>
        <v>9781608052165</v>
      </c>
      <c r="C6392" s="1" t="s">
        <v>11332</v>
      </c>
      <c r="D6392" s="2">
        <v>41276</v>
      </c>
      <c r="E6392" s="1" t="s">
        <v>12779</v>
      </c>
      <c r="F6392" s="1" t="s">
        <v>33</v>
      </c>
    </row>
    <row r="6393" spans="1:6" ht="30" customHeight="1" x14ac:dyDescent="0.25">
      <c r="A6393" s="1" t="s">
        <v>12780</v>
      </c>
      <c r="B6393" s="1" t="str">
        <f>"9781608054664"</f>
        <v>9781608054664</v>
      </c>
      <c r="C6393" s="1" t="s">
        <v>11332</v>
      </c>
      <c r="D6393" s="2">
        <v>41276</v>
      </c>
      <c r="E6393" s="1" t="s">
        <v>12781</v>
      </c>
      <c r="F6393" s="1" t="s">
        <v>4344</v>
      </c>
    </row>
    <row r="6394" spans="1:6" ht="30" customHeight="1" x14ac:dyDescent="0.25">
      <c r="A6394" s="1" t="s">
        <v>12782</v>
      </c>
      <c r="B6394" s="1" t="str">
        <f>"9781608050147"</f>
        <v>9781608050147</v>
      </c>
      <c r="C6394" s="1" t="s">
        <v>11332</v>
      </c>
      <c r="D6394" s="2">
        <v>41276</v>
      </c>
      <c r="E6394" s="1" t="s">
        <v>12783</v>
      </c>
      <c r="F6394" s="1" t="s">
        <v>137</v>
      </c>
    </row>
    <row r="6395" spans="1:6" ht="30" customHeight="1" x14ac:dyDescent="0.25">
      <c r="A6395" s="1" t="s">
        <v>12784</v>
      </c>
      <c r="B6395" s="1" t="str">
        <f>"9781409426349"</f>
        <v>9781409426349</v>
      </c>
      <c r="C6395" s="1" t="s">
        <v>68</v>
      </c>
      <c r="D6395" s="2">
        <v>41326</v>
      </c>
      <c r="E6395" s="1" t="s">
        <v>12785</v>
      </c>
      <c r="F6395" s="1" t="s">
        <v>30</v>
      </c>
    </row>
    <row r="6396" spans="1:6" ht="30" customHeight="1" x14ac:dyDescent="0.25">
      <c r="A6396" s="1" t="s">
        <v>12786</v>
      </c>
      <c r="B6396" s="1" t="str">
        <f>"9781119942665"</f>
        <v>9781119942665</v>
      </c>
      <c r="C6396" s="1" t="s">
        <v>65</v>
      </c>
      <c r="D6396" s="2">
        <v>41262</v>
      </c>
      <c r="E6396" s="1" t="s">
        <v>12787</v>
      </c>
      <c r="F6396" s="1" t="s">
        <v>780</v>
      </c>
    </row>
    <row r="6397" spans="1:6" ht="30" customHeight="1" x14ac:dyDescent="0.25">
      <c r="A6397" s="1" t="s">
        <v>12788</v>
      </c>
      <c r="B6397" s="1" t="str">
        <f>"9781118419311"</f>
        <v>9781118419311</v>
      </c>
      <c r="C6397" s="1" t="s">
        <v>65</v>
      </c>
      <c r="D6397" s="2">
        <v>41277</v>
      </c>
      <c r="E6397" s="1" t="s">
        <v>12789</v>
      </c>
      <c r="F6397" s="1" t="s">
        <v>13</v>
      </c>
    </row>
    <row r="6398" spans="1:6" ht="30" customHeight="1" x14ac:dyDescent="0.25">
      <c r="A6398" s="1" t="s">
        <v>12790</v>
      </c>
      <c r="B6398" s="1" t="str">
        <f>"9781614991458"</f>
        <v>9781614991458</v>
      </c>
      <c r="C6398" s="1" t="s">
        <v>1390</v>
      </c>
      <c r="D6398" s="2">
        <v>41241</v>
      </c>
      <c r="E6398" s="1" t="s">
        <v>12791</v>
      </c>
      <c r="F6398" s="1" t="s">
        <v>291</v>
      </c>
    </row>
    <row r="6399" spans="1:6" ht="30" customHeight="1" x14ac:dyDescent="0.25">
      <c r="A6399" s="1" t="s">
        <v>12792</v>
      </c>
      <c r="B6399" s="1" t="str">
        <f>"9781614991656"</f>
        <v>9781614991656</v>
      </c>
      <c r="C6399" s="1" t="s">
        <v>1390</v>
      </c>
      <c r="D6399" s="2">
        <v>41248</v>
      </c>
      <c r="E6399" s="1" t="s">
        <v>12793</v>
      </c>
      <c r="F6399" s="1" t="s">
        <v>13</v>
      </c>
    </row>
    <row r="6400" spans="1:6" ht="30" customHeight="1" x14ac:dyDescent="0.25">
      <c r="A6400" s="1" t="s">
        <v>12794</v>
      </c>
      <c r="B6400" s="1" t="str">
        <f>"9781907830822"</f>
        <v>9781907830822</v>
      </c>
      <c r="C6400" s="1" t="s">
        <v>11198</v>
      </c>
      <c r="D6400" s="2">
        <v>41281</v>
      </c>
      <c r="E6400" s="1" t="s">
        <v>12795</v>
      </c>
      <c r="F6400" s="1" t="s">
        <v>13</v>
      </c>
    </row>
    <row r="6401" spans="1:6" ht="30" customHeight="1" x14ac:dyDescent="0.25">
      <c r="A6401" s="1" t="s">
        <v>12796</v>
      </c>
      <c r="B6401" s="1" t="str">
        <f>"9781617050787"</f>
        <v>9781617050787</v>
      </c>
      <c r="C6401" s="1" t="s">
        <v>2342</v>
      </c>
      <c r="D6401" s="2">
        <v>41628</v>
      </c>
      <c r="E6401" s="1" t="s">
        <v>12797</v>
      </c>
      <c r="F6401" s="1" t="s">
        <v>13</v>
      </c>
    </row>
    <row r="6402" spans="1:6" ht="30" customHeight="1" x14ac:dyDescent="0.25">
      <c r="A6402" s="1" t="s">
        <v>12798</v>
      </c>
      <c r="B6402" s="1" t="str">
        <f>"9789814440370"</f>
        <v>9789814440370</v>
      </c>
      <c r="C6402" s="1" t="s">
        <v>881</v>
      </c>
      <c r="D6402" s="2">
        <v>41773</v>
      </c>
      <c r="E6402" s="1" t="s">
        <v>12799</v>
      </c>
      <c r="F6402" s="1" t="s">
        <v>13</v>
      </c>
    </row>
    <row r="6403" spans="1:6" ht="30" customHeight="1" x14ac:dyDescent="0.25">
      <c r="A6403" s="1" t="s">
        <v>12800</v>
      </c>
      <c r="B6403" s="1" t="str">
        <f>"9780821397770"</f>
        <v>9780821397770</v>
      </c>
      <c r="C6403" s="1" t="s">
        <v>6702</v>
      </c>
      <c r="D6403" s="2">
        <v>41254</v>
      </c>
      <c r="E6403" s="1" t="s">
        <v>12801</v>
      </c>
      <c r="F6403" s="1" t="s">
        <v>33</v>
      </c>
    </row>
    <row r="6404" spans="1:6" ht="30" customHeight="1" x14ac:dyDescent="0.25">
      <c r="A6404" s="1" t="s">
        <v>12802</v>
      </c>
      <c r="B6404" s="1" t="str">
        <f>"9780821396001"</f>
        <v>9780821396001</v>
      </c>
      <c r="C6404" s="1" t="s">
        <v>6702</v>
      </c>
      <c r="D6404" s="2">
        <v>40909</v>
      </c>
      <c r="E6404" s="1" t="s">
        <v>12803</v>
      </c>
      <c r="F6404" s="1" t="s">
        <v>158</v>
      </c>
    </row>
    <row r="6405" spans="1:6" ht="30" customHeight="1" x14ac:dyDescent="0.25">
      <c r="A6405" s="1" t="s">
        <v>12804</v>
      </c>
      <c r="B6405" s="1" t="str">
        <f>"9780821397619"</f>
        <v>9780821397619</v>
      </c>
      <c r="C6405" s="1" t="s">
        <v>6702</v>
      </c>
      <c r="D6405" s="2">
        <v>40909</v>
      </c>
      <c r="E6405" s="1" t="s">
        <v>12805</v>
      </c>
      <c r="F6405" s="1" t="s">
        <v>33</v>
      </c>
    </row>
    <row r="6406" spans="1:6" ht="30" customHeight="1" x14ac:dyDescent="0.25">
      <c r="A6406" s="1" t="s">
        <v>12806</v>
      </c>
      <c r="B6406" s="1" t="str">
        <f>"9780821397756"</f>
        <v>9780821397756</v>
      </c>
      <c r="C6406" s="1" t="s">
        <v>6702</v>
      </c>
      <c r="D6406" s="2">
        <v>40909</v>
      </c>
      <c r="E6406" s="1" t="s">
        <v>12807</v>
      </c>
      <c r="F6406" s="1" t="s">
        <v>148</v>
      </c>
    </row>
    <row r="6407" spans="1:6" ht="30" customHeight="1" x14ac:dyDescent="0.25">
      <c r="A6407" s="1" t="s">
        <v>12808</v>
      </c>
      <c r="B6407" s="1" t="str">
        <f>"9780826108081"</f>
        <v>9780826108081</v>
      </c>
      <c r="C6407" s="1" t="s">
        <v>2339</v>
      </c>
      <c r="D6407" s="2">
        <v>41302</v>
      </c>
      <c r="E6407" s="1" t="s">
        <v>12809</v>
      </c>
      <c r="F6407" s="1" t="s">
        <v>13</v>
      </c>
    </row>
    <row r="6408" spans="1:6" ht="30" customHeight="1" x14ac:dyDescent="0.25">
      <c r="A6408" s="1" t="s">
        <v>12810</v>
      </c>
      <c r="B6408" s="1" t="str">
        <f>"9781846427145"</f>
        <v>9781846427145</v>
      </c>
      <c r="C6408" s="1" t="s">
        <v>2387</v>
      </c>
      <c r="D6408" s="2">
        <v>39370</v>
      </c>
      <c r="E6408" s="1" t="s">
        <v>12811</v>
      </c>
      <c r="F6408" s="1" t="s">
        <v>13</v>
      </c>
    </row>
    <row r="6409" spans="1:6" ht="30" customHeight="1" x14ac:dyDescent="0.25">
      <c r="A6409" s="1" t="s">
        <v>12812</v>
      </c>
      <c r="B6409" s="1" t="str">
        <f>"9781118419328"</f>
        <v>9781118419328</v>
      </c>
      <c r="C6409" s="1" t="s">
        <v>65</v>
      </c>
      <c r="D6409" s="2">
        <v>41281</v>
      </c>
      <c r="E6409" s="1" t="s">
        <v>12813</v>
      </c>
      <c r="F6409" s="1" t="s">
        <v>13</v>
      </c>
    </row>
    <row r="6410" spans="1:6" ht="30" customHeight="1" x14ac:dyDescent="0.25">
      <c r="A6410" s="1" t="s">
        <v>12814</v>
      </c>
      <c r="B6410" s="1" t="str">
        <f>"9781609381615"</f>
        <v>9781609381615</v>
      </c>
      <c r="C6410" s="1" t="s">
        <v>10985</v>
      </c>
      <c r="D6410" s="2">
        <v>41348</v>
      </c>
      <c r="E6410" s="1" t="s">
        <v>12815</v>
      </c>
      <c r="F6410" s="1" t="s">
        <v>158</v>
      </c>
    </row>
    <row r="6411" spans="1:6" ht="30" customHeight="1" x14ac:dyDescent="0.25">
      <c r="A6411" s="1" t="s">
        <v>12816</v>
      </c>
      <c r="B6411" s="1" t="str">
        <f>"9781118353103"</f>
        <v>9781118353103</v>
      </c>
      <c r="C6411" s="1" t="s">
        <v>65</v>
      </c>
      <c r="D6411" s="2">
        <v>41303</v>
      </c>
      <c r="E6411" s="1" t="s">
        <v>12817</v>
      </c>
      <c r="F6411" s="1" t="s">
        <v>214</v>
      </c>
    </row>
    <row r="6412" spans="1:6" ht="30" customHeight="1" x14ac:dyDescent="0.25">
      <c r="A6412" s="1" t="s">
        <v>12818</v>
      </c>
      <c r="B6412" s="1" t="str">
        <f>"9781782410515"</f>
        <v>9781782410515</v>
      </c>
      <c r="C6412" s="1" t="s">
        <v>68</v>
      </c>
      <c r="D6412" s="2">
        <v>41275</v>
      </c>
      <c r="E6412" s="1" t="s">
        <v>12819</v>
      </c>
      <c r="F6412" s="1" t="s">
        <v>13</v>
      </c>
    </row>
    <row r="6413" spans="1:6" ht="30" customHeight="1" x14ac:dyDescent="0.25">
      <c r="A6413" s="1" t="s">
        <v>851</v>
      </c>
      <c r="B6413" s="1" t="str">
        <f>"9780520954960"</f>
        <v>9780520954960</v>
      </c>
      <c r="C6413" s="1" t="s">
        <v>818</v>
      </c>
      <c r="D6413" s="2">
        <v>41289</v>
      </c>
      <c r="E6413" s="1" t="s">
        <v>852</v>
      </c>
      <c r="F6413" s="1" t="s">
        <v>214</v>
      </c>
    </row>
    <row r="6414" spans="1:6" ht="30" customHeight="1" x14ac:dyDescent="0.25">
      <c r="A6414" s="1" t="s">
        <v>12820</v>
      </c>
      <c r="B6414" s="1" t="str">
        <f>"9780520955394"</f>
        <v>9780520955394</v>
      </c>
      <c r="C6414" s="1" t="s">
        <v>818</v>
      </c>
      <c r="D6414" s="2">
        <v>41359</v>
      </c>
      <c r="E6414" s="1" t="s">
        <v>12821</v>
      </c>
      <c r="F6414" s="1" t="s">
        <v>3328</v>
      </c>
    </row>
    <row r="6415" spans="1:6" ht="30" customHeight="1" x14ac:dyDescent="0.25">
      <c r="A6415" s="1" t="s">
        <v>12822</v>
      </c>
      <c r="B6415" s="1" t="str">
        <f>"9781118418192"</f>
        <v>9781118418192</v>
      </c>
      <c r="C6415" s="1" t="s">
        <v>65</v>
      </c>
      <c r="D6415" s="2">
        <v>41285</v>
      </c>
      <c r="E6415" s="1" t="s">
        <v>12823</v>
      </c>
      <c r="F6415" s="1" t="s">
        <v>214</v>
      </c>
    </row>
    <row r="6416" spans="1:6" ht="30" customHeight="1" x14ac:dyDescent="0.25">
      <c r="A6416" s="1" t="s">
        <v>12824</v>
      </c>
      <c r="B6416" s="1" t="str">
        <f>"9780520955240"</f>
        <v>9780520955240</v>
      </c>
      <c r="C6416" s="1" t="s">
        <v>818</v>
      </c>
      <c r="D6416" s="2">
        <v>41320</v>
      </c>
      <c r="E6416" s="1" t="s">
        <v>12825</v>
      </c>
      <c r="F6416" s="1" t="s">
        <v>95</v>
      </c>
    </row>
    <row r="6417" spans="1:6" ht="30" customHeight="1" x14ac:dyDescent="0.25">
      <c r="A6417" s="1" t="s">
        <v>12826</v>
      </c>
      <c r="B6417" s="1" t="str">
        <f>"9781118307779"</f>
        <v>9781118307779</v>
      </c>
      <c r="C6417" s="1" t="s">
        <v>65</v>
      </c>
      <c r="D6417" s="2">
        <v>41348</v>
      </c>
      <c r="E6417" s="1" t="s">
        <v>12827</v>
      </c>
      <c r="F6417" s="1" t="s">
        <v>126</v>
      </c>
    </row>
    <row r="6418" spans="1:6" ht="30" customHeight="1" x14ac:dyDescent="0.25">
      <c r="A6418" s="1" t="s">
        <v>12828</v>
      </c>
      <c r="B6418" s="1" t="str">
        <f>"9781609381554"</f>
        <v>9781609381554</v>
      </c>
      <c r="C6418" s="1" t="s">
        <v>10985</v>
      </c>
      <c r="D6418" s="2">
        <v>41348</v>
      </c>
      <c r="E6418" s="1" t="s">
        <v>12829</v>
      </c>
      <c r="F6418" s="1" t="s">
        <v>13</v>
      </c>
    </row>
    <row r="6419" spans="1:6" ht="30" customHeight="1" x14ac:dyDescent="0.25">
      <c r="A6419" s="1" t="s">
        <v>12830</v>
      </c>
      <c r="B6419" s="1" t="str">
        <f>"9789814405522"</f>
        <v>9789814405522</v>
      </c>
      <c r="C6419" s="1" t="s">
        <v>881</v>
      </c>
      <c r="D6419" s="2">
        <v>41773</v>
      </c>
      <c r="E6419" s="1" t="s">
        <v>12831</v>
      </c>
      <c r="F6419" s="1" t="s">
        <v>13</v>
      </c>
    </row>
    <row r="6420" spans="1:6" ht="30" customHeight="1" x14ac:dyDescent="0.25">
      <c r="A6420" s="1" t="s">
        <v>12832</v>
      </c>
      <c r="B6420" s="1" t="str">
        <f>"9781621039426"</f>
        <v>9781621039426</v>
      </c>
      <c r="C6420" s="1" t="s">
        <v>7711</v>
      </c>
      <c r="D6420" s="2">
        <v>41374</v>
      </c>
      <c r="E6420" s="1" t="s">
        <v>12833</v>
      </c>
      <c r="F6420" s="1" t="s">
        <v>356</v>
      </c>
    </row>
    <row r="6421" spans="1:6" ht="30" customHeight="1" x14ac:dyDescent="0.25">
      <c r="A6421" s="1" t="s">
        <v>12834</v>
      </c>
      <c r="B6421" s="1" t="str">
        <f>"9781782410492"</f>
        <v>9781782410492</v>
      </c>
      <c r="C6421" s="1" t="s">
        <v>8994</v>
      </c>
      <c r="D6421" s="2">
        <v>41275</v>
      </c>
      <c r="E6421" s="1" t="s">
        <v>9075</v>
      </c>
      <c r="F6421" s="1" t="s">
        <v>13</v>
      </c>
    </row>
    <row r="6422" spans="1:6" ht="30" customHeight="1" x14ac:dyDescent="0.25">
      <c r="A6422" s="1" t="s">
        <v>12835</v>
      </c>
      <c r="B6422" s="1" t="str">
        <f>"9781782410638"</f>
        <v>9781782410638</v>
      </c>
      <c r="C6422" s="1" t="s">
        <v>8994</v>
      </c>
      <c r="D6422" s="2">
        <v>41275</v>
      </c>
      <c r="E6422" s="1" t="s">
        <v>12836</v>
      </c>
      <c r="F6422" s="1" t="s">
        <v>13</v>
      </c>
    </row>
    <row r="6423" spans="1:6" ht="30" customHeight="1" x14ac:dyDescent="0.25">
      <c r="A6423" s="1" t="s">
        <v>12837</v>
      </c>
      <c r="B6423" s="1" t="str">
        <f>"9781118235249"</f>
        <v>9781118235249</v>
      </c>
      <c r="C6423" s="1" t="s">
        <v>65</v>
      </c>
      <c r="D6423" s="2">
        <v>41366</v>
      </c>
      <c r="E6423" s="1" t="s">
        <v>12838</v>
      </c>
      <c r="F6423" s="1" t="s">
        <v>95</v>
      </c>
    </row>
    <row r="6424" spans="1:6" ht="30" customHeight="1" x14ac:dyDescent="0.25">
      <c r="A6424" s="1" t="s">
        <v>12839</v>
      </c>
      <c r="B6424" s="1" t="str">
        <f>"9781443803083"</f>
        <v>9781443803083</v>
      </c>
      <c r="C6424" s="1" t="s">
        <v>12699</v>
      </c>
      <c r="D6424" s="2">
        <v>39873</v>
      </c>
      <c r="E6424" s="1" t="s">
        <v>12840</v>
      </c>
      <c r="F6424" s="1" t="s">
        <v>13</v>
      </c>
    </row>
    <row r="6425" spans="1:6" ht="30" customHeight="1" x14ac:dyDescent="0.25">
      <c r="A6425" s="1" t="s">
        <v>12841</v>
      </c>
      <c r="B6425" s="1" t="str">
        <f>"9781443811804"</f>
        <v>9781443811804</v>
      </c>
      <c r="C6425" s="1" t="s">
        <v>12699</v>
      </c>
      <c r="D6425" s="2">
        <v>39600</v>
      </c>
      <c r="E6425" s="1" t="s">
        <v>12842</v>
      </c>
      <c r="F6425" s="1" t="s">
        <v>30</v>
      </c>
    </row>
    <row r="6426" spans="1:6" ht="30" customHeight="1" x14ac:dyDescent="0.25">
      <c r="A6426" s="1" t="s">
        <v>12843</v>
      </c>
      <c r="B6426" s="1" t="str">
        <f>"9781847357465"</f>
        <v>9781847357465</v>
      </c>
      <c r="C6426" s="1" t="s">
        <v>7299</v>
      </c>
      <c r="D6426" s="2">
        <v>41206</v>
      </c>
      <c r="E6426" s="1" t="s">
        <v>12844</v>
      </c>
      <c r="F6426" s="1" t="s">
        <v>13</v>
      </c>
    </row>
    <row r="6427" spans="1:6" ht="30" customHeight="1" x14ac:dyDescent="0.25">
      <c r="A6427" s="1" t="s">
        <v>12845</v>
      </c>
      <c r="B6427" s="1" t="str">
        <f>"9781847354419"</f>
        <v>9781847354419</v>
      </c>
      <c r="C6427" s="1" t="s">
        <v>7299</v>
      </c>
      <c r="D6427" s="2">
        <v>41213</v>
      </c>
      <c r="E6427" s="1" t="s">
        <v>12846</v>
      </c>
      <c r="F6427" s="1" t="s">
        <v>12847</v>
      </c>
    </row>
    <row r="6428" spans="1:6" ht="30" customHeight="1" x14ac:dyDescent="0.25">
      <c r="A6428" s="1" t="s">
        <v>12848</v>
      </c>
      <c r="B6428" s="1" t="str">
        <f>"9789882208506"</f>
        <v>9789882208506</v>
      </c>
      <c r="C6428" s="1" t="s">
        <v>12849</v>
      </c>
      <c r="D6428" s="2">
        <v>41275</v>
      </c>
      <c r="E6428" s="1" t="s">
        <v>12850</v>
      </c>
      <c r="F6428" s="1" t="s">
        <v>13</v>
      </c>
    </row>
    <row r="6429" spans="1:6" ht="30" customHeight="1" x14ac:dyDescent="0.25">
      <c r="A6429" s="1" t="s">
        <v>12851</v>
      </c>
      <c r="B6429" s="1" t="str">
        <f>"9781118356722"</f>
        <v>9781118356722</v>
      </c>
      <c r="C6429" s="1" t="s">
        <v>65</v>
      </c>
      <c r="D6429" s="2">
        <v>41296</v>
      </c>
      <c r="E6429" s="1" t="s">
        <v>12852</v>
      </c>
      <c r="F6429" s="1" t="s">
        <v>268</v>
      </c>
    </row>
    <row r="6430" spans="1:6" ht="30" customHeight="1" x14ac:dyDescent="0.25">
      <c r="A6430" s="1" t="s">
        <v>12853</v>
      </c>
      <c r="B6430" s="1" t="str">
        <f>"9781118332320"</f>
        <v>9781118332320</v>
      </c>
      <c r="C6430" s="1" t="s">
        <v>65</v>
      </c>
      <c r="D6430" s="2">
        <v>41296</v>
      </c>
      <c r="E6430" s="1" t="s">
        <v>12854</v>
      </c>
      <c r="F6430" s="1" t="s">
        <v>13</v>
      </c>
    </row>
    <row r="6431" spans="1:6" ht="30" customHeight="1" x14ac:dyDescent="0.25">
      <c r="A6431" s="1" t="s">
        <v>12855</v>
      </c>
      <c r="B6431" s="1" t="str">
        <f>"9781118314494"</f>
        <v>9781118314494</v>
      </c>
      <c r="C6431" s="1" t="s">
        <v>65</v>
      </c>
      <c r="D6431" s="2">
        <v>41285</v>
      </c>
      <c r="E6431" s="1" t="s">
        <v>12856</v>
      </c>
      <c r="F6431" s="1" t="s">
        <v>13</v>
      </c>
    </row>
    <row r="6432" spans="1:6" ht="30" customHeight="1" x14ac:dyDescent="0.25">
      <c r="A6432" s="1" t="s">
        <v>12857</v>
      </c>
      <c r="B6432" s="1" t="str">
        <f>"9781118421031"</f>
        <v>9781118421031</v>
      </c>
      <c r="C6432" s="1" t="s">
        <v>65</v>
      </c>
      <c r="D6432" s="2">
        <v>41297</v>
      </c>
      <c r="E6432" s="1" t="s">
        <v>12858</v>
      </c>
      <c r="F6432" s="1" t="s">
        <v>13</v>
      </c>
    </row>
    <row r="6433" spans="1:6" ht="30" customHeight="1" x14ac:dyDescent="0.25">
      <c r="A6433" s="1" t="s">
        <v>12859</v>
      </c>
      <c r="B6433" s="1" t="str">
        <f>"9781118444672"</f>
        <v>9781118444672</v>
      </c>
      <c r="C6433" s="1" t="s">
        <v>65</v>
      </c>
      <c r="D6433" s="2">
        <v>41299</v>
      </c>
      <c r="E6433" s="1" t="s">
        <v>12860</v>
      </c>
      <c r="F6433" s="1" t="s">
        <v>268</v>
      </c>
    </row>
    <row r="6434" spans="1:6" ht="30" customHeight="1" x14ac:dyDescent="0.25">
      <c r="A6434" s="1" t="s">
        <v>12861</v>
      </c>
      <c r="B6434" s="1" t="str">
        <f>"9781118581247"</f>
        <v>9781118581247</v>
      </c>
      <c r="C6434" s="1" t="s">
        <v>65</v>
      </c>
      <c r="D6434" s="2">
        <v>41296</v>
      </c>
      <c r="E6434" s="1" t="s">
        <v>12862</v>
      </c>
      <c r="F6434" s="1" t="s">
        <v>12863</v>
      </c>
    </row>
    <row r="6435" spans="1:6" ht="30" customHeight="1" x14ac:dyDescent="0.25">
      <c r="A6435" s="1" t="s">
        <v>12864</v>
      </c>
      <c r="B6435" s="1" t="str">
        <f>"9781118496848"</f>
        <v>9781118496848</v>
      </c>
      <c r="C6435" s="1" t="s">
        <v>65</v>
      </c>
      <c r="D6435" s="2">
        <v>41296</v>
      </c>
      <c r="E6435" s="1" t="s">
        <v>12865</v>
      </c>
      <c r="F6435" s="1" t="s">
        <v>13</v>
      </c>
    </row>
    <row r="6436" spans="1:6" ht="30" customHeight="1" x14ac:dyDescent="0.25">
      <c r="A6436" s="1" t="s">
        <v>12866</v>
      </c>
      <c r="B6436" s="1" t="str">
        <f>"9781118517963"</f>
        <v>9781118517963</v>
      </c>
      <c r="C6436" s="1" t="s">
        <v>11</v>
      </c>
      <c r="D6436" s="2">
        <v>41297</v>
      </c>
      <c r="E6436" s="1" t="s">
        <v>12867</v>
      </c>
      <c r="F6436" s="1" t="s">
        <v>599</v>
      </c>
    </row>
    <row r="6437" spans="1:6" ht="30" customHeight="1" x14ac:dyDescent="0.25">
      <c r="A6437" s="1" t="s">
        <v>12868</v>
      </c>
      <c r="B6437" s="1" t="str">
        <f>"9781118635889"</f>
        <v>9781118635889</v>
      </c>
      <c r="C6437" s="1" t="s">
        <v>11</v>
      </c>
      <c r="D6437" s="2">
        <v>41297</v>
      </c>
      <c r="E6437" s="1" t="s">
        <v>12869</v>
      </c>
      <c r="F6437" s="1" t="s">
        <v>137</v>
      </c>
    </row>
    <row r="6438" spans="1:6" ht="30" customHeight="1" x14ac:dyDescent="0.25">
      <c r="A6438" s="1" t="s">
        <v>12870</v>
      </c>
      <c r="B6438" s="1" t="str">
        <f>"9780765709103"</f>
        <v>9780765709103</v>
      </c>
      <c r="C6438" s="1" t="s">
        <v>6903</v>
      </c>
      <c r="D6438" s="2">
        <v>41256</v>
      </c>
      <c r="E6438" s="1" t="s">
        <v>12871</v>
      </c>
      <c r="F6438" s="1" t="s">
        <v>13</v>
      </c>
    </row>
    <row r="6439" spans="1:6" ht="30" customHeight="1" x14ac:dyDescent="0.25">
      <c r="A6439" s="1" t="s">
        <v>12872</v>
      </c>
      <c r="B6439" s="1" t="str">
        <f>"9780765708410"</f>
        <v>9780765708410</v>
      </c>
      <c r="C6439" s="1" t="s">
        <v>6903</v>
      </c>
      <c r="D6439" s="2">
        <v>41564</v>
      </c>
      <c r="E6439" s="1" t="s">
        <v>12873</v>
      </c>
      <c r="F6439" s="1" t="s">
        <v>13</v>
      </c>
    </row>
    <row r="6440" spans="1:6" ht="30" customHeight="1" x14ac:dyDescent="0.25">
      <c r="A6440" s="1" t="s">
        <v>12874</v>
      </c>
      <c r="B6440" s="1" t="str">
        <f>"9780080970387"</f>
        <v>9780080970387</v>
      </c>
      <c r="C6440" s="1" t="s">
        <v>900</v>
      </c>
      <c r="D6440" s="2">
        <v>41295</v>
      </c>
      <c r="E6440" s="1" t="s">
        <v>12875</v>
      </c>
      <c r="F6440" s="1" t="s">
        <v>359</v>
      </c>
    </row>
    <row r="6441" spans="1:6" ht="30" customHeight="1" x14ac:dyDescent="0.25">
      <c r="A6441" s="1" t="s">
        <v>12876</v>
      </c>
      <c r="B6441" s="1" t="str">
        <f>"9781118480106"</f>
        <v>9781118480106</v>
      </c>
      <c r="C6441" s="1" t="s">
        <v>65</v>
      </c>
      <c r="D6441" s="2">
        <v>41341</v>
      </c>
      <c r="E6441" s="1" t="s">
        <v>12877</v>
      </c>
      <c r="F6441" s="1" t="s">
        <v>13</v>
      </c>
    </row>
    <row r="6442" spans="1:6" ht="30" customHeight="1" x14ac:dyDescent="0.25">
      <c r="A6442" s="1" t="s">
        <v>6069</v>
      </c>
      <c r="B6442" s="1" t="str">
        <f>"9781118493731"</f>
        <v>9781118493731</v>
      </c>
      <c r="C6442" s="1" t="s">
        <v>65</v>
      </c>
      <c r="D6442" s="2">
        <v>41341</v>
      </c>
      <c r="E6442" s="1" t="s">
        <v>12878</v>
      </c>
      <c r="F6442" s="1" t="s">
        <v>214</v>
      </c>
    </row>
    <row r="6443" spans="1:6" ht="30" customHeight="1" x14ac:dyDescent="0.25">
      <c r="A6443" s="1" t="s">
        <v>12879</v>
      </c>
      <c r="B6443" s="1" t="str">
        <f>"9781118469163"</f>
        <v>9781118469163</v>
      </c>
      <c r="C6443" s="1" t="s">
        <v>11</v>
      </c>
      <c r="D6443" s="2">
        <v>41263</v>
      </c>
      <c r="E6443" s="1" t="s">
        <v>12880</v>
      </c>
      <c r="F6443" s="1" t="s">
        <v>13</v>
      </c>
    </row>
    <row r="6444" spans="1:6" ht="30" customHeight="1" x14ac:dyDescent="0.25">
      <c r="A6444" s="1" t="s">
        <v>12881</v>
      </c>
      <c r="B6444" s="1" t="str">
        <f>"9780826345257"</f>
        <v>9780826345257</v>
      </c>
      <c r="C6444" s="1" t="s">
        <v>12882</v>
      </c>
      <c r="D6444" s="2">
        <v>40194</v>
      </c>
      <c r="E6444" s="1" t="s">
        <v>12883</v>
      </c>
      <c r="F6444" s="1" t="s">
        <v>33</v>
      </c>
    </row>
    <row r="6445" spans="1:6" ht="30" customHeight="1" x14ac:dyDescent="0.25">
      <c r="A6445" s="1" t="s">
        <v>12884</v>
      </c>
      <c r="B6445" s="1" t="str">
        <f>"9780826348999"</f>
        <v>9780826348999</v>
      </c>
      <c r="C6445" s="1" t="s">
        <v>12882</v>
      </c>
      <c r="D6445" s="2">
        <v>40679</v>
      </c>
      <c r="E6445" s="1" t="s">
        <v>12885</v>
      </c>
      <c r="F6445" s="1" t="s">
        <v>30</v>
      </c>
    </row>
    <row r="6446" spans="1:6" ht="30" customHeight="1" x14ac:dyDescent="0.25">
      <c r="A6446" s="1" t="s">
        <v>12886</v>
      </c>
      <c r="B6446" s="1" t="str">
        <f>"9780826330673"</f>
        <v>9780826330673</v>
      </c>
      <c r="C6446" s="1" t="s">
        <v>12882</v>
      </c>
      <c r="D6446" s="2">
        <v>39129</v>
      </c>
      <c r="E6446" s="1" t="s">
        <v>11999</v>
      </c>
      <c r="F6446" s="1" t="s">
        <v>158</v>
      </c>
    </row>
    <row r="6447" spans="1:6" ht="30" customHeight="1" x14ac:dyDescent="0.25">
      <c r="A6447" s="1" t="s">
        <v>12887</v>
      </c>
      <c r="B6447" s="1" t="str">
        <f>"9780826333414"</f>
        <v>9780826333414</v>
      </c>
      <c r="C6447" s="1" t="s">
        <v>12882</v>
      </c>
      <c r="D6447" s="2">
        <v>38436</v>
      </c>
      <c r="E6447" s="1" t="s">
        <v>12888</v>
      </c>
      <c r="F6447" s="1" t="s">
        <v>13</v>
      </c>
    </row>
    <row r="6448" spans="1:6" ht="30" customHeight="1" x14ac:dyDescent="0.25">
      <c r="A6448" s="1" t="s">
        <v>12889</v>
      </c>
      <c r="B6448" s="1" t="str">
        <f>"9781935281887"</f>
        <v>9781935281887</v>
      </c>
      <c r="C6448" s="1" t="s">
        <v>2342</v>
      </c>
      <c r="D6448" s="2">
        <v>39247</v>
      </c>
      <c r="E6448" s="1" t="s">
        <v>12890</v>
      </c>
      <c r="F6448" s="1" t="s">
        <v>13</v>
      </c>
    </row>
    <row r="6449" spans="1:6" ht="30" customHeight="1" x14ac:dyDescent="0.25">
      <c r="A6449" s="1" t="s">
        <v>12891</v>
      </c>
      <c r="B6449" s="1" t="str">
        <f>"9781118416785"</f>
        <v>9781118416785</v>
      </c>
      <c r="C6449" s="1" t="s">
        <v>65</v>
      </c>
      <c r="D6449" s="2">
        <v>41303</v>
      </c>
      <c r="E6449" s="1" t="s">
        <v>12892</v>
      </c>
      <c r="F6449" s="1" t="s">
        <v>13</v>
      </c>
    </row>
    <row r="6450" spans="1:6" ht="30" customHeight="1" x14ac:dyDescent="0.25">
      <c r="A6450" s="1" t="s">
        <v>2375</v>
      </c>
      <c r="B6450" s="1" t="str">
        <f>"9781118560419"</f>
        <v>9781118560419</v>
      </c>
      <c r="C6450" s="1" t="s">
        <v>65</v>
      </c>
      <c r="D6450" s="2">
        <v>41302</v>
      </c>
      <c r="E6450" s="1" t="s">
        <v>12893</v>
      </c>
      <c r="F6450" s="1" t="s">
        <v>13</v>
      </c>
    </row>
    <row r="6451" spans="1:6" ht="30" customHeight="1" x14ac:dyDescent="0.25">
      <c r="A6451" s="1" t="s">
        <v>12894</v>
      </c>
      <c r="B6451" s="1" t="str">
        <f>"9780826195562"</f>
        <v>9780826195562</v>
      </c>
      <c r="C6451" s="1" t="s">
        <v>2339</v>
      </c>
      <c r="D6451" s="2">
        <v>41348</v>
      </c>
      <c r="E6451" s="1" t="s">
        <v>12895</v>
      </c>
      <c r="F6451" s="1" t="s">
        <v>126</v>
      </c>
    </row>
    <row r="6452" spans="1:6" ht="30" customHeight="1" x14ac:dyDescent="0.25">
      <c r="A6452" s="1" t="s">
        <v>12896</v>
      </c>
      <c r="B6452" s="1" t="str">
        <f>"9781118474877"</f>
        <v>9781118474877</v>
      </c>
      <c r="C6452" s="1" t="s">
        <v>65</v>
      </c>
      <c r="D6452" s="2">
        <v>41257</v>
      </c>
      <c r="E6452" s="1" t="s">
        <v>12897</v>
      </c>
      <c r="F6452" s="1" t="s">
        <v>13</v>
      </c>
    </row>
    <row r="6453" spans="1:6" ht="30" customHeight="1" x14ac:dyDescent="0.25">
      <c r="A6453" s="1" t="s">
        <v>12898</v>
      </c>
      <c r="B6453" s="1" t="str">
        <f>"9781469606910"</f>
        <v>9781469606910</v>
      </c>
      <c r="C6453" s="1" t="s">
        <v>6600</v>
      </c>
      <c r="D6453" s="2">
        <v>41365</v>
      </c>
      <c r="E6453" s="1" t="s">
        <v>12899</v>
      </c>
      <c r="F6453" s="1" t="s">
        <v>541</v>
      </c>
    </row>
    <row r="6454" spans="1:6" ht="30" customHeight="1" x14ac:dyDescent="0.25">
      <c r="A6454" s="1" t="s">
        <v>12900</v>
      </c>
      <c r="B6454" s="1" t="str">
        <f>"9781118495308"</f>
        <v>9781118495308</v>
      </c>
      <c r="C6454" s="1" t="s">
        <v>65</v>
      </c>
      <c r="D6454" s="2">
        <v>41278</v>
      </c>
      <c r="E6454" s="1" t="s">
        <v>12901</v>
      </c>
      <c r="F6454" s="1" t="s">
        <v>13</v>
      </c>
    </row>
    <row r="6455" spans="1:6" ht="30" customHeight="1" x14ac:dyDescent="0.25">
      <c r="A6455" s="1" t="s">
        <v>12902</v>
      </c>
      <c r="B6455" s="1" t="str">
        <f>"9781118410905"</f>
        <v>9781118410905</v>
      </c>
      <c r="C6455" s="1" t="s">
        <v>65</v>
      </c>
      <c r="D6455" s="2">
        <v>40970</v>
      </c>
      <c r="E6455" s="1" t="s">
        <v>12903</v>
      </c>
      <c r="F6455" s="1" t="s">
        <v>13</v>
      </c>
    </row>
    <row r="6456" spans="1:6" ht="30" customHeight="1" x14ac:dyDescent="0.25">
      <c r="A6456" s="1" t="s">
        <v>12904</v>
      </c>
      <c r="B6456" s="1" t="str">
        <f>"9781118323403"</f>
        <v>9781118323403</v>
      </c>
      <c r="C6456" s="1" t="s">
        <v>65</v>
      </c>
      <c r="D6456" s="2">
        <v>41609</v>
      </c>
      <c r="E6456" s="1" t="s">
        <v>12905</v>
      </c>
      <c r="F6456" s="1" t="s">
        <v>13</v>
      </c>
    </row>
    <row r="6457" spans="1:6" ht="30" customHeight="1" x14ac:dyDescent="0.25">
      <c r="A6457" s="1" t="s">
        <v>12906</v>
      </c>
      <c r="B6457" s="1" t="str">
        <f>"9781118531051"</f>
        <v>9781118531051</v>
      </c>
      <c r="C6457" s="1" t="s">
        <v>65</v>
      </c>
      <c r="D6457" s="2">
        <v>41327</v>
      </c>
      <c r="E6457" s="1" t="s">
        <v>12907</v>
      </c>
      <c r="F6457" s="1" t="s">
        <v>13</v>
      </c>
    </row>
    <row r="6458" spans="1:6" ht="30" customHeight="1" x14ac:dyDescent="0.25">
      <c r="A6458" s="1" t="s">
        <v>12908</v>
      </c>
      <c r="B6458" s="1" t="str">
        <f>"9781782410645"</f>
        <v>9781782410645</v>
      </c>
      <c r="C6458" s="1" t="s">
        <v>68</v>
      </c>
      <c r="D6458" s="2">
        <v>41275</v>
      </c>
      <c r="E6458" s="1" t="s">
        <v>12909</v>
      </c>
      <c r="F6458" s="1" t="s">
        <v>13</v>
      </c>
    </row>
    <row r="6459" spans="1:6" ht="30" customHeight="1" x14ac:dyDescent="0.25">
      <c r="A6459" s="1" t="s">
        <v>12910</v>
      </c>
      <c r="B6459" s="1" t="str">
        <f>"9781118384367"</f>
        <v>9781118384367</v>
      </c>
      <c r="C6459" s="1" t="s">
        <v>65</v>
      </c>
      <c r="D6459" s="2">
        <v>41327</v>
      </c>
      <c r="E6459" s="1" t="s">
        <v>12911</v>
      </c>
      <c r="F6459" s="1" t="s">
        <v>268</v>
      </c>
    </row>
    <row r="6460" spans="1:6" ht="30" customHeight="1" x14ac:dyDescent="0.25">
      <c r="A6460" s="1" t="s">
        <v>12912</v>
      </c>
      <c r="B6460" s="1" t="str">
        <f>"9781118448786"</f>
        <v>9781118448786</v>
      </c>
      <c r="C6460" s="1" t="s">
        <v>65</v>
      </c>
      <c r="D6460" s="2">
        <v>41348</v>
      </c>
      <c r="E6460" s="1" t="s">
        <v>12913</v>
      </c>
      <c r="F6460" s="1" t="s">
        <v>126</v>
      </c>
    </row>
    <row r="6461" spans="1:6" ht="30" customHeight="1" x14ac:dyDescent="0.25">
      <c r="A6461" s="1" t="s">
        <v>12914</v>
      </c>
      <c r="B6461" s="1" t="str">
        <f>"9781118482148"</f>
        <v>9781118482148</v>
      </c>
      <c r="C6461" s="1" t="s">
        <v>65</v>
      </c>
      <c r="D6461" s="2">
        <v>41233</v>
      </c>
      <c r="E6461" s="1" t="s">
        <v>12915</v>
      </c>
      <c r="F6461" s="1" t="s">
        <v>13</v>
      </c>
    </row>
    <row r="6462" spans="1:6" ht="30" customHeight="1" x14ac:dyDescent="0.25">
      <c r="A6462" s="1" t="s">
        <v>12916</v>
      </c>
      <c r="B6462" s="1" t="str">
        <f>"9781118539569"</f>
        <v>9781118539569</v>
      </c>
      <c r="C6462" s="1" t="s">
        <v>65</v>
      </c>
      <c r="D6462" s="2">
        <v>41348</v>
      </c>
      <c r="E6462" s="1" t="s">
        <v>12917</v>
      </c>
      <c r="F6462" s="1" t="s">
        <v>13</v>
      </c>
    </row>
    <row r="6463" spans="1:6" ht="30" customHeight="1" x14ac:dyDescent="0.25">
      <c r="A6463" s="1" t="s">
        <v>12918</v>
      </c>
      <c r="B6463" s="1" t="str">
        <f>"9781118523476"</f>
        <v>9781118523476</v>
      </c>
      <c r="C6463" s="1" t="s">
        <v>65</v>
      </c>
      <c r="D6463" s="2">
        <v>41284</v>
      </c>
      <c r="E6463" s="1" t="s">
        <v>12919</v>
      </c>
      <c r="F6463" s="1" t="s">
        <v>158</v>
      </c>
    </row>
    <row r="6464" spans="1:6" ht="30" customHeight="1" x14ac:dyDescent="0.25">
      <c r="A6464" s="1" t="s">
        <v>12920</v>
      </c>
      <c r="B6464" s="1" t="str">
        <f>"9781118495179"</f>
        <v>9781118495179</v>
      </c>
      <c r="C6464" s="1" t="s">
        <v>65</v>
      </c>
      <c r="D6464" s="2">
        <v>41306</v>
      </c>
      <c r="E6464" s="1" t="s">
        <v>12921</v>
      </c>
      <c r="F6464" s="1" t="s">
        <v>13</v>
      </c>
    </row>
    <row r="6465" spans="1:6" ht="30" customHeight="1" x14ac:dyDescent="0.25">
      <c r="A6465" s="1" t="s">
        <v>12922</v>
      </c>
      <c r="B6465" s="1" t="str">
        <f>"9781118497838"</f>
        <v>9781118497838</v>
      </c>
      <c r="C6465" s="1" t="s">
        <v>65</v>
      </c>
      <c r="D6465" s="2">
        <v>41341</v>
      </c>
      <c r="E6465" s="1" t="s">
        <v>12923</v>
      </c>
      <c r="F6465" s="1" t="s">
        <v>13</v>
      </c>
    </row>
    <row r="6466" spans="1:6" ht="30" customHeight="1" x14ac:dyDescent="0.25">
      <c r="A6466" s="1" t="s">
        <v>12924</v>
      </c>
      <c r="B6466" s="1" t="str">
        <f>"9781118349694"</f>
        <v>9781118349694</v>
      </c>
      <c r="C6466" s="1" t="s">
        <v>11</v>
      </c>
      <c r="D6466" s="2">
        <v>41145</v>
      </c>
      <c r="E6466" s="1" t="s">
        <v>12925</v>
      </c>
      <c r="F6466" s="1" t="s">
        <v>13</v>
      </c>
    </row>
    <row r="6467" spans="1:6" ht="30" customHeight="1" x14ac:dyDescent="0.25">
      <c r="A6467" s="1" t="s">
        <v>12926</v>
      </c>
      <c r="B6467" s="1" t="str">
        <f>"9783527645664"</f>
        <v>9783527645664</v>
      </c>
      <c r="C6467" s="1" t="s">
        <v>65</v>
      </c>
      <c r="D6467" s="2">
        <v>41038</v>
      </c>
      <c r="E6467" s="1" t="s">
        <v>12927</v>
      </c>
      <c r="F6467" s="1" t="s">
        <v>268</v>
      </c>
    </row>
    <row r="6468" spans="1:6" ht="30" customHeight="1" x14ac:dyDescent="0.25">
      <c r="A6468" s="1" t="s">
        <v>12928</v>
      </c>
      <c r="B6468" s="1" t="str">
        <f>"9781118500583"</f>
        <v>9781118500583</v>
      </c>
      <c r="C6468" s="1" t="s">
        <v>11</v>
      </c>
      <c r="D6468" s="2">
        <v>41292</v>
      </c>
      <c r="E6468" s="1" t="s">
        <v>12929</v>
      </c>
      <c r="F6468" s="1" t="s">
        <v>13</v>
      </c>
    </row>
    <row r="6469" spans="1:6" ht="30" customHeight="1" x14ac:dyDescent="0.25">
      <c r="A6469" s="1" t="s">
        <v>12930</v>
      </c>
      <c r="B6469" s="1" t="str">
        <f>"9781118522608"</f>
        <v>9781118522608</v>
      </c>
      <c r="C6469" s="1" t="s">
        <v>65</v>
      </c>
      <c r="D6469" s="2">
        <v>41288</v>
      </c>
      <c r="E6469" s="1" t="s">
        <v>12931</v>
      </c>
      <c r="F6469" s="1" t="s">
        <v>13</v>
      </c>
    </row>
    <row r="6470" spans="1:6" ht="30" customHeight="1" x14ac:dyDescent="0.25">
      <c r="A6470" s="1" t="s">
        <v>12932</v>
      </c>
      <c r="B6470" s="1" t="str">
        <f>"9781118653876"</f>
        <v>9781118653876</v>
      </c>
      <c r="C6470" s="1" t="s">
        <v>65</v>
      </c>
      <c r="D6470" s="2">
        <v>41290</v>
      </c>
      <c r="E6470" s="1" t="s">
        <v>12933</v>
      </c>
      <c r="F6470" s="1" t="s">
        <v>13</v>
      </c>
    </row>
    <row r="6471" spans="1:6" ht="30" customHeight="1" x14ac:dyDescent="0.25">
      <c r="A6471" s="1" t="s">
        <v>12934</v>
      </c>
      <c r="B6471" s="1" t="str">
        <f>"9781118487990"</f>
        <v>9781118487990</v>
      </c>
      <c r="C6471" s="1" t="s">
        <v>65</v>
      </c>
      <c r="D6471" s="2">
        <v>41304</v>
      </c>
      <c r="E6471" s="1" t="s">
        <v>12935</v>
      </c>
      <c r="F6471" s="1" t="s">
        <v>13</v>
      </c>
    </row>
    <row r="6472" spans="1:6" ht="30" customHeight="1" x14ac:dyDescent="0.25">
      <c r="A6472" s="1" t="s">
        <v>12936</v>
      </c>
      <c r="B6472" s="1" t="str">
        <f>"9781134907625"</f>
        <v>9781134907625</v>
      </c>
      <c r="C6472" s="1" t="s">
        <v>68</v>
      </c>
      <c r="D6472" s="2">
        <v>37773</v>
      </c>
      <c r="E6472" s="1" t="s">
        <v>12937</v>
      </c>
      <c r="F6472" s="1" t="s">
        <v>13</v>
      </c>
    </row>
    <row r="6473" spans="1:6" ht="30" customHeight="1" x14ac:dyDescent="0.25">
      <c r="A6473" s="1" t="s">
        <v>12938</v>
      </c>
      <c r="B6473" s="1" t="str">
        <f>"9781134581887"</f>
        <v>9781134581887</v>
      </c>
      <c r="C6473" s="1" t="s">
        <v>68</v>
      </c>
      <c r="D6473" s="2">
        <v>36777</v>
      </c>
      <c r="E6473" s="1" t="s">
        <v>12939</v>
      </c>
      <c r="F6473" s="1" t="s">
        <v>126</v>
      </c>
    </row>
    <row r="6474" spans="1:6" ht="30" customHeight="1" x14ac:dyDescent="0.25">
      <c r="A6474" s="1" t="s">
        <v>12940</v>
      </c>
      <c r="B6474" s="1" t="str">
        <f>"9780826106940"</f>
        <v>9780826106940</v>
      </c>
      <c r="C6474" s="1" t="s">
        <v>2339</v>
      </c>
      <c r="D6474" s="2">
        <v>41260</v>
      </c>
      <c r="E6474" s="1" t="s">
        <v>12941</v>
      </c>
      <c r="F6474" s="1" t="s">
        <v>13</v>
      </c>
    </row>
    <row r="6475" spans="1:6" ht="30" customHeight="1" x14ac:dyDescent="0.25">
      <c r="A6475" s="1" t="s">
        <v>12942</v>
      </c>
      <c r="B6475" s="1" t="str">
        <f>"9780826108883"</f>
        <v>9780826108883</v>
      </c>
      <c r="C6475" s="1" t="s">
        <v>2339</v>
      </c>
      <c r="D6475" s="2">
        <v>41207</v>
      </c>
      <c r="E6475" s="1" t="s">
        <v>12943</v>
      </c>
      <c r="F6475" s="1" t="s">
        <v>30</v>
      </c>
    </row>
    <row r="6476" spans="1:6" ht="30" customHeight="1" x14ac:dyDescent="0.25">
      <c r="A6476" s="1" t="s">
        <v>12944</v>
      </c>
      <c r="B6476" s="1" t="str">
        <f>"9780826110121"</f>
        <v>9780826110121</v>
      </c>
      <c r="C6476" s="1" t="s">
        <v>2339</v>
      </c>
      <c r="D6476" s="2">
        <v>41194</v>
      </c>
      <c r="E6476" s="1" t="s">
        <v>10743</v>
      </c>
      <c r="F6476" s="1" t="s">
        <v>126</v>
      </c>
    </row>
    <row r="6477" spans="1:6" ht="30" customHeight="1" x14ac:dyDescent="0.25">
      <c r="A6477" s="1" t="s">
        <v>12945</v>
      </c>
      <c r="B6477" s="1" t="str">
        <f>"9780826193278"</f>
        <v>9780826193278</v>
      </c>
      <c r="C6477" s="1" t="s">
        <v>2339</v>
      </c>
      <c r="D6477" s="2">
        <v>40118</v>
      </c>
      <c r="E6477" s="1" t="s">
        <v>12946</v>
      </c>
      <c r="F6477" s="1" t="s">
        <v>126</v>
      </c>
    </row>
    <row r="6478" spans="1:6" ht="30" customHeight="1" x14ac:dyDescent="0.25">
      <c r="A6478" s="1" t="s">
        <v>12947</v>
      </c>
      <c r="B6478" s="1" t="str">
        <f>"9783527651108"</f>
        <v>9783527651108</v>
      </c>
      <c r="C6478" s="1" t="s">
        <v>65</v>
      </c>
      <c r="D6478" s="2">
        <v>41262</v>
      </c>
      <c r="E6478" s="1" t="s">
        <v>12948</v>
      </c>
      <c r="F6478" s="1" t="s">
        <v>268</v>
      </c>
    </row>
    <row r="6479" spans="1:6" ht="30" customHeight="1" x14ac:dyDescent="0.25">
      <c r="A6479" s="1" t="s">
        <v>12949</v>
      </c>
      <c r="B6479" s="1" t="str">
        <f>"9781118537350"</f>
        <v>9781118537350</v>
      </c>
      <c r="C6479" s="1" t="s">
        <v>65</v>
      </c>
      <c r="D6479" s="2">
        <v>41310</v>
      </c>
      <c r="E6479" s="1" t="s">
        <v>12950</v>
      </c>
      <c r="F6479" s="1" t="s">
        <v>7304</v>
      </c>
    </row>
    <row r="6480" spans="1:6" ht="30" customHeight="1" x14ac:dyDescent="0.25">
      <c r="A6480" s="1" t="s">
        <v>12951</v>
      </c>
      <c r="B6480" s="1" t="str">
        <f>"9781118517628"</f>
        <v>9781118517628</v>
      </c>
      <c r="C6480" s="1" t="s">
        <v>65</v>
      </c>
      <c r="D6480" s="2">
        <v>41310</v>
      </c>
      <c r="E6480" s="1" t="s">
        <v>12952</v>
      </c>
      <c r="F6480" s="1" t="s">
        <v>126</v>
      </c>
    </row>
    <row r="6481" spans="1:6" ht="30" customHeight="1" x14ac:dyDescent="0.25">
      <c r="A6481" s="1" t="s">
        <v>12953</v>
      </c>
      <c r="B6481" s="1" t="str">
        <f>"9781118535950"</f>
        <v>9781118535950</v>
      </c>
      <c r="C6481" s="1" t="s">
        <v>65</v>
      </c>
      <c r="D6481" s="2">
        <v>41298</v>
      </c>
      <c r="E6481" s="1" t="s">
        <v>12954</v>
      </c>
      <c r="F6481" s="1" t="s">
        <v>13</v>
      </c>
    </row>
    <row r="6482" spans="1:6" ht="30" customHeight="1" x14ac:dyDescent="0.25">
      <c r="A6482" s="1" t="s">
        <v>12955</v>
      </c>
      <c r="B6482" s="1" t="str">
        <f>"9781118323328"</f>
        <v>9781118323328</v>
      </c>
      <c r="C6482" s="1" t="s">
        <v>65</v>
      </c>
      <c r="D6482" s="2">
        <v>41310</v>
      </c>
      <c r="E6482" s="1" t="s">
        <v>12956</v>
      </c>
      <c r="F6482" s="1" t="s">
        <v>13</v>
      </c>
    </row>
    <row r="6483" spans="1:6" ht="30" customHeight="1" x14ac:dyDescent="0.25">
      <c r="A6483" s="1" t="s">
        <v>12957</v>
      </c>
      <c r="B6483" s="1" t="str">
        <f>"9781118393819"</f>
        <v>9781118393819</v>
      </c>
      <c r="C6483" s="1" t="s">
        <v>65</v>
      </c>
      <c r="D6483" s="2">
        <v>41305</v>
      </c>
      <c r="E6483" s="1" t="s">
        <v>12958</v>
      </c>
      <c r="F6483" s="1" t="s">
        <v>13</v>
      </c>
    </row>
    <row r="6484" spans="1:6" ht="30" customHeight="1" x14ac:dyDescent="0.25">
      <c r="A6484" s="1" t="s">
        <v>12959</v>
      </c>
      <c r="B6484" s="1" t="str">
        <f>"9781118488201"</f>
        <v>9781118488201</v>
      </c>
      <c r="C6484" s="1" t="s">
        <v>65</v>
      </c>
      <c r="D6484" s="2">
        <v>41309</v>
      </c>
      <c r="E6484" s="1" t="s">
        <v>12960</v>
      </c>
      <c r="F6484" s="1" t="s">
        <v>126</v>
      </c>
    </row>
    <row r="6485" spans="1:6" ht="30" customHeight="1" x14ac:dyDescent="0.25">
      <c r="A6485" s="1" t="s">
        <v>12961</v>
      </c>
      <c r="B6485" s="1" t="str">
        <f>"9781118505045"</f>
        <v>9781118505045</v>
      </c>
      <c r="C6485" s="1" t="s">
        <v>65</v>
      </c>
      <c r="D6485" s="2">
        <v>41306</v>
      </c>
      <c r="E6485" s="1" t="s">
        <v>12962</v>
      </c>
      <c r="F6485" s="1" t="s">
        <v>13</v>
      </c>
    </row>
    <row r="6486" spans="1:6" ht="30" customHeight="1" x14ac:dyDescent="0.25">
      <c r="A6486" s="1" t="s">
        <v>12963</v>
      </c>
      <c r="B6486" s="1" t="str">
        <f>"9781118556214"</f>
        <v>9781118556214</v>
      </c>
      <c r="C6486" s="1" t="s">
        <v>65</v>
      </c>
      <c r="D6486" s="2">
        <v>41311</v>
      </c>
      <c r="E6486" s="1" t="s">
        <v>12964</v>
      </c>
      <c r="F6486" s="1" t="s">
        <v>13</v>
      </c>
    </row>
    <row r="6487" spans="1:6" ht="30" customHeight="1" x14ac:dyDescent="0.25">
      <c r="A6487" s="1" t="s">
        <v>6416</v>
      </c>
      <c r="B6487" s="1" t="str">
        <f>"9781118542477"</f>
        <v>9781118542477</v>
      </c>
      <c r="C6487" s="1" t="s">
        <v>65</v>
      </c>
      <c r="D6487" s="2">
        <v>41312</v>
      </c>
      <c r="E6487" s="1" t="s">
        <v>12965</v>
      </c>
      <c r="F6487" s="1" t="s">
        <v>13</v>
      </c>
    </row>
    <row r="6488" spans="1:6" ht="30" customHeight="1" x14ac:dyDescent="0.25">
      <c r="A6488" s="1" t="s">
        <v>12966</v>
      </c>
      <c r="B6488" s="1" t="str">
        <f>"9781782410720"</f>
        <v>9781782410720</v>
      </c>
      <c r="C6488" s="1" t="s">
        <v>8994</v>
      </c>
      <c r="D6488" s="2">
        <v>41333</v>
      </c>
      <c r="E6488" s="1" t="s">
        <v>12967</v>
      </c>
      <c r="F6488" s="1" t="s">
        <v>13</v>
      </c>
    </row>
    <row r="6489" spans="1:6" ht="30" customHeight="1" x14ac:dyDescent="0.25">
      <c r="A6489" s="1" t="s">
        <v>12968</v>
      </c>
      <c r="B6489" s="1" t="str">
        <f>"9781118556733"</f>
        <v>9781118556733</v>
      </c>
      <c r="C6489" s="1" t="s">
        <v>65</v>
      </c>
      <c r="D6489" s="2">
        <v>41310</v>
      </c>
      <c r="E6489" s="1" t="s">
        <v>12969</v>
      </c>
      <c r="F6489" s="1" t="s">
        <v>13</v>
      </c>
    </row>
    <row r="6490" spans="1:6" ht="30" customHeight="1" x14ac:dyDescent="0.25">
      <c r="A6490" s="1" t="s">
        <v>12970</v>
      </c>
      <c r="B6490" s="1" t="str">
        <f>"9780123983602"</f>
        <v>9780123983602</v>
      </c>
      <c r="C6490" s="1" t="s">
        <v>900</v>
      </c>
      <c r="D6490" s="2">
        <v>41411</v>
      </c>
      <c r="E6490" s="1" t="s">
        <v>12971</v>
      </c>
      <c r="F6490" s="1" t="s">
        <v>13</v>
      </c>
    </row>
    <row r="6491" spans="1:6" ht="30" customHeight="1" x14ac:dyDescent="0.25">
      <c r="A6491" s="1" t="s">
        <v>12972</v>
      </c>
      <c r="B6491" s="1" t="str">
        <f>"9780765708595"</f>
        <v>9780765708595</v>
      </c>
      <c r="C6491" s="1" t="s">
        <v>6903</v>
      </c>
      <c r="D6491" s="2">
        <v>41229</v>
      </c>
      <c r="E6491" s="1" t="s">
        <v>12973</v>
      </c>
      <c r="F6491" s="1" t="s">
        <v>13</v>
      </c>
    </row>
    <row r="6492" spans="1:6" ht="30" customHeight="1" x14ac:dyDescent="0.25">
      <c r="A6492" s="1" t="s">
        <v>12974</v>
      </c>
      <c r="B6492" s="1" t="str">
        <f>"9780810886865"</f>
        <v>9780810886865</v>
      </c>
      <c r="C6492" s="1" t="s">
        <v>12975</v>
      </c>
      <c r="D6492" s="2">
        <v>41326</v>
      </c>
      <c r="E6492" s="1" t="s">
        <v>12976</v>
      </c>
      <c r="F6492" s="1" t="s">
        <v>30</v>
      </c>
    </row>
    <row r="6493" spans="1:6" ht="30" customHeight="1" x14ac:dyDescent="0.25">
      <c r="A6493" s="1" t="s">
        <v>12977</v>
      </c>
      <c r="B6493" s="1" t="str">
        <f>"9789814390033"</f>
        <v>9789814390033</v>
      </c>
      <c r="C6493" s="1" t="s">
        <v>881</v>
      </c>
      <c r="D6493" s="2">
        <v>41773</v>
      </c>
      <c r="E6493" s="1" t="s">
        <v>12978</v>
      </c>
      <c r="F6493" s="1" t="s">
        <v>13</v>
      </c>
    </row>
    <row r="6494" spans="1:6" ht="30" customHeight="1" x14ac:dyDescent="0.25">
      <c r="A6494" s="1" t="s">
        <v>12979</v>
      </c>
      <c r="B6494" s="1" t="str">
        <f>"9781118344897"</f>
        <v>9781118344897</v>
      </c>
      <c r="C6494" s="1" t="s">
        <v>65</v>
      </c>
      <c r="D6494" s="2">
        <v>41354</v>
      </c>
      <c r="E6494" s="1" t="s">
        <v>12980</v>
      </c>
      <c r="F6494" s="1" t="s">
        <v>137</v>
      </c>
    </row>
    <row r="6495" spans="1:6" ht="30" customHeight="1" x14ac:dyDescent="0.25">
      <c r="A6495" s="1" t="s">
        <v>12981</v>
      </c>
      <c r="B6495" s="1" t="str">
        <f>"9781118473559"</f>
        <v>9781118473559</v>
      </c>
      <c r="C6495" s="1" t="s">
        <v>11</v>
      </c>
      <c r="D6495" s="2">
        <v>41313</v>
      </c>
      <c r="E6495" s="1" t="s">
        <v>12982</v>
      </c>
      <c r="F6495" s="1" t="s">
        <v>13</v>
      </c>
    </row>
    <row r="6496" spans="1:6" ht="30" customHeight="1" x14ac:dyDescent="0.25">
      <c r="A6496" s="1" t="s">
        <v>12983</v>
      </c>
      <c r="B6496" s="1" t="str">
        <f>"9781780230566"</f>
        <v>9781780230566</v>
      </c>
      <c r="C6496" s="1" t="s">
        <v>8471</v>
      </c>
      <c r="D6496" s="2">
        <v>40923</v>
      </c>
      <c r="E6496" s="1" t="s">
        <v>11143</v>
      </c>
      <c r="F6496" s="1" t="s">
        <v>13</v>
      </c>
    </row>
    <row r="6497" spans="1:6" ht="30" customHeight="1" x14ac:dyDescent="0.25">
      <c r="A6497" s="1" t="s">
        <v>12984</v>
      </c>
      <c r="B6497" s="1" t="str">
        <f>"9780765709141"</f>
        <v>9780765709141</v>
      </c>
      <c r="C6497" s="1" t="s">
        <v>6903</v>
      </c>
      <c r="D6497" s="2">
        <v>41242</v>
      </c>
      <c r="E6497" s="1" t="s">
        <v>12985</v>
      </c>
      <c r="F6497" s="1" t="s">
        <v>104</v>
      </c>
    </row>
    <row r="6498" spans="1:6" ht="30" customHeight="1" x14ac:dyDescent="0.25">
      <c r="A6498" s="1" t="s">
        <v>12986</v>
      </c>
      <c r="B6498" s="1" t="str">
        <f>"9781617051104"</f>
        <v>9781617051104</v>
      </c>
      <c r="C6498" s="1" t="s">
        <v>2342</v>
      </c>
      <c r="D6498" s="2">
        <v>41186</v>
      </c>
      <c r="E6498" s="1" t="s">
        <v>12987</v>
      </c>
      <c r="F6498" s="1" t="s">
        <v>13</v>
      </c>
    </row>
    <row r="6499" spans="1:6" ht="30" customHeight="1" x14ac:dyDescent="0.25">
      <c r="A6499" s="1" t="s">
        <v>12988</v>
      </c>
      <c r="B6499" s="1" t="str">
        <f>"9781617051531"</f>
        <v>9781617051531</v>
      </c>
      <c r="C6499" s="1" t="s">
        <v>2342</v>
      </c>
      <c r="D6499" s="2">
        <v>41325</v>
      </c>
      <c r="E6499" s="1" t="s">
        <v>12989</v>
      </c>
      <c r="F6499" s="1" t="s">
        <v>114</v>
      </c>
    </row>
    <row r="6500" spans="1:6" ht="30" customHeight="1" x14ac:dyDescent="0.25">
      <c r="A6500" s="1" t="s">
        <v>12990</v>
      </c>
      <c r="B6500" s="1" t="str">
        <f>"9781409452188"</f>
        <v>9781409452188</v>
      </c>
      <c r="C6500" s="1" t="s">
        <v>68</v>
      </c>
      <c r="D6500" s="2">
        <v>41392</v>
      </c>
      <c r="E6500" s="1" t="s">
        <v>12991</v>
      </c>
      <c r="F6500" s="1" t="s">
        <v>13</v>
      </c>
    </row>
    <row r="6501" spans="1:6" ht="30" customHeight="1" x14ac:dyDescent="0.25">
      <c r="A6501" s="1" t="s">
        <v>12992</v>
      </c>
      <c r="B6501" s="1" t="str">
        <f>"9781118530627"</f>
        <v>9781118530627</v>
      </c>
      <c r="C6501" s="1" t="s">
        <v>65</v>
      </c>
      <c r="D6501" s="2">
        <v>41318</v>
      </c>
      <c r="E6501" s="1" t="s">
        <v>12993</v>
      </c>
      <c r="F6501" s="1" t="s">
        <v>13</v>
      </c>
    </row>
    <row r="6502" spans="1:6" ht="30" customHeight="1" x14ac:dyDescent="0.25">
      <c r="A6502" s="1" t="s">
        <v>12994</v>
      </c>
      <c r="B6502" s="1" t="str">
        <f>"9781118555743"</f>
        <v>9781118555743</v>
      </c>
      <c r="C6502" s="1" t="s">
        <v>65</v>
      </c>
      <c r="D6502" s="2">
        <v>41317</v>
      </c>
      <c r="E6502" s="1" t="s">
        <v>12995</v>
      </c>
      <c r="F6502" s="1" t="s">
        <v>13</v>
      </c>
    </row>
    <row r="6503" spans="1:6" ht="30" customHeight="1" x14ac:dyDescent="0.25">
      <c r="A6503" s="1" t="s">
        <v>12996</v>
      </c>
      <c r="B6503" s="1" t="str">
        <f>"9781118556146"</f>
        <v>9781118556146</v>
      </c>
      <c r="C6503" s="1" t="s">
        <v>65</v>
      </c>
      <c r="D6503" s="2">
        <v>41383</v>
      </c>
      <c r="E6503" s="1" t="s">
        <v>12997</v>
      </c>
      <c r="F6503" s="1" t="s">
        <v>13</v>
      </c>
    </row>
    <row r="6504" spans="1:6" ht="30" customHeight="1" x14ac:dyDescent="0.25">
      <c r="A6504" s="1" t="s">
        <v>12998</v>
      </c>
      <c r="B6504" s="1" t="str">
        <f>"9781118493625"</f>
        <v>9781118493625</v>
      </c>
      <c r="C6504" s="1" t="s">
        <v>65</v>
      </c>
      <c r="D6504" s="2">
        <v>41302</v>
      </c>
      <c r="E6504" s="1" t="s">
        <v>12999</v>
      </c>
      <c r="F6504" s="1" t="s">
        <v>438</v>
      </c>
    </row>
    <row r="6505" spans="1:6" ht="30" customHeight="1" x14ac:dyDescent="0.25">
      <c r="A6505" s="1" t="s">
        <v>13000</v>
      </c>
      <c r="B6505" s="1" t="str">
        <f>"9781118538180"</f>
        <v>9781118538180</v>
      </c>
      <c r="C6505" s="1" t="s">
        <v>11</v>
      </c>
      <c r="D6505" s="2">
        <v>41306</v>
      </c>
      <c r="E6505" s="1" t="s">
        <v>13001</v>
      </c>
      <c r="F6505" s="1" t="s">
        <v>137</v>
      </c>
    </row>
    <row r="6506" spans="1:6" ht="30" customHeight="1" x14ac:dyDescent="0.25">
      <c r="A6506" s="1" t="s">
        <v>13002</v>
      </c>
      <c r="B6506" s="1" t="str">
        <f>"9781118644584"</f>
        <v>9781118644584</v>
      </c>
      <c r="C6506" s="1" t="s">
        <v>11</v>
      </c>
      <c r="D6506" s="2">
        <v>41317</v>
      </c>
      <c r="E6506" s="1" t="s">
        <v>13003</v>
      </c>
      <c r="F6506" s="1" t="s">
        <v>137</v>
      </c>
    </row>
    <row r="6507" spans="1:6" ht="30" customHeight="1" x14ac:dyDescent="0.25">
      <c r="A6507" s="1" t="s">
        <v>13004</v>
      </c>
      <c r="B6507" s="1" t="str">
        <f>"9783527670437"</f>
        <v>9783527670437</v>
      </c>
      <c r="C6507" s="1" t="s">
        <v>65</v>
      </c>
      <c r="D6507" s="2">
        <v>41319</v>
      </c>
      <c r="E6507" s="1" t="s">
        <v>13005</v>
      </c>
      <c r="F6507" s="1" t="s">
        <v>13</v>
      </c>
    </row>
    <row r="6508" spans="1:6" ht="30" customHeight="1" x14ac:dyDescent="0.25">
      <c r="A6508" s="1" t="s">
        <v>13006</v>
      </c>
      <c r="B6508" s="1" t="str">
        <f>"9781118525418"</f>
        <v>9781118525418</v>
      </c>
      <c r="C6508" s="1" t="s">
        <v>65</v>
      </c>
      <c r="D6508" s="2">
        <v>41318</v>
      </c>
      <c r="E6508" s="1" t="s">
        <v>13007</v>
      </c>
      <c r="F6508" s="1" t="s">
        <v>70</v>
      </c>
    </row>
    <row r="6509" spans="1:6" ht="30" customHeight="1" x14ac:dyDescent="0.25">
      <c r="A6509" s="1" t="s">
        <v>13008</v>
      </c>
      <c r="B6509" s="1" t="str">
        <f>"9781118520086"</f>
        <v>9781118520086</v>
      </c>
      <c r="C6509" s="1" t="s">
        <v>65</v>
      </c>
      <c r="D6509" s="2">
        <v>41319</v>
      </c>
      <c r="E6509" s="1" t="s">
        <v>13009</v>
      </c>
      <c r="F6509" s="1" t="s">
        <v>137</v>
      </c>
    </row>
    <row r="6510" spans="1:6" ht="30" customHeight="1" x14ac:dyDescent="0.25">
      <c r="A6510" s="1" t="s">
        <v>13010</v>
      </c>
      <c r="B6510" s="1" t="str">
        <f>"9780821397800"</f>
        <v>9780821397800</v>
      </c>
      <c r="C6510" s="1" t="s">
        <v>6702</v>
      </c>
      <c r="D6510" s="2">
        <v>41275</v>
      </c>
      <c r="E6510" s="1" t="s">
        <v>13011</v>
      </c>
      <c r="F6510" s="1" t="s">
        <v>30</v>
      </c>
    </row>
    <row r="6511" spans="1:6" ht="30" customHeight="1" x14ac:dyDescent="0.25">
      <c r="A6511" s="1" t="s">
        <v>13012</v>
      </c>
      <c r="B6511" s="1" t="str">
        <f>"9780813560540"</f>
        <v>9780813560540</v>
      </c>
      <c r="C6511" s="1" t="s">
        <v>3656</v>
      </c>
      <c r="D6511" s="2">
        <v>41773</v>
      </c>
      <c r="E6511" s="1" t="s">
        <v>11781</v>
      </c>
      <c r="F6511" s="1" t="s">
        <v>126</v>
      </c>
    </row>
    <row r="6512" spans="1:6" ht="30" customHeight="1" x14ac:dyDescent="0.25">
      <c r="A6512" s="1" t="s">
        <v>13013</v>
      </c>
      <c r="B6512" s="1" t="str">
        <f>"9780520954953"</f>
        <v>9780520954953</v>
      </c>
      <c r="C6512" s="1" t="s">
        <v>818</v>
      </c>
      <c r="D6512" s="2">
        <v>41394</v>
      </c>
      <c r="E6512" s="1" t="s">
        <v>852</v>
      </c>
      <c r="F6512" s="1" t="s">
        <v>1351</v>
      </c>
    </row>
    <row r="6513" spans="1:6" ht="30" customHeight="1" x14ac:dyDescent="0.25">
      <c r="A6513" s="1" t="s">
        <v>13014</v>
      </c>
      <c r="B6513" s="1" t="str">
        <f>"9783110267488"</f>
        <v>9783110267488</v>
      </c>
      <c r="C6513" s="1" t="s">
        <v>1848</v>
      </c>
      <c r="D6513" s="2">
        <v>41605</v>
      </c>
      <c r="E6513" s="1" t="s">
        <v>13015</v>
      </c>
      <c r="F6513" s="1" t="s">
        <v>11352</v>
      </c>
    </row>
    <row r="6514" spans="1:6" ht="30" customHeight="1" x14ac:dyDescent="0.25">
      <c r="A6514" s="1" t="s">
        <v>13016</v>
      </c>
      <c r="B6514" s="1" t="str">
        <f>"9783110281927"</f>
        <v>9783110281927</v>
      </c>
      <c r="C6514" s="1" t="s">
        <v>1848</v>
      </c>
      <c r="D6514" s="2">
        <v>41697</v>
      </c>
      <c r="E6514" s="1" t="s">
        <v>13017</v>
      </c>
      <c r="F6514" s="1" t="s">
        <v>70</v>
      </c>
    </row>
    <row r="6515" spans="1:6" ht="30" customHeight="1" x14ac:dyDescent="0.25">
      <c r="A6515" s="1" t="s">
        <v>13018</v>
      </c>
      <c r="B6515" s="1" t="str">
        <f>"9783110292046"</f>
        <v>9783110292046</v>
      </c>
      <c r="C6515" s="1" t="s">
        <v>1848</v>
      </c>
      <c r="D6515" s="2">
        <v>41576</v>
      </c>
      <c r="E6515" s="1" t="s">
        <v>13019</v>
      </c>
      <c r="F6515" s="1" t="s">
        <v>291</v>
      </c>
    </row>
    <row r="6516" spans="1:6" ht="30" customHeight="1" x14ac:dyDescent="0.25">
      <c r="A6516" s="1" t="s">
        <v>13020</v>
      </c>
      <c r="B6516" s="1" t="str">
        <f>"9780191650901"</f>
        <v>9780191650901</v>
      </c>
      <c r="C6516" s="1" t="s">
        <v>1120</v>
      </c>
      <c r="D6516" s="2">
        <v>41291</v>
      </c>
      <c r="E6516" s="1" t="s">
        <v>13021</v>
      </c>
      <c r="F6516" s="1" t="s">
        <v>214</v>
      </c>
    </row>
    <row r="6517" spans="1:6" ht="30" customHeight="1" x14ac:dyDescent="0.25">
      <c r="A6517" s="1" t="s">
        <v>13022</v>
      </c>
      <c r="B6517" s="1" t="str">
        <f>"9781118239100"</f>
        <v>9781118239100</v>
      </c>
      <c r="C6517" s="1" t="s">
        <v>65</v>
      </c>
      <c r="D6517" s="2">
        <v>41324</v>
      </c>
      <c r="E6517" s="1" t="s">
        <v>13023</v>
      </c>
      <c r="F6517" s="1" t="s">
        <v>304</v>
      </c>
    </row>
    <row r="6518" spans="1:6" ht="30" customHeight="1" x14ac:dyDescent="0.25">
      <c r="A6518" s="1" t="s">
        <v>13024</v>
      </c>
      <c r="B6518" s="1" t="str">
        <f>"9781118275979"</f>
        <v>9781118275979</v>
      </c>
      <c r="C6518" s="1" t="s">
        <v>65</v>
      </c>
      <c r="D6518" s="2">
        <v>41376</v>
      </c>
      <c r="E6518" s="1" t="s">
        <v>13025</v>
      </c>
      <c r="F6518" s="1" t="s">
        <v>13</v>
      </c>
    </row>
    <row r="6519" spans="1:6" ht="30" customHeight="1" x14ac:dyDescent="0.25">
      <c r="A6519" s="1" t="s">
        <v>13026</v>
      </c>
      <c r="B6519" s="1" t="str">
        <f>"9781118503676"</f>
        <v>9781118503676</v>
      </c>
      <c r="C6519" s="1" t="s">
        <v>65</v>
      </c>
      <c r="D6519" s="2">
        <v>41323</v>
      </c>
      <c r="E6519" s="1" t="s">
        <v>13027</v>
      </c>
      <c r="F6519" s="1" t="s">
        <v>13028</v>
      </c>
    </row>
    <row r="6520" spans="1:6" ht="30" customHeight="1" x14ac:dyDescent="0.25">
      <c r="A6520" s="1" t="s">
        <v>13029</v>
      </c>
      <c r="B6520" s="1" t="str">
        <f>"9781118442029"</f>
        <v>9781118442029</v>
      </c>
      <c r="C6520" s="1" t="s">
        <v>65</v>
      </c>
      <c r="D6520" s="2">
        <v>41324</v>
      </c>
      <c r="E6520" s="1" t="s">
        <v>13030</v>
      </c>
      <c r="F6520" s="1" t="s">
        <v>13</v>
      </c>
    </row>
    <row r="6521" spans="1:6" ht="30" customHeight="1" x14ac:dyDescent="0.25">
      <c r="A6521" s="1" t="s">
        <v>13031</v>
      </c>
      <c r="B6521" s="1" t="str">
        <f>"9781118448755"</f>
        <v>9781118448755</v>
      </c>
      <c r="C6521" s="1" t="s">
        <v>65</v>
      </c>
      <c r="D6521" s="2">
        <v>41324</v>
      </c>
      <c r="E6521" s="1" t="s">
        <v>13032</v>
      </c>
      <c r="F6521" s="1" t="s">
        <v>126</v>
      </c>
    </row>
    <row r="6522" spans="1:6" ht="30" customHeight="1" x14ac:dyDescent="0.25">
      <c r="A6522" s="1" t="s">
        <v>13033</v>
      </c>
      <c r="B6522" s="1" t="str">
        <f>"9781118448878"</f>
        <v>9781118448878</v>
      </c>
      <c r="C6522" s="1" t="s">
        <v>65</v>
      </c>
      <c r="D6522" s="2">
        <v>41324</v>
      </c>
      <c r="E6522" s="1" t="s">
        <v>13032</v>
      </c>
      <c r="F6522" s="1" t="s">
        <v>82</v>
      </c>
    </row>
    <row r="6523" spans="1:6" ht="30" customHeight="1" x14ac:dyDescent="0.25">
      <c r="A6523" s="1" t="s">
        <v>13034</v>
      </c>
      <c r="B6523" s="1" t="str">
        <f>"9781118448953"</f>
        <v>9781118448953</v>
      </c>
      <c r="C6523" s="1" t="s">
        <v>65</v>
      </c>
      <c r="D6523" s="2">
        <v>41324</v>
      </c>
      <c r="E6523" s="1" t="s">
        <v>13032</v>
      </c>
      <c r="F6523" s="1" t="s">
        <v>10857</v>
      </c>
    </row>
    <row r="6524" spans="1:6" ht="30" customHeight="1" x14ac:dyDescent="0.25">
      <c r="A6524" s="1" t="s">
        <v>13035</v>
      </c>
      <c r="B6524" s="1" t="str">
        <f>"9781118499245"</f>
        <v>9781118499245</v>
      </c>
      <c r="C6524" s="1" t="s">
        <v>65</v>
      </c>
      <c r="D6524" s="2">
        <v>41324</v>
      </c>
      <c r="E6524" s="1" t="s">
        <v>13036</v>
      </c>
      <c r="F6524" s="1" t="s">
        <v>13</v>
      </c>
    </row>
    <row r="6525" spans="1:6" ht="30" customHeight="1" x14ac:dyDescent="0.25">
      <c r="A6525" s="1" t="s">
        <v>13037</v>
      </c>
      <c r="B6525" s="1" t="str">
        <f>"9781118517017"</f>
        <v>9781118517017</v>
      </c>
      <c r="C6525" s="1" t="s">
        <v>65</v>
      </c>
      <c r="D6525" s="2">
        <v>41325</v>
      </c>
      <c r="E6525" s="1" t="s">
        <v>13038</v>
      </c>
      <c r="F6525" s="1" t="s">
        <v>137</v>
      </c>
    </row>
    <row r="6526" spans="1:6" ht="30" customHeight="1" x14ac:dyDescent="0.25">
      <c r="A6526" s="1" t="s">
        <v>13039</v>
      </c>
      <c r="B6526" s="1" t="str">
        <f>"9781118559390"</f>
        <v>9781118559390</v>
      </c>
      <c r="C6526" s="1" t="s">
        <v>11</v>
      </c>
      <c r="D6526" s="2">
        <v>41324</v>
      </c>
      <c r="E6526" s="1" t="s">
        <v>13040</v>
      </c>
      <c r="F6526" s="1" t="s">
        <v>13</v>
      </c>
    </row>
    <row r="6527" spans="1:6" ht="30" customHeight="1" x14ac:dyDescent="0.25">
      <c r="A6527" s="1" t="s">
        <v>13041</v>
      </c>
      <c r="B6527" s="1" t="str">
        <f>"9781118625323"</f>
        <v>9781118625323</v>
      </c>
      <c r="C6527" s="1" t="s">
        <v>65</v>
      </c>
      <c r="D6527" s="2">
        <v>41324</v>
      </c>
      <c r="E6527" s="1" t="s">
        <v>13042</v>
      </c>
      <c r="F6527" s="1" t="s">
        <v>13</v>
      </c>
    </row>
    <row r="6528" spans="1:6" ht="30" customHeight="1" x14ac:dyDescent="0.25">
      <c r="A6528" s="1" t="s">
        <v>13043</v>
      </c>
      <c r="B6528" s="1" t="str">
        <f>"9781118570548"</f>
        <v>9781118570548</v>
      </c>
      <c r="C6528" s="1" t="s">
        <v>65</v>
      </c>
      <c r="D6528" s="2">
        <v>41330</v>
      </c>
      <c r="E6528" s="1" t="s">
        <v>13044</v>
      </c>
      <c r="F6528" s="1" t="s">
        <v>268</v>
      </c>
    </row>
    <row r="6529" spans="1:6" ht="30" customHeight="1" x14ac:dyDescent="0.25">
      <c r="A6529" s="1" t="s">
        <v>13045</v>
      </c>
      <c r="B6529" s="1" t="str">
        <f>"9781443808521"</f>
        <v>9781443808521</v>
      </c>
      <c r="C6529" s="1" t="s">
        <v>12699</v>
      </c>
      <c r="D6529" s="2">
        <v>39630</v>
      </c>
      <c r="E6529" s="1" t="s">
        <v>13046</v>
      </c>
      <c r="F6529" s="1" t="s">
        <v>13</v>
      </c>
    </row>
    <row r="6530" spans="1:6" ht="30" customHeight="1" x14ac:dyDescent="0.25">
      <c r="A6530" s="1" t="s">
        <v>13047</v>
      </c>
      <c r="B6530" s="1" t="str">
        <f>"9781443822114"</f>
        <v>9781443822114</v>
      </c>
      <c r="C6530" s="1" t="s">
        <v>12699</v>
      </c>
      <c r="D6530" s="2">
        <v>40330</v>
      </c>
      <c r="E6530" s="1" t="s">
        <v>13048</v>
      </c>
      <c r="F6530" s="1" t="s">
        <v>13</v>
      </c>
    </row>
    <row r="6531" spans="1:6" ht="30" customHeight="1" x14ac:dyDescent="0.25">
      <c r="A6531" s="1" t="s">
        <v>13049</v>
      </c>
      <c r="B6531" s="1" t="str">
        <f>"9780123948243"</f>
        <v>9780123948243</v>
      </c>
      <c r="C6531" s="1" t="s">
        <v>12510</v>
      </c>
      <c r="D6531" s="2">
        <v>41325</v>
      </c>
      <c r="E6531" s="1" t="s">
        <v>13050</v>
      </c>
      <c r="F6531" s="1" t="s">
        <v>268</v>
      </c>
    </row>
    <row r="6532" spans="1:6" ht="30" customHeight="1" x14ac:dyDescent="0.25">
      <c r="A6532" s="1" t="s">
        <v>13051</v>
      </c>
      <c r="B6532" s="1" t="str">
        <f>"9782869784260"</f>
        <v>9782869784260</v>
      </c>
      <c r="C6532" s="1" t="s">
        <v>13052</v>
      </c>
      <c r="D6532" s="2">
        <v>40101</v>
      </c>
      <c r="E6532" s="1" t="s">
        <v>13053</v>
      </c>
      <c r="F6532" s="1" t="s">
        <v>30</v>
      </c>
    </row>
    <row r="6533" spans="1:6" ht="30" customHeight="1" x14ac:dyDescent="0.25">
      <c r="A6533" s="1" t="s">
        <v>13054</v>
      </c>
      <c r="B6533" s="1" t="str">
        <f>"9789988647599"</f>
        <v>9789988647599</v>
      </c>
      <c r="C6533" s="1" t="s">
        <v>13055</v>
      </c>
      <c r="D6533" s="2">
        <v>39083</v>
      </c>
      <c r="E6533" s="1" t="s">
        <v>13056</v>
      </c>
      <c r="F6533" s="1" t="s">
        <v>2019</v>
      </c>
    </row>
    <row r="6534" spans="1:6" ht="30" customHeight="1" x14ac:dyDescent="0.25">
      <c r="A6534" s="1" t="s">
        <v>13057</v>
      </c>
      <c r="B6534" s="1" t="str">
        <f>"9782869784031"</f>
        <v>9782869784031</v>
      </c>
      <c r="C6534" s="1" t="s">
        <v>13052</v>
      </c>
      <c r="D6534" s="2">
        <v>39522</v>
      </c>
      <c r="E6534" s="1" t="s">
        <v>13058</v>
      </c>
      <c r="F6534" s="1" t="s">
        <v>95</v>
      </c>
    </row>
    <row r="6535" spans="1:6" ht="30" customHeight="1" x14ac:dyDescent="0.25">
      <c r="A6535" s="1" t="s">
        <v>13059</v>
      </c>
      <c r="B6535" s="1" t="str">
        <f>"9781920590208"</f>
        <v>9781920590208</v>
      </c>
      <c r="C6535" s="1" t="s">
        <v>13060</v>
      </c>
      <c r="D6535" s="2">
        <v>40993</v>
      </c>
      <c r="E6535" s="1" t="s">
        <v>13061</v>
      </c>
      <c r="F6535" s="1" t="s">
        <v>356</v>
      </c>
    </row>
    <row r="6536" spans="1:6" ht="30" customHeight="1" x14ac:dyDescent="0.25">
      <c r="A6536" s="1" t="s">
        <v>13062</v>
      </c>
      <c r="B6536" s="1" t="str">
        <f>"9789956726882"</f>
        <v>9789956726882</v>
      </c>
      <c r="C6536" s="1" t="s">
        <v>13063</v>
      </c>
      <c r="D6536" s="2">
        <v>40812</v>
      </c>
      <c r="E6536" s="1" t="s">
        <v>13064</v>
      </c>
      <c r="F6536" s="1" t="s">
        <v>205</v>
      </c>
    </row>
    <row r="6537" spans="1:6" ht="30" customHeight="1" x14ac:dyDescent="0.25">
      <c r="A6537" s="1" t="s">
        <v>13065</v>
      </c>
      <c r="B6537" s="1" t="str">
        <f>"9781920397104"</f>
        <v>9781920397104</v>
      </c>
      <c r="C6537" s="1" t="s">
        <v>13060</v>
      </c>
      <c r="D6537" s="2">
        <v>40176</v>
      </c>
      <c r="E6537" s="1" t="s">
        <v>13066</v>
      </c>
      <c r="F6537" s="1" t="s">
        <v>5085</v>
      </c>
    </row>
    <row r="6538" spans="1:6" ht="30" customHeight="1" x14ac:dyDescent="0.25">
      <c r="A6538" s="1" t="s">
        <v>13067</v>
      </c>
      <c r="B6538" s="1" t="str">
        <f>"9782869784185"</f>
        <v>9782869784185</v>
      </c>
      <c r="C6538" s="1" t="s">
        <v>13052</v>
      </c>
      <c r="D6538" s="2">
        <v>39493</v>
      </c>
      <c r="E6538" s="1" t="s">
        <v>13068</v>
      </c>
      <c r="F6538" s="1" t="s">
        <v>214</v>
      </c>
    </row>
    <row r="6539" spans="1:6" ht="30" customHeight="1" x14ac:dyDescent="0.25">
      <c r="A6539" s="1" t="s">
        <v>13069</v>
      </c>
      <c r="B6539" s="1" t="str">
        <f>"9789966028006"</f>
        <v>9789966028006</v>
      </c>
      <c r="C6539" s="1" t="s">
        <v>13070</v>
      </c>
      <c r="D6539" s="2">
        <v>38579</v>
      </c>
      <c r="E6539" s="1" t="s">
        <v>13071</v>
      </c>
      <c r="F6539" s="1" t="s">
        <v>95</v>
      </c>
    </row>
    <row r="6540" spans="1:6" ht="30" customHeight="1" x14ac:dyDescent="0.25">
      <c r="A6540" s="1" t="s">
        <v>13072</v>
      </c>
      <c r="B6540" s="1" t="str">
        <f>"9789956579853"</f>
        <v>9789956579853</v>
      </c>
      <c r="C6540" s="1" t="s">
        <v>13063</v>
      </c>
      <c r="D6540" s="2">
        <v>40483</v>
      </c>
      <c r="E6540" s="1" t="s">
        <v>13073</v>
      </c>
      <c r="F6540" s="1" t="s">
        <v>205</v>
      </c>
    </row>
    <row r="6541" spans="1:6" ht="30" customHeight="1" x14ac:dyDescent="0.25">
      <c r="A6541" s="1" t="s">
        <v>13074</v>
      </c>
      <c r="B6541" s="1" t="str">
        <f>"9781614990765"</f>
        <v>9781614990765</v>
      </c>
      <c r="C6541" s="1" t="s">
        <v>1390</v>
      </c>
      <c r="D6541" s="2">
        <v>41232</v>
      </c>
      <c r="E6541" s="1" t="s">
        <v>13075</v>
      </c>
      <c r="F6541" s="1" t="s">
        <v>780</v>
      </c>
    </row>
    <row r="6542" spans="1:6" ht="30" customHeight="1" x14ac:dyDescent="0.25">
      <c r="A6542" s="1" t="s">
        <v>13076</v>
      </c>
      <c r="B6542" s="1" t="str">
        <f>"9781614991359"</f>
        <v>9781614991359</v>
      </c>
      <c r="C6542" s="1" t="s">
        <v>1390</v>
      </c>
      <c r="D6542" s="2">
        <v>41261</v>
      </c>
      <c r="E6542" s="1" t="s">
        <v>13077</v>
      </c>
      <c r="F6542" s="1" t="s">
        <v>158</v>
      </c>
    </row>
    <row r="6543" spans="1:6" ht="30" customHeight="1" x14ac:dyDescent="0.25">
      <c r="A6543" s="1" t="s">
        <v>13078</v>
      </c>
      <c r="B6543" s="1" t="str">
        <f>"9781614991526"</f>
        <v>9781614991526</v>
      </c>
      <c r="C6543" s="1" t="s">
        <v>1390</v>
      </c>
      <c r="D6543" s="2">
        <v>41226</v>
      </c>
      <c r="E6543" s="1" t="s">
        <v>13079</v>
      </c>
      <c r="F6543" s="1" t="s">
        <v>13</v>
      </c>
    </row>
    <row r="6544" spans="1:6" ht="30" customHeight="1" x14ac:dyDescent="0.25">
      <c r="A6544" s="1" t="s">
        <v>13080</v>
      </c>
      <c r="B6544" s="1" t="str">
        <f>"9781614992035"</f>
        <v>9781614992035</v>
      </c>
      <c r="C6544" s="1" t="s">
        <v>1390</v>
      </c>
      <c r="D6544" s="2">
        <v>41312</v>
      </c>
      <c r="E6544" s="1" t="s">
        <v>13081</v>
      </c>
      <c r="F6544" s="1" t="s">
        <v>158</v>
      </c>
    </row>
    <row r="6545" spans="1:6" ht="30" customHeight="1" x14ac:dyDescent="0.25">
      <c r="A6545" s="1" t="s">
        <v>13082</v>
      </c>
      <c r="B6545" s="1" t="str">
        <f>"9781614992097"</f>
        <v>9781614992097</v>
      </c>
      <c r="C6545" s="1" t="s">
        <v>1390</v>
      </c>
      <c r="D6545" s="2">
        <v>41339</v>
      </c>
      <c r="E6545" s="1" t="s">
        <v>13083</v>
      </c>
      <c r="F6545" s="1" t="s">
        <v>2130</v>
      </c>
    </row>
    <row r="6546" spans="1:6" ht="30" customHeight="1" x14ac:dyDescent="0.25">
      <c r="A6546" s="1" t="s">
        <v>13084</v>
      </c>
      <c r="B6546" s="1" t="str">
        <f>"9781118455265"</f>
        <v>9781118455265</v>
      </c>
      <c r="C6546" s="1" t="s">
        <v>65</v>
      </c>
      <c r="D6546" s="2">
        <v>41330</v>
      </c>
      <c r="E6546" s="1" t="s">
        <v>13085</v>
      </c>
      <c r="F6546" s="1" t="s">
        <v>13</v>
      </c>
    </row>
    <row r="6547" spans="1:6" ht="30" customHeight="1" x14ac:dyDescent="0.25">
      <c r="A6547" s="1" t="s">
        <v>13086</v>
      </c>
      <c r="B6547" s="1" t="str">
        <f>"9781118541142"</f>
        <v>9781118541142</v>
      </c>
      <c r="C6547" s="1" t="s">
        <v>65</v>
      </c>
      <c r="D6547" s="2">
        <v>41330</v>
      </c>
      <c r="E6547" s="1" t="s">
        <v>13087</v>
      </c>
      <c r="F6547" s="1" t="s">
        <v>13</v>
      </c>
    </row>
    <row r="6548" spans="1:6" ht="30" customHeight="1" x14ac:dyDescent="0.25">
      <c r="A6548" s="1" t="s">
        <v>13088</v>
      </c>
      <c r="B6548" s="1" t="str">
        <f>"9781118386149"</f>
        <v>9781118386149</v>
      </c>
      <c r="C6548" s="1" t="s">
        <v>11</v>
      </c>
      <c r="D6548" s="2">
        <v>41334</v>
      </c>
      <c r="E6548" s="1" t="s">
        <v>13089</v>
      </c>
      <c r="F6548" s="1" t="s">
        <v>13</v>
      </c>
    </row>
    <row r="6549" spans="1:6" ht="30" customHeight="1" x14ac:dyDescent="0.25">
      <c r="A6549" s="1" t="s">
        <v>13090</v>
      </c>
      <c r="B6549" s="1" t="str">
        <f>"9781118581650"</f>
        <v>9781118581650</v>
      </c>
      <c r="C6549" s="1" t="s">
        <v>11</v>
      </c>
      <c r="D6549" s="2">
        <v>41331</v>
      </c>
      <c r="E6549" s="1" t="s">
        <v>13091</v>
      </c>
      <c r="F6549" s="1" t="s">
        <v>13</v>
      </c>
    </row>
    <row r="6550" spans="1:6" ht="30" customHeight="1" x14ac:dyDescent="0.25">
      <c r="A6550" s="1" t="s">
        <v>13092</v>
      </c>
      <c r="B6550" s="1" t="str">
        <f>"9781135454609"</f>
        <v>9781135454609</v>
      </c>
      <c r="C6550" s="1" t="s">
        <v>68</v>
      </c>
      <c r="D6550" s="2">
        <v>37435</v>
      </c>
      <c r="E6550" s="1" t="s">
        <v>13093</v>
      </c>
      <c r="F6550" s="1" t="s">
        <v>13</v>
      </c>
    </row>
    <row r="6551" spans="1:6" ht="30" customHeight="1" x14ac:dyDescent="0.25">
      <c r="A6551" s="1" t="s">
        <v>13094</v>
      </c>
      <c r="B6551" s="1" t="str">
        <f>"9781118466742"</f>
        <v>9781118466742</v>
      </c>
      <c r="C6551" s="1" t="s">
        <v>65</v>
      </c>
      <c r="D6551" s="2">
        <v>41333</v>
      </c>
      <c r="E6551" s="1" t="s">
        <v>13095</v>
      </c>
      <c r="F6551" s="1" t="s">
        <v>30</v>
      </c>
    </row>
    <row r="6552" spans="1:6" ht="30" customHeight="1" x14ac:dyDescent="0.25">
      <c r="A6552" s="1" t="s">
        <v>13096</v>
      </c>
      <c r="B6552" s="1" t="str">
        <f>"9781118555965"</f>
        <v>9781118555965</v>
      </c>
      <c r="C6552" s="1" t="s">
        <v>11</v>
      </c>
      <c r="D6552" s="2">
        <v>41333</v>
      </c>
      <c r="E6552" s="1" t="s">
        <v>13097</v>
      </c>
      <c r="F6552" s="1" t="s">
        <v>13</v>
      </c>
    </row>
    <row r="6553" spans="1:6" ht="30" customHeight="1" x14ac:dyDescent="0.25">
      <c r="A6553" s="1" t="s">
        <v>13098</v>
      </c>
      <c r="B6553" s="1" t="str">
        <f>"9783110306576"</f>
        <v>9783110306576</v>
      </c>
      <c r="C6553" s="1" t="s">
        <v>1848</v>
      </c>
      <c r="D6553" s="2">
        <v>41626</v>
      </c>
      <c r="E6553" s="1" t="s">
        <v>13099</v>
      </c>
      <c r="F6553" s="1" t="s">
        <v>13</v>
      </c>
    </row>
    <row r="6554" spans="1:6" ht="30" customHeight="1" x14ac:dyDescent="0.25">
      <c r="A6554" s="1" t="s">
        <v>13100</v>
      </c>
      <c r="B6554" s="1" t="str">
        <f>"9783110316612"</f>
        <v>9783110316612</v>
      </c>
      <c r="C6554" s="1" t="s">
        <v>1848</v>
      </c>
      <c r="D6554" s="2">
        <v>41561</v>
      </c>
      <c r="E6554" s="1" t="s">
        <v>13101</v>
      </c>
      <c r="F6554" s="1" t="s">
        <v>13</v>
      </c>
    </row>
    <row r="6555" spans="1:6" ht="30" customHeight="1" x14ac:dyDescent="0.25">
      <c r="A6555" s="1" t="s">
        <v>13102</v>
      </c>
      <c r="B6555" s="1" t="str">
        <f>"9789814324182"</f>
        <v>9789814324182</v>
      </c>
      <c r="C6555" s="1" t="s">
        <v>881</v>
      </c>
      <c r="D6555" s="2">
        <v>41773</v>
      </c>
      <c r="E6555" s="1" t="s">
        <v>13103</v>
      </c>
      <c r="F6555" s="1" t="s">
        <v>137</v>
      </c>
    </row>
    <row r="6556" spans="1:6" ht="30" customHeight="1" x14ac:dyDescent="0.25">
      <c r="A6556" s="1" t="s">
        <v>13104</v>
      </c>
      <c r="B6556" s="1" t="str">
        <f>"9781118563335"</f>
        <v>9781118563335</v>
      </c>
      <c r="C6556" s="1" t="s">
        <v>65</v>
      </c>
      <c r="D6556" s="2">
        <v>41334</v>
      </c>
      <c r="E6556" s="1" t="s">
        <v>13105</v>
      </c>
      <c r="F6556" s="1" t="s">
        <v>13</v>
      </c>
    </row>
    <row r="6557" spans="1:6" ht="30" customHeight="1" x14ac:dyDescent="0.25">
      <c r="A6557" s="1" t="s">
        <v>13106</v>
      </c>
      <c r="B6557" s="1" t="str">
        <f>"9781118274217"</f>
        <v>9781118274217</v>
      </c>
      <c r="C6557" s="1" t="s">
        <v>65</v>
      </c>
      <c r="D6557" s="2">
        <v>41334</v>
      </c>
      <c r="E6557" s="1" t="s">
        <v>13107</v>
      </c>
      <c r="F6557" s="1" t="s">
        <v>13</v>
      </c>
    </row>
    <row r="6558" spans="1:6" ht="30" customHeight="1" x14ac:dyDescent="0.25">
      <c r="A6558" s="1" t="s">
        <v>13108</v>
      </c>
      <c r="B6558" s="1" t="str">
        <f>"9781118369708"</f>
        <v>9781118369708</v>
      </c>
      <c r="C6558" s="1" t="s">
        <v>65</v>
      </c>
      <c r="D6558" s="2">
        <v>41334</v>
      </c>
      <c r="E6558" s="1" t="s">
        <v>13109</v>
      </c>
      <c r="F6558" s="1" t="s">
        <v>13</v>
      </c>
    </row>
    <row r="6559" spans="1:6" ht="30" customHeight="1" x14ac:dyDescent="0.25">
      <c r="A6559" s="1" t="s">
        <v>13110</v>
      </c>
      <c r="B6559" s="1" t="str">
        <f>"9781118485439"</f>
        <v>9781118485439</v>
      </c>
      <c r="C6559" s="1" t="s">
        <v>65</v>
      </c>
      <c r="D6559" s="2">
        <v>41334</v>
      </c>
      <c r="E6559" s="1" t="s">
        <v>13111</v>
      </c>
      <c r="F6559" s="1" t="s">
        <v>13</v>
      </c>
    </row>
    <row r="6560" spans="1:6" ht="30" customHeight="1" x14ac:dyDescent="0.25">
      <c r="A6560" s="1" t="s">
        <v>13112</v>
      </c>
      <c r="B6560" s="1" t="str">
        <f>"9781118617182"</f>
        <v>9781118617182</v>
      </c>
      <c r="C6560" s="1" t="s">
        <v>65</v>
      </c>
      <c r="D6560" s="2">
        <v>41337</v>
      </c>
      <c r="E6560" s="1" t="s">
        <v>13015</v>
      </c>
      <c r="F6560" s="1" t="s">
        <v>13</v>
      </c>
    </row>
    <row r="6561" spans="1:6" ht="30" customHeight="1" x14ac:dyDescent="0.25">
      <c r="A6561" s="1" t="s">
        <v>13113</v>
      </c>
      <c r="B6561" s="1" t="str">
        <f>"9780813551180"</f>
        <v>9780813551180</v>
      </c>
      <c r="C6561" s="1" t="s">
        <v>3656</v>
      </c>
      <c r="D6561" s="2">
        <v>40040</v>
      </c>
      <c r="E6561" s="1" t="s">
        <v>13114</v>
      </c>
      <c r="F6561" s="1" t="s">
        <v>13</v>
      </c>
    </row>
    <row r="6562" spans="1:6" ht="30" customHeight="1" x14ac:dyDescent="0.25">
      <c r="A6562" s="1" t="s">
        <v>13115</v>
      </c>
      <c r="B6562" s="1" t="str">
        <f>"9780804786140"</f>
        <v>9780804786140</v>
      </c>
      <c r="C6562" s="1" t="s">
        <v>7827</v>
      </c>
      <c r="D6562" s="2">
        <v>41367</v>
      </c>
      <c r="E6562" s="1" t="s">
        <v>13116</v>
      </c>
      <c r="F6562" s="1" t="s">
        <v>176</v>
      </c>
    </row>
    <row r="6563" spans="1:6" ht="30" customHeight="1" x14ac:dyDescent="0.25">
      <c r="A6563" s="1" t="s">
        <v>13117</v>
      </c>
      <c r="B6563" s="1" t="str">
        <f>"9781782410614"</f>
        <v>9781782410614</v>
      </c>
      <c r="C6563" s="1" t="s">
        <v>8994</v>
      </c>
      <c r="D6563" s="2">
        <v>41275</v>
      </c>
      <c r="E6563" s="1" t="s">
        <v>13118</v>
      </c>
      <c r="F6563" s="1" t="s">
        <v>291</v>
      </c>
    </row>
    <row r="6564" spans="1:6" ht="30" customHeight="1" x14ac:dyDescent="0.25">
      <c r="A6564" s="1" t="s">
        <v>13119</v>
      </c>
      <c r="B6564" s="1" t="str">
        <f>"9780765709202"</f>
        <v>9780765709202</v>
      </c>
      <c r="C6564" s="1" t="s">
        <v>6903</v>
      </c>
      <c r="D6564" s="2">
        <v>41347</v>
      </c>
      <c r="E6564" s="1" t="s">
        <v>13120</v>
      </c>
      <c r="F6564" s="1" t="s">
        <v>2537</v>
      </c>
    </row>
    <row r="6565" spans="1:6" ht="30" customHeight="1" x14ac:dyDescent="0.25">
      <c r="A6565" s="1" t="s">
        <v>13121</v>
      </c>
      <c r="B6565" s="1" t="str">
        <f>"9781118457740"</f>
        <v>9781118457740</v>
      </c>
      <c r="C6565" s="1" t="s">
        <v>65</v>
      </c>
      <c r="D6565" s="2">
        <v>39598</v>
      </c>
      <c r="E6565" s="1" t="s">
        <v>13122</v>
      </c>
      <c r="F6565" s="1" t="s">
        <v>137</v>
      </c>
    </row>
    <row r="6566" spans="1:6" ht="30" customHeight="1" x14ac:dyDescent="0.25">
      <c r="A6566" s="1" t="s">
        <v>13123</v>
      </c>
      <c r="B6566" s="1" t="str">
        <f>"9789062998593"</f>
        <v>9789062998593</v>
      </c>
      <c r="C6566" s="1" t="s">
        <v>3412</v>
      </c>
      <c r="D6566" s="2">
        <v>41222</v>
      </c>
      <c r="E6566" s="1" t="s">
        <v>13124</v>
      </c>
      <c r="F6566" s="1" t="s">
        <v>13</v>
      </c>
    </row>
    <row r="6567" spans="1:6" ht="30" customHeight="1" x14ac:dyDescent="0.25">
      <c r="A6567" s="1" t="s">
        <v>13125</v>
      </c>
      <c r="B6567" s="1" t="str">
        <f>"9780826199577"</f>
        <v>9780826199577</v>
      </c>
      <c r="C6567" s="1" t="s">
        <v>2339</v>
      </c>
      <c r="D6567" s="2">
        <v>41361</v>
      </c>
      <c r="E6567" s="1" t="s">
        <v>13126</v>
      </c>
      <c r="F6567" s="1" t="s">
        <v>13</v>
      </c>
    </row>
    <row r="6568" spans="1:6" ht="30" customHeight="1" x14ac:dyDescent="0.25">
      <c r="A6568" s="1" t="s">
        <v>13127</v>
      </c>
      <c r="B6568" s="1" t="str">
        <f>"9780826170866"</f>
        <v>9780826170866</v>
      </c>
      <c r="C6568" s="1" t="s">
        <v>2339</v>
      </c>
      <c r="D6568" s="2">
        <v>41334</v>
      </c>
      <c r="E6568" s="1" t="s">
        <v>13128</v>
      </c>
      <c r="F6568" s="1" t="s">
        <v>126</v>
      </c>
    </row>
    <row r="6569" spans="1:6" ht="30" customHeight="1" x14ac:dyDescent="0.25">
      <c r="A6569" s="1" t="s">
        <v>13129</v>
      </c>
      <c r="B6569" s="1" t="str">
        <f>"9781118485316"</f>
        <v>9781118485316</v>
      </c>
      <c r="C6569" s="1" t="s">
        <v>65</v>
      </c>
      <c r="D6569" s="2">
        <v>41338</v>
      </c>
      <c r="E6569" s="1" t="s">
        <v>13130</v>
      </c>
      <c r="F6569" s="1" t="s">
        <v>13</v>
      </c>
    </row>
    <row r="6570" spans="1:6" ht="30" customHeight="1" x14ac:dyDescent="0.25">
      <c r="A6570" s="1" t="s">
        <v>13131</v>
      </c>
      <c r="B6570" s="1" t="str">
        <f>"9781118525968"</f>
        <v>9781118525968</v>
      </c>
      <c r="C6570" s="1" t="s">
        <v>65</v>
      </c>
      <c r="D6570" s="2">
        <v>41340</v>
      </c>
      <c r="E6570" s="1" t="s">
        <v>13132</v>
      </c>
      <c r="F6570" s="1" t="s">
        <v>13</v>
      </c>
    </row>
    <row r="6571" spans="1:6" ht="30" customHeight="1" x14ac:dyDescent="0.25">
      <c r="A6571" s="1" t="s">
        <v>13133</v>
      </c>
      <c r="B6571" s="1" t="str">
        <f>"9781118568057"</f>
        <v>9781118568057</v>
      </c>
      <c r="C6571" s="1" t="s">
        <v>65</v>
      </c>
      <c r="D6571" s="2">
        <v>41340</v>
      </c>
      <c r="E6571" s="1" t="s">
        <v>13134</v>
      </c>
      <c r="F6571" s="1" t="s">
        <v>13</v>
      </c>
    </row>
    <row r="6572" spans="1:6" ht="30" customHeight="1" x14ac:dyDescent="0.25">
      <c r="A6572" s="1" t="s">
        <v>13135</v>
      </c>
      <c r="B6572" s="1" t="str">
        <f>"9780124158634"</f>
        <v>9780124158634</v>
      </c>
      <c r="C6572" s="1" t="s">
        <v>12510</v>
      </c>
      <c r="D6572" s="2">
        <v>41345</v>
      </c>
      <c r="E6572" s="1" t="s">
        <v>13136</v>
      </c>
      <c r="F6572" s="1" t="s">
        <v>1642</v>
      </c>
    </row>
    <row r="6573" spans="1:6" ht="30" customHeight="1" x14ac:dyDescent="0.25">
      <c r="A6573" s="1" t="s">
        <v>13137</v>
      </c>
      <c r="B6573" s="1" t="str">
        <f>"9781118607169"</f>
        <v>9781118607169</v>
      </c>
      <c r="C6573" s="1" t="s">
        <v>11</v>
      </c>
      <c r="D6573" s="2">
        <v>41344</v>
      </c>
      <c r="E6573" s="1" t="s">
        <v>13138</v>
      </c>
      <c r="F6573" s="1" t="s">
        <v>158</v>
      </c>
    </row>
    <row r="6574" spans="1:6" ht="30" customHeight="1" x14ac:dyDescent="0.25">
      <c r="A6574" s="1" t="s">
        <v>13139</v>
      </c>
      <c r="B6574" s="1" t="str">
        <f>"9780813560939"</f>
        <v>9780813560939</v>
      </c>
      <c r="C6574" s="1" t="s">
        <v>3656</v>
      </c>
      <c r="D6574" s="2">
        <v>41397</v>
      </c>
      <c r="E6574" s="1" t="s">
        <v>13140</v>
      </c>
      <c r="F6574" s="1" t="s">
        <v>95</v>
      </c>
    </row>
    <row r="6575" spans="1:6" ht="30" customHeight="1" x14ac:dyDescent="0.25">
      <c r="A6575" s="1" t="s">
        <v>13141</v>
      </c>
      <c r="B6575" s="1" t="str">
        <f>"9781609381806"</f>
        <v>9781609381806</v>
      </c>
      <c r="C6575" s="1" t="s">
        <v>10985</v>
      </c>
      <c r="D6575" s="2">
        <v>41365</v>
      </c>
      <c r="E6575" s="1" t="s">
        <v>13142</v>
      </c>
      <c r="F6575" s="1" t="s">
        <v>13</v>
      </c>
    </row>
    <row r="6576" spans="1:6" ht="30" customHeight="1" x14ac:dyDescent="0.25">
      <c r="A6576" s="1" t="s">
        <v>5145</v>
      </c>
      <c r="B6576" s="1" t="str">
        <f>"9781118524244"</f>
        <v>9781118524244</v>
      </c>
      <c r="C6576" s="1" t="s">
        <v>65</v>
      </c>
      <c r="D6576" s="2">
        <v>41344</v>
      </c>
      <c r="E6576" s="1" t="s">
        <v>13143</v>
      </c>
      <c r="F6576" s="1" t="s">
        <v>13</v>
      </c>
    </row>
    <row r="6577" spans="1:6" ht="30" customHeight="1" x14ac:dyDescent="0.25">
      <c r="A6577" s="1" t="s">
        <v>13144</v>
      </c>
      <c r="B6577" s="1" t="str">
        <f>"9781118543528"</f>
        <v>9781118543528</v>
      </c>
      <c r="C6577" s="1" t="s">
        <v>65</v>
      </c>
      <c r="D6577" s="2">
        <v>41344</v>
      </c>
      <c r="E6577" s="1" t="s">
        <v>13145</v>
      </c>
      <c r="F6577" s="1" t="s">
        <v>114</v>
      </c>
    </row>
    <row r="6578" spans="1:6" ht="30" customHeight="1" x14ac:dyDescent="0.25">
      <c r="A6578" s="1" t="s">
        <v>13146</v>
      </c>
      <c r="B6578" s="1" t="str">
        <f>"9780826199188"</f>
        <v>9780826199188</v>
      </c>
      <c r="C6578" s="1" t="s">
        <v>2339</v>
      </c>
      <c r="D6578" s="2">
        <v>41359</v>
      </c>
      <c r="E6578" s="1" t="s">
        <v>7879</v>
      </c>
      <c r="F6578" s="1" t="s">
        <v>95</v>
      </c>
    </row>
    <row r="6579" spans="1:6" ht="30" customHeight="1" x14ac:dyDescent="0.25">
      <c r="A6579" s="1" t="s">
        <v>13147</v>
      </c>
      <c r="B6579" s="1" t="str">
        <f>"9781118557280"</f>
        <v>9781118557280</v>
      </c>
      <c r="C6579" s="1" t="s">
        <v>65</v>
      </c>
      <c r="D6579" s="2">
        <v>41346</v>
      </c>
      <c r="E6579" s="1" t="s">
        <v>13148</v>
      </c>
      <c r="F6579" s="1" t="s">
        <v>13</v>
      </c>
    </row>
    <row r="6580" spans="1:6" ht="30" customHeight="1" x14ac:dyDescent="0.25">
      <c r="A6580" s="1" t="s">
        <v>13149</v>
      </c>
      <c r="B6580" s="1" t="str">
        <f>"9781118571699"</f>
        <v>9781118571699</v>
      </c>
      <c r="C6580" s="1" t="s">
        <v>11</v>
      </c>
      <c r="D6580" s="2">
        <v>41348</v>
      </c>
      <c r="E6580" s="1" t="s">
        <v>13150</v>
      </c>
      <c r="F6580" s="1" t="s">
        <v>137</v>
      </c>
    </row>
    <row r="6581" spans="1:6" ht="30" customHeight="1" x14ac:dyDescent="0.25">
      <c r="A6581" s="1" t="s">
        <v>13151</v>
      </c>
      <c r="B6581" s="1" t="str">
        <f>"9780520955431"</f>
        <v>9780520955431</v>
      </c>
      <c r="C6581" s="1" t="s">
        <v>818</v>
      </c>
      <c r="D6581" s="2">
        <v>41395</v>
      </c>
      <c r="E6581" s="1" t="s">
        <v>13152</v>
      </c>
      <c r="F6581" s="1" t="s">
        <v>95</v>
      </c>
    </row>
    <row r="6582" spans="1:6" ht="30" customHeight="1" x14ac:dyDescent="0.25">
      <c r="A6582" s="1" t="s">
        <v>13153</v>
      </c>
      <c r="B6582" s="1" t="str">
        <f>"9781617051777"</f>
        <v>9781617051777</v>
      </c>
      <c r="C6582" s="1" t="s">
        <v>2342</v>
      </c>
      <c r="D6582" s="2">
        <v>41359</v>
      </c>
      <c r="E6582" s="1" t="s">
        <v>13154</v>
      </c>
      <c r="F6582" s="1" t="s">
        <v>13</v>
      </c>
    </row>
    <row r="6583" spans="1:6" ht="30" customHeight="1" x14ac:dyDescent="0.25">
      <c r="A6583" s="1" t="s">
        <v>13155</v>
      </c>
      <c r="B6583" s="1" t="str">
        <f>"9781118375105"</f>
        <v>9781118375105</v>
      </c>
      <c r="C6583" s="1" t="s">
        <v>11</v>
      </c>
      <c r="D6583" s="2">
        <v>41351</v>
      </c>
      <c r="E6583" s="1" t="s">
        <v>13156</v>
      </c>
      <c r="F6583" s="1" t="s">
        <v>268</v>
      </c>
    </row>
    <row r="6584" spans="1:6" ht="30" customHeight="1" x14ac:dyDescent="0.25">
      <c r="A6584" s="1" t="s">
        <v>13157</v>
      </c>
      <c r="B6584" s="1" t="str">
        <f>"9783527670390"</f>
        <v>9783527670390</v>
      </c>
      <c r="C6584" s="1" t="s">
        <v>65</v>
      </c>
      <c r="D6584" s="2">
        <v>41352</v>
      </c>
      <c r="E6584" s="1" t="s">
        <v>13158</v>
      </c>
      <c r="F6584" s="1" t="s">
        <v>13</v>
      </c>
    </row>
    <row r="6585" spans="1:6" ht="30" customHeight="1" x14ac:dyDescent="0.25">
      <c r="A6585" s="1" t="s">
        <v>13159</v>
      </c>
      <c r="B6585" s="1" t="str">
        <f>"9781118613412"</f>
        <v>9781118613412</v>
      </c>
      <c r="C6585" s="1" t="s">
        <v>65</v>
      </c>
      <c r="D6585" s="2">
        <v>41352</v>
      </c>
      <c r="E6585" s="1" t="s">
        <v>13160</v>
      </c>
      <c r="F6585" s="1" t="s">
        <v>13</v>
      </c>
    </row>
    <row r="6586" spans="1:6" ht="30" customHeight="1" x14ac:dyDescent="0.25">
      <c r="A6586" s="1" t="s">
        <v>13161</v>
      </c>
      <c r="B6586" s="1" t="str">
        <f>"9781118687239"</f>
        <v>9781118687239</v>
      </c>
      <c r="C6586" s="1" t="s">
        <v>65</v>
      </c>
      <c r="D6586" s="2">
        <v>41352</v>
      </c>
      <c r="E6586" s="1" t="s">
        <v>2416</v>
      </c>
      <c r="F6586" s="1" t="s">
        <v>126</v>
      </c>
    </row>
    <row r="6587" spans="1:6" ht="30" customHeight="1" x14ac:dyDescent="0.25">
      <c r="A6587" s="1" t="s">
        <v>13162</v>
      </c>
      <c r="B6587" s="1" t="str">
        <f>"9781118384886"</f>
        <v>9781118384886</v>
      </c>
      <c r="C6587" s="1" t="s">
        <v>65</v>
      </c>
      <c r="D6587" s="2">
        <v>41352</v>
      </c>
      <c r="E6587" s="1" t="s">
        <v>13163</v>
      </c>
      <c r="F6587" s="1" t="s">
        <v>205</v>
      </c>
    </row>
    <row r="6588" spans="1:6" ht="30" customHeight="1" x14ac:dyDescent="0.25">
      <c r="A6588" s="1" t="s">
        <v>4734</v>
      </c>
      <c r="B6588" s="1" t="str">
        <f>"9781118532348"</f>
        <v>9781118532348</v>
      </c>
      <c r="C6588" s="1" t="s">
        <v>65</v>
      </c>
      <c r="D6588" s="2">
        <v>41362</v>
      </c>
      <c r="E6588" s="1" t="s">
        <v>13164</v>
      </c>
      <c r="F6588" s="1" t="s">
        <v>13165</v>
      </c>
    </row>
    <row r="6589" spans="1:6" ht="30" customHeight="1" x14ac:dyDescent="0.25">
      <c r="A6589" s="1" t="s">
        <v>13166</v>
      </c>
      <c r="B6589" s="1" t="str">
        <f>"9789047425946"</f>
        <v>9789047425946</v>
      </c>
      <c r="C6589" s="1" t="s">
        <v>906</v>
      </c>
      <c r="D6589" s="2">
        <v>39814</v>
      </c>
      <c r="E6589" s="1" t="s">
        <v>13167</v>
      </c>
      <c r="F6589" s="1" t="s">
        <v>599</v>
      </c>
    </row>
    <row r="6590" spans="1:6" ht="30" customHeight="1" x14ac:dyDescent="0.25">
      <c r="A6590" s="1" t="s">
        <v>13168</v>
      </c>
      <c r="B6590" s="1" t="str">
        <f>"9780826110503"</f>
        <v>9780826110503</v>
      </c>
      <c r="C6590" s="1" t="s">
        <v>2339</v>
      </c>
      <c r="D6590" s="2">
        <v>40502</v>
      </c>
      <c r="E6590" s="1" t="s">
        <v>13169</v>
      </c>
      <c r="F6590" s="1" t="s">
        <v>4351</v>
      </c>
    </row>
    <row r="6591" spans="1:6" ht="30" customHeight="1" x14ac:dyDescent="0.25">
      <c r="A6591" s="1" t="s">
        <v>13170</v>
      </c>
      <c r="B6591" s="1" t="str">
        <f>"9781608824496"</f>
        <v>9781608824496</v>
      </c>
      <c r="C6591" s="1" t="s">
        <v>10289</v>
      </c>
      <c r="D6591" s="2">
        <v>41395</v>
      </c>
      <c r="E6591" s="1" t="s">
        <v>13171</v>
      </c>
      <c r="F6591" s="1" t="s">
        <v>13</v>
      </c>
    </row>
    <row r="6592" spans="1:6" ht="30" customHeight="1" x14ac:dyDescent="0.25">
      <c r="A6592" s="1" t="s">
        <v>13172</v>
      </c>
      <c r="B6592" s="1" t="str">
        <f>"9781118643556"</f>
        <v>9781118643556</v>
      </c>
      <c r="C6592" s="1" t="s">
        <v>65</v>
      </c>
      <c r="D6592" s="2">
        <v>40823</v>
      </c>
      <c r="E6592" s="1" t="s">
        <v>13173</v>
      </c>
      <c r="F6592" s="1" t="s">
        <v>13</v>
      </c>
    </row>
    <row r="6593" spans="1:6" ht="30" customHeight="1" x14ac:dyDescent="0.25">
      <c r="A6593" s="1" t="s">
        <v>13174</v>
      </c>
      <c r="B6593" s="1" t="str">
        <f>"9781118323458"</f>
        <v>9781118323458</v>
      </c>
      <c r="C6593" s="1" t="s">
        <v>65</v>
      </c>
      <c r="D6593" s="2">
        <v>41358</v>
      </c>
      <c r="E6593" s="1" t="s">
        <v>13175</v>
      </c>
      <c r="F6593" s="1" t="s">
        <v>13</v>
      </c>
    </row>
    <row r="6594" spans="1:6" ht="30" customHeight="1" x14ac:dyDescent="0.25">
      <c r="A6594" s="1" t="s">
        <v>13176</v>
      </c>
      <c r="B6594" s="1" t="str">
        <f>"9783527669424"</f>
        <v>9783527669424</v>
      </c>
      <c r="C6594" s="1" t="s">
        <v>65</v>
      </c>
      <c r="D6594" s="2">
        <v>41401</v>
      </c>
      <c r="E6594" s="1" t="s">
        <v>13177</v>
      </c>
      <c r="F6594" s="1" t="s">
        <v>268</v>
      </c>
    </row>
    <row r="6595" spans="1:6" ht="30" customHeight="1" x14ac:dyDescent="0.25">
      <c r="A6595" s="1" t="s">
        <v>13178</v>
      </c>
      <c r="B6595" s="1" t="str">
        <f>"9781118612002"</f>
        <v>9781118612002</v>
      </c>
      <c r="C6595" s="1" t="s">
        <v>11</v>
      </c>
      <c r="D6595" s="2">
        <v>41361</v>
      </c>
      <c r="E6595" s="1" t="s">
        <v>13179</v>
      </c>
      <c r="F6595" s="1" t="s">
        <v>13</v>
      </c>
    </row>
    <row r="6596" spans="1:6" ht="30" customHeight="1" x14ac:dyDescent="0.25">
      <c r="A6596" s="1" t="s">
        <v>13180</v>
      </c>
      <c r="B6596" s="1" t="str">
        <f>"9781118418680"</f>
        <v>9781118418680</v>
      </c>
      <c r="C6596" s="1" t="s">
        <v>65</v>
      </c>
      <c r="D6596" s="2">
        <v>41361</v>
      </c>
      <c r="E6596" s="1" t="s">
        <v>13181</v>
      </c>
      <c r="F6596" s="1" t="s">
        <v>13</v>
      </c>
    </row>
    <row r="6597" spans="1:6" ht="30" customHeight="1" x14ac:dyDescent="0.25">
      <c r="A6597" s="1" t="s">
        <v>13182</v>
      </c>
      <c r="B6597" s="1" t="str">
        <f>"9781118538579"</f>
        <v>9781118538579</v>
      </c>
      <c r="C6597" s="1" t="s">
        <v>65</v>
      </c>
      <c r="D6597" s="2">
        <v>41404</v>
      </c>
      <c r="E6597" s="1" t="s">
        <v>13183</v>
      </c>
      <c r="F6597" s="1" t="s">
        <v>13</v>
      </c>
    </row>
    <row r="6598" spans="1:6" ht="30" customHeight="1" x14ac:dyDescent="0.25">
      <c r="A6598" s="1" t="s">
        <v>13184</v>
      </c>
      <c r="B6598" s="1" t="str">
        <f>"9781118553428"</f>
        <v>9781118553428</v>
      </c>
      <c r="C6598" s="1" t="s">
        <v>65</v>
      </c>
      <c r="D6598" s="2">
        <v>41366</v>
      </c>
      <c r="E6598" s="1" t="s">
        <v>13185</v>
      </c>
      <c r="F6598" s="1" t="s">
        <v>13</v>
      </c>
    </row>
    <row r="6599" spans="1:6" ht="30" customHeight="1" x14ac:dyDescent="0.25">
      <c r="A6599" s="1" t="s">
        <v>13186</v>
      </c>
      <c r="B6599" s="1" t="str">
        <f>"9781609947903"</f>
        <v>9781609947903</v>
      </c>
      <c r="C6599" s="1" t="s">
        <v>13187</v>
      </c>
      <c r="D6599" s="2">
        <v>41400</v>
      </c>
      <c r="E6599" s="1" t="s">
        <v>13188</v>
      </c>
      <c r="F6599" s="1" t="s">
        <v>95</v>
      </c>
    </row>
    <row r="6600" spans="1:6" ht="30" customHeight="1" x14ac:dyDescent="0.25">
      <c r="A6600" s="1" t="s">
        <v>13189</v>
      </c>
      <c r="B6600" s="1" t="str">
        <f>"9781461630203"</f>
        <v>9781461630203</v>
      </c>
      <c r="C6600" s="1" t="s">
        <v>6903</v>
      </c>
      <c r="D6600" s="2">
        <v>40514</v>
      </c>
      <c r="E6600" s="1" t="s">
        <v>13190</v>
      </c>
      <c r="F6600" s="1" t="s">
        <v>13</v>
      </c>
    </row>
    <row r="6601" spans="1:6" ht="30" customHeight="1" x14ac:dyDescent="0.25">
      <c r="A6601" s="1" t="s">
        <v>13191</v>
      </c>
      <c r="B6601" s="1" t="str">
        <f>"9781461630685"</f>
        <v>9781461630685</v>
      </c>
      <c r="C6601" s="1" t="s">
        <v>6903</v>
      </c>
      <c r="D6601" s="2">
        <v>40598</v>
      </c>
      <c r="E6601" s="1" t="s">
        <v>13192</v>
      </c>
      <c r="F6601" s="1" t="s">
        <v>13</v>
      </c>
    </row>
    <row r="6602" spans="1:6" ht="30" customHeight="1" x14ac:dyDescent="0.25">
      <c r="A6602" s="1" t="s">
        <v>13193</v>
      </c>
      <c r="B6602" s="1" t="str">
        <f>"9780191652264"</f>
        <v>9780191652264</v>
      </c>
      <c r="C6602" s="1" t="s">
        <v>1120</v>
      </c>
      <c r="D6602" s="2">
        <v>40486</v>
      </c>
      <c r="E6602" s="1" t="s">
        <v>13194</v>
      </c>
      <c r="F6602" s="1" t="s">
        <v>13</v>
      </c>
    </row>
    <row r="6603" spans="1:6" ht="30" customHeight="1" x14ac:dyDescent="0.25">
      <c r="A6603" s="1" t="s">
        <v>13195</v>
      </c>
      <c r="B6603" s="1" t="str">
        <f>"9780191653216"</f>
        <v>9780191653216</v>
      </c>
      <c r="C6603" s="1" t="s">
        <v>1117</v>
      </c>
      <c r="D6603" s="2">
        <v>40703</v>
      </c>
      <c r="E6603" s="1" t="s">
        <v>13196</v>
      </c>
      <c r="F6603" s="1" t="s">
        <v>13</v>
      </c>
    </row>
    <row r="6604" spans="1:6" ht="30" customHeight="1" x14ac:dyDescent="0.25">
      <c r="A6604" s="1" t="s">
        <v>13197</v>
      </c>
      <c r="B6604" s="1" t="str">
        <f>"9781409431121"</f>
        <v>9781409431121</v>
      </c>
      <c r="C6604" s="1" t="s">
        <v>93</v>
      </c>
      <c r="D6604" s="2">
        <v>41395</v>
      </c>
      <c r="E6604" s="1" t="s">
        <v>13198</v>
      </c>
      <c r="F6604" s="1" t="s">
        <v>95</v>
      </c>
    </row>
    <row r="6605" spans="1:6" ht="30" customHeight="1" x14ac:dyDescent="0.25">
      <c r="A6605" s="1" t="s">
        <v>13199</v>
      </c>
      <c r="B6605" s="1" t="str">
        <f>"9789814484466"</f>
        <v>9789814484466</v>
      </c>
      <c r="C6605" s="1" t="s">
        <v>13200</v>
      </c>
      <c r="D6605" s="2">
        <v>40148</v>
      </c>
      <c r="E6605" s="1" t="s">
        <v>13201</v>
      </c>
      <c r="F6605" s="1" t="s">
        <v>13</v>
      </c>
    </row>
    <row r="6606" spans="1:6" ht="30" customHeight="1" x14ac:dyDescent="0.25">
      <c r="A6606" s="1" t="s">
        <v>13202</v>
      </c>
      <c r="B6606" s="1" t="str">
        <f>"9781118682203"</f>
        <v>9781118682203</v>
      </c>
      <c r="C6606" s="1" t="s">
        <v>65</v>
      </c>
      <c r="D6606" s="2">
        <v>41365</v>
      </c>
      <c r="E6606" s="1" t="s">
        <v>13203</v>
      </c>
      <c r="F6606" s="1" t="s">
        <v>13</v>
      </c>
    </row>
    <row r="6607" spans="1:6" ht="30" customHeight="1" x14ac:dyDescent="0.25">
      <c r="A6607" s="1" t="s">
        <v>13204</v>
      </c>
      <c r="B6607" s="1" t="str">
        <f>"9781118687086"</f>
        <v>9781118687086</v>
      </c>
      <c r="C6607" s="1" t="s">
        <v>65</v>
      </c>
      <c r="D6607" s="2">
        <v>40200</v>
      </c>
      <c r="E6607" s="1" t="s">
        <v>13205</v>
      </c>
      <c r="F6607" s="1" t="s">
        <v>13</v>
      </c>
    </row>
    <row r="6608" spans="1:6" ht="30" customHeight="1" x14ac:dyDescent="0.25">
      <c r="A6608" s="1" t="s">
        <v>13206</v>
      </c>
      <c r="B6608" s="1" t="str">
        <f>"9781118404928"</f>
        <v>9781118404928</v>
      </c>
      <c r="C6608" s="1" t="s">
        <v>11</v>
      </c>
      <c r="D6608" s="2">
        <v>41365</v>
      </c>
      <c r="E6608" s="1" t="s">
        <v>13207</v>
      </c>
      <c r="F6608" s="1" t="s">
        <v>13</v>
      </c>
    </row>
    <row r="6609" spans="1:6" ht="30" customHeight="1" x14ac:dyDescent="0.25">
      <c r="A6609" s="1" t="s">
        <v>13208</v>
      </c>
      <c r="B6609" s="1" t="str">
        <f>"9781443844840"</f>
        <v>9781443844840</v>
      </c>
      <c r="C6609" s="1" t="s">
        <v>12699</v>
      </c>
      <c r="D6609" s="2">
        <v>41214</v>
      </c>
      <c r="E6609" s="1" t="s">
        <v>13209</v>
      </c>
      <c r="F6609" s="1" t="s">
        <v>541</v>
      </c>
    </row>
    <row r="6610" spans="1:6" ht="30" customHeight="1" x14ac:dyDescent="0.25">
      <c r="A6610" s="1" t="s">
        <v>13210</v>
      </c>
      <c r="B6610" s="1" t="str">
        <f>"9781443830850"</f>
        <v>9781443830850</v>
      </c>
      <c r="C6610" s="1" t="s">
        <v>12699</v>
      </c>
      <c r="D6610" s="2">
        <v>40725</v>
      </c>
      <c r="E6610" s="1" t="s">
        <v>13211</v>
      </c>
      <c r="F6610" s="1" t="s">
        <v>13</v>
      </c>
    </row>
    <row r="6611" spans="1:6" ht="30" customHeight="1" x14ac:dyDescent="0.25">
      <c r="A6611" s="1" t="s">
        <v>13212</v>
      </c>
      <c r="B6611" s="1" t="str">
        <f>"9781443827683"</f>
        <v>9781443827683</v>
      </c>
      <c r="C6611" s="1" t="s">
        <v>12699</v>
      </c>
      <c r="D6611" s="2">
        <v>40544</v>
      </c>
      <c r="E6611" s="1" t="s">
        <v>13213</v>
      </c>
      <c r="F6611" s="1" t="s">
        <v>205</v>
      </c>
    </row>
    <row r="6612" spans="1:6" ht="30" customHeight="1" x14ac:dyDescent="0.25">
      <c r="A6612" s="1" t="s">
        <v>13214</v>
      </c>
      <c r="B6612" s="1" t="str">
        <f>"9781443826068"</f>
        <v>9781443826068</v>
      </c>
      <c r="C6612" s="1" t="s">
        <v>12699</v>
      </c>
      <c r="D6612" s="2">
        <v>40513</v>
      </c>
      <c r="E6612" s="1" t="s">
        <v>13215</v>
      </c>
      <c r="F6612" s="1" t="s">
        <v>30</v>
      </c>
    </row>
    <row r="6613" spans="1:6" ht="30" customHeight="1" x14ac:dyDescent="0.25">
      <c r="A6613" s="1" t="s">
        <v>13216</v>
      </c>
      <c r="B6613" s="1" t="str">
        <f>"9781118682098"</f>
        <v>9781118682098</v>
      </c>
      <c r="C6613" s="1" t="s">
        <v>65</v>
      </c>
      <c r="D6613" s="2">
        <v>41366</v>
      </c>
      <c r="E6613" s="1" t="s">
        <v>13217</v>
      </c>
      <c r="F6613" s="1" t="s">
        <v>126</v>
      </c>
    </row>
    <row r="6614" spans="1:6" ht="30" customHeight="1" x14ac:dyDescent="0.25">
      <c r="A6614" s="1" t="s">
        <v>13218</v>
      </c>
      <c r="B6614" s="1" t="str">
        <f>"9781118504550"</f>
        <v>9781118504550</v>
      </c>
      <c r="C6614" s="1" t="s">
        <v>11</v>
      </c>
      <c r="D6614" s="2">
        <v>41365</v>
      </c>
      <c r="E6614" s="1" t="s">
        <v>13219</v>
      </c>
      <c r="F6614" s="1" t="s">
        <v>13</v>
      </c>
    </row>
    <row r="6615" spans="1:6" ht="30" customHeight="1" x14ac:dyDescent="0.25">
      <c r="A6615" s="1" t="s">
        <v>13220</v>
      </c>
      <c r="B6615" s="1" t="str">
        <f>"9781118513149"</f>
        <v>9781118513149</v>
      </c>
      <c r="C6615" s="1" t="s">
        <v>65</v>
      </c>
      <c r="D6615" s="2">
        <v>41365</v>
      </c>
      <c r="E6615" s="1" t="s">
        <v>13221</v>
      </c>
      <c r="F6615" s="1" t="s">
        <v>13</v>
      </c>
    </row>
    <row r="6616" spans="1:6" ht="30" customHeight="1" x14ac:dyDescent="0.25">
      <c r="A6616" s="1" t="s">
        <v>13222</v>
      </c>
      <c r="B6616" s="1" t="str">
        <f>"9781782410652"</f>
        <v>9781782410652</v>
      </c>
      <c r="C6616" s="1" t="s">
        <v>68</v>
      </c>
      <c r="D6616" s="2">
        <v>41365</v>
      </c>
      <c r="E6616" s="1" t="s">
        <v>13223</v>
      </c>
      <c r="F6616" s="1" t="s">
        <v>291</v>
      </c>
    </row>
    <row r="6617" spans="1:6" ht="30" customHeight="1" x14ac:dyDescent="0.25">
      <c r="A6617" s="1" t="s">
        <v>13224</v>
      </c>
      <c r="B6617" s="1" t="str">
        <f>"9781782410805"</f>
        <v>9781782410805</v>
      </c>
      <c r="C6617" s="1" t="s">
        <v>8994</v>
      </c>
      <c r="D6617" s="2">
        <v>41365</v>
      </c>
      <c r="E6617" s="1" t="s">
        <v>13225</v>
      </c>
      <c r="F6617" s="1" t="s">
        <v>1795</v>
      </c>
    </row>
    <row r="6618" spans="1:6" ht="30" customHeight="1" x14ac:dyDescent="0.25">
      <c r="A6618" s="1" t="s">
        <v>13226</v>
      </c>
      <c r="B6618" s="1" t="str">
        <f>"9780813560663"</f>
        <v>9780813560663</v>
      </c>
      <c r="C6618" s="1" t="s">
        <v>3656</v>
      </c>
      <c r="D6618" s="2">
        <v>41383</v>
      </c>
      <c r="E6618" s="1" t="s">
        <v>13227</v>
      </c>
      <c r="F6618" s="1" t="s">
        <v>30</v>
      </c>
    </row>
    <row r="6619" spans="1:6" ht="30" customHeight="1" x14ac:dyDescent="0.25">
      <c r="A6619" s="1" t="s">
        <v>13228</v>
      </c>
      <c r="B6619" s="1" t="str">
        <f>"9781118587089"</f>
        <v>9781118587089</v>
      </c>
      <c r="C6619" s="1" t="s">
        <v>65</v>
      </c>
      <c r="D6619" s="2">
        <v>41367</v>
      </c>
      <c r="E6619" s="1" t="s">
        <v>13229</v>
      </c>
      <c r="F6619" s="1" t="s">
        <v>126</v>
      </c>
    </row>
    <row r="6620" spans="1:6" ht="30" customHeight="1" x14ac:dyDescent="0.25">
      <c r="A6620" s="1" t="s">
        <v>13230</v>
      </c>
      <c r="B6620" s="1" t="str">
        <f>"9781118354469"</f>
        <v>9781118354469</v>
      </c>
      <c r="C6620" s="1" t="s">
        <v>11</v>
      </c>
      <c r="D6620" s="2">
        <v>41367</v>
      </c>
      <c r="E6620" s="1" t="s">
        <v>13231</v>
      </c>
      <c r="F6620" s="1" t="s">
        <v>137</v>
      </c>
    </row>
    <row r="6621" spans="1:6" ht="30" customHeight="1" x14ac:dyDescent="0.25">
      <c r="A6621" s="1" t="s">
        <v>13232</v>
      </c>
      <c r="B6621" s="1" t="str">
        <f>"9781118444757"</f>
        <v>9781118444757</v>
      </c>
      <c r="C6621" s="1" t="s">
        <v>65</v>
      </c>
      <c r="D6621" s="2">
        <v>41367</v>
      </c>
      <c r="E6621" s="1" t="s">
        <v>13233</v>
      </c>
      <c r="F6621" s="1" t="s">
        <v>13</v>
      </c>
    </row>
    <row r="6622" spans="1:6" ht="30" customHeight="1" x14ac:dyDescent="0.25">
      <c r="A6622" s="1" t="s">
        <v>13234</v>
      </c>
      <c r="B6622" s="1" t="str">
        <f>"9781118610756"</f>
        <v>9781118610756</v>
      </c>
      <c r="C6622" s="1" t="s">
        <v>65</v>
      </c>
      <c r="D6622" s="2">
        <v>41367</v>
      </c>
      <c r="E6622" s="1" t="s">
        <v>13235</v>
      </c>
      <c r="F6622" s="1" t="s">
        <v>13236</v>
      </c>
    </row>
    <row r="6623" spans="1:6" ht="30" customHeight="1" x14ac:dyDescent="0.25">
      <c r="A6623" s="1" t="s">
        <v>13237</v>
      </c>
      <c r="B6623" s="1" t="str">
        <f>"9781118687291"</f>
        <v>9781118687291</v>
      </c>
      <c r="C6623" s="1" t="s">
        <v>65</v>
      </c>
      <c r="D6623" s="2">
        <v>41463</v>
      </c>
      <c r="E6623" s="1" t="s">
        <v>13238</v>
      </c>
      <c r="F6623" s="1" t="s">
        <v>2073</v>
      </c>
    </row>
    <row r="6624" spans="1:6" ht="30" customHeight="1" x14ac:dyDescent="0.25">
      <c r="A6624" s="1" t="s">
        <v>13239</v>
      </c>
      <c r="B6624" s="1" t="str">
        <f>"9789814447768"</f>
        <v>9789814447768</v>
      </c>
      <c r="C6624" s="1" t="s">
        <v>13240</v>
      </c>
      <c r="D6624" s="2">
        <v>41773</v>
      </c>
      <c r="E6624" s="1" t="s">
        <v>13241</v>
      </c>
      <c r="F6624" s="1" t="s">
        <v>30</v>
      </c>
    </row>
    <row r="6625" spans="1:6" ht="30" customHeight="1" x14ac:dyDescent="0.25">
      <c r="A6625" s="1" t="s">
        <v>13242</v>
      </c>
      <c r="B6625" s="1" t="str">
        <f>"9781848169975"</f>
        <v>9781848169975</v>
      </c>
      <c r="C6625" s="1" t="s">
        <v>876</v>
      </c>
      <c r="D6625" s="2">
        <v>41302</v>
      </c>
      <c r="E6625" s="1" t="s">
        <v>13243</v>
      </c>
      <c r="F6625" s="1" t="s">
        <v>3536</v>
      </c>
    </row>
    <row r="6626" spans="1:6" ht="30" customHeight="1" x14ac:dyDescent="0.25">
      <c r="A6626" s="1" t="s">
        <v>13244</v>
      </c>
      <c r="B6626" s="1" t="str">
        <f>"9789814452021"</f>
        <v>9789814452021</v>
      </c>
      <c r="C6626" s="1" t="s">
        <v>881</v>
      </c>
      <c r="D6626" s="2">
        <v>41773</v>
      </c>
      <c r="E6626" s="1" t="s">
        <v>13245</v>
      </c>
      <c r="F6626" s="1" t="s">
        <v>268</v>
      </c>
    </row>
    <row r="6627" spans="1:6" ht="30" customHeight="1" x14ac:dyDescent="0.25">
      <c r="A6627" s="1" t="s">
        <v>13246</v>
      </c>
      <c r="B6627" s="1" t="str">
        <f>"9783527667086"</f>
        <v>9783527667086</v>
      </c>
      <c r="C6627" s="1" t="s">
        <v>65</v>
      </c>
      <c r="D6627" s="2">
        <v>41346</v>
      </c>
      <c r="E6627" s="1" t="s">
        <v>13247</v>
      </c>
      <c r="F6627" s="1" t="s">
        <v>11226</v>
      </c>
    </row>
    <row r="6628" spans="1:6" ht="30" customHeight="1" x14ac:dyDescent="0.25">
      <c r="A6628" s="1" t="s">
        <v>13248</v>
      </c>
      <c r="B6628" s="1" t="str">
        <f>"9780826195586"</f>
        <v>9780826195586</v>
      </c>
      <c r="C6628" s="1" t="s">
        <v>2339</v>
      </c>
      <c r="D6628" s="2">
        <v>41390</v>
      </c>
      <c r="E6628" s="1" t="s">
        <v>13249</v>
      </c>
      <c r="F6628" s="1" t="s">
        <v>13</v>
      </c>
    </row>
    <row r="6629" spans="1:6" ht="30" customHeight="1" x14ac:dyDescent="0.25">
      <c r="A6629" s="1" t="s">
        <v>13250</v>
      </c>
      <c r="B6629" s="1" t="str">
        <f>"9780826110152"</f>
        <v>9780826110152</v>
      </c>
      <c r="C6629" s="1" t="s">
        <v>2339</v>
      </c>
      <c r="D6629" s="2">
        <v>41334</v>
      </c>
      <c r="E6629" s="1" t="s">
        <v>13251</v>
      </c>
      <c r="F6629" s="1" t="s">
        <v>5958</v>
      </c>
    </row>
    <row r="6630" spans="1:6" ht="30" customHeight="1" x14ac:dyDescent="0.25">
      <c r="A6630" s="1" t="s">
        <v>13252</v>
      </c>
      <c r="B6630" s="1" t="str">
        <f>"9781118496121"</f>
        <v>9781118496121</v>
      </c>
      <c r="C6630" s="1" t="s">
        <v>65</v>
      </c>
      <c r="D6630" s="2">
        <v>41409</v>
      </c>
      <c r="E6630" s="1" t="s">
        <v>13253</v>
      </c>
      <c r="F6630" s="1" t="s">
        <v>13</v>
      </c>
    </row>
    <row r="6631" spans="1:6" ht="30" customHeight="1" x14ac:dyDescent="0.25">
      <c r="A6631" s="1" t="s">
        <v>13254</v>
      </c>
      <c r="B6631" s="1" t="str">
        <f>"9780815725268"</f>
        <v>9780815725268</v>
      </c>
      <c r="C6631" s="1" t="s">
        <v>13255</v>
      </c>
      <c r="D6631" s="2">
        <v>41379</v>
      </c>
      <c r="E6631" s="1" t="s">
        <v>13256</v>
      </c>
      <c r="F6631" s="1" t="s">
        <v>30</v>
      </c>
    </row>
    <row r="6632" spans="1:6" ht="30" customHeight="1" x14ac:dyDescent="0.25">
      <c r="A6632" s="1" t="s">
        <v>13257</v>
      </c>
      <c r="B6632" s="1" t="str">
        <f>"9780826353252"</f>
        <v>9780826353252</v>
      </c>
      <c r="C6632" s="1" t="s">
        <v>12882</v>
      </c>
      <c r="D6632" s="2">
        <v>41409</v>
      </c>
      <c r="E6632" s="1" t="s">
        <v>13258</v>
      </c>
      <c r="F6632" s="1" t="s">
        <v>13</v>
      </c>
    </row>
    <row r="6633" spans="1:6" ht="30" customHeight="1" x14ac:dyDescent="0.25">
      <c r="A6633" s="1" t="s">
        <v>13259</v>
      </c>
      <c r="B6633" s="1" t="str">
        <f>"9780123878182"</f>
        <v>9780123878182</v>
      </c>
      <c r="C6633" s="1" t="s">
        <v>900</v>
      </c>
      <c r="D6633" s="2">
        <v>41382</v>
      </c>
      <c r="E6633" s="1" t="s">
        <v>13260</v>
      </c>
      <c r="F6633" s="1" t="s">
        <v>13</v>
      </c>
    </row>
    <row r="6634" spans="1:6" ht="30" customHeight="1" x14ac:dyDescent="0.25">
      <c r="A6634" s="1" t="s">
        <v>13261</v>
      </c>
      <c r="B6634" s="1" t="str">
        <f>"9781118541111"</f>
        <v>9781118541111</v>
      </c>
      <c r="C6634" s="1" t="s">
        <v>65</v>
      </c>
      <c r="D6634" s="2">
        <v>41411</v>
      </c>
      <c r="E6634" s="1" t="s">
        <v>13262</v>
      </c>
      <c r="F6634" s="1" t="s">
        <v>200</v>
      </c>
    </row>
    <row r="6635" spans="1:6" ht="30" customHeight="1" x14ac:dyDescent="0.25">
      <c r="A6635" s="1" t="s">
        <v>13263</v>
      </c>
      <c r="B6635" s="1" t="str">
        <f>"9781118488232"</f>
        <v>9781118488232</v>
      </c>
      <c r="C6635" s="1" t="s">
        <v>65</v>
      </c>
      <c r="D6635" s="2">
        <v>41380</v>
      </c>
      <c r="E6635" s="1" t="s">
        <v>13264</v>
      </c>
      <c r="F6635" s="1" t="s">
        <v>13</v>
      </c>
    </row>
    <row r="6636" spans="1:6" ht="30" customHeight="1" x14ac:dyDescent="0.25">
      <c r="A6636" s="1" t="s">
        <v>13265</v>
      </c>
      <c r="B6636" s="1" t="str">
        <f>"9780821396681"</f>
        <v>9780821396681</v>
      </c>
      <c r="C6636" s="1" t="s">
        <v>6702</v>
      </c>
      <c r="D6636" s="2">
        <v>41348</v>
      </c>
      <c r="E6636" s="1" t="s">
        <v>13266</v>
      </c>
      <c r="F6636" s="1" t="s">
        <v>95</v>
      </c>
    </row>
    <row r="6637" spans="1:6" ht="30" customHeight="1" x14ac:dyDescent="0.25">
      <c r="A6637" s="1" t="s">
        <v>13267</v>
      </c>
      <c r="B6637" s="1" t="str">
        <f>"9781909280199"</f>
        <v>9781909280199</v>
      </c>
      <c r="C6637" s="1" t="s">
        <v>9846</v>
      </c>
      <c r="D6637" s="2">
        <v>41374</v>
      </c>
      <c r="E6637" s="1" t="s">
        <v>13268</v>
      </c>
      <c r="F6637" s="1" t="s">
        <v>13269</v>
      </c>
    </row>
    <row r="6638" spans="1:6" ht="30" customHeight="1" x14ac:dyDescent="0.25">
      <c r="A6638" s="1" t="s">
        <v>13270</v>
      </c>
      <c r="B6638" s="1" t="str">
        <f>"9780826107152"</f>
        <v>9780826107152</v>
      </c>
      <c r="C6638" s="1" t="s">
        <v>2339</v>
      </c>
      <c r="D6638" s="2">
        <v>41390</v>
      </c>
      <c r="E6638" s="1" t="s">
        <v>13271</v>
      </c>
      <c r="F6638" s="1" t="s">
        <v>13</v>
      </c>
    </row>
    <row r="6639" spans="1:6" ht="30" customHeight="1" x14ac:dyDescent="0.25">
      <c r="A6639" s="1" t="s">
        <v>13272</v>
      </c>
      <c r="B6639" s="1" t="str">
        <f>"9780826108678"</f>
        <v>9780826108678</v>
      </c>
      <c r="C6639" s="1" t="s">
        <v>2339</v>
      </c>
      <c r="D6639" s="2">
        <v>41390</v>
      </c>
      <c r="E6639" s="1" t="s">
        <v>13273</v>
      </c>
      <c r="F6639" s="1" t="s">
        <v>126</v>
      </c>
    </row>
    <row r="6640" spans="1:6" ht="30" customHeight="1" x14ac:dyDescent="0.25">
      <c r="A6640" s="1" t="s">
        <v>13274</v>
      </c>
      <c r="B6640" s="1" t="str">
        <f>"9780826199478"</f>
        <v>9780826199478</v>
      </c>
      <c r="C6640" s="1" t="s">
        <v>2339</v>
      </c>
      <c r="D6640" s="2">
        <v>40483</v>
      </c>
      <c r="E6640" s="1" t="s">
        <v>13275</v>
      </c>
      <c r="F6640" s="1" t="s">
        <v>234</v>
      </c>
    </row>
    <row r="6641" spans="1:6" ht="30" customHeight="1" x14ac:dyDescent="0.25">
      <c r="A6641" s="1" t="s">
        <v>13276</v>
      </c>
      <c r="B6641" s="1" t="str">
        <f>"9781611323184"</f>
        <v>9781611323184</v>
      </c>
      <c r="C6641" s="1" t="s">
        <v>68</v>
      </c>
      <c r="D6641" s="2">
        <v>41379</v>
      </c>
      <c r="E6641" s="1" t="s">
        <v>13277</v>
      </c>
      <c r="F6641" s="1" t="s">
        <v>301</v>
      </c>
    </row>
    <row r="6642" spans="1:6" ht="30" customHeight="1" x14ac:dyDescent="0.25">
      <c r="A6642" s="1" t="s">
        <v>13278</v>
      </c>
      <c r="B6642" s="1" t="str">
        <f>"9780804786133"</f>
        <v>9780804786133</v>
      </c>
      <c r="C6642" s="1" t="s">
        <v>7827</v>
      </c>
      <c r="D6642" s="2">
        <v>41816</v>
      </c>
      <c r="E6642" s="1" t="s">
        <v>13279</v>
      </c>
      <c r="F6642" s="1" t="s">
        <v>214</v>
      </c>
    </row>
    <row r="6643" spans="1:6" ht="30" customHeight="1" x14ac:dyDescent="0.25">
      <c r="A6643" s="1" t="s">
        <v>13280</v>
      </c>
      <c r="B6643" s="1" t="str">
        <f>"9789240690660"</f>
        <v>9789240690660</v>
      </c>
      <c r="C6643" s="1" t="s">
        <v>1981</v>
      </c>
      <c r="D6643" s="2">
        <v>41368</v>
      </c>
      <c r="E6643" s="1" t="s">
        <v>13281</v>
      </c>
      <c r="F6643" s="1" t="s">
        <v>13</v>
      </c>
    </row>
    <row r="6644" spans="1:6" ht="30" customHeight="1" x14ac:dyDescent="0.25">
      <c r="A6644" s="1" t="s">
        <v>13282</v>
      </c>
      <c r="B6644" s="1" t="str">
        <f>"9781118571958"</f>
        <v>9781118571958</v>
      </c>
      <c r="C6644" s="1" t="s">
        <v>65</v>
      </c>
      <c r="D6644" s="2">
        <v>41383</v>
      </c>
      <c r="E6644" s="1" t="s">
        <v>13283</v>
      </c>
      <c r="F6644" s="1" t="s">
        <v>13</v>
      </c>
    </row>
    <row r="6645" spans="1:6" ht="30" customHeight="1" x14ac:dyDescent="0.25">
      <c r="A6645" s="1" t="s">
        <v>13284</v>
      </c>
      <c r="B6645" s="1" t="str">
        <f>"9781118584804"</f>
        <v>9781118584804</v>
      </c>
      <c r="C6645" s="1" t="s">
        <v>65</v>
      </c>
      <c r="D6645" s="2">
        <v>41383</v>
      </c>
      <c r="E6645" s="1" t="s">
        <v>13285</v>
      </c>
      <c r="F6645" s="1" t="s">
        <v>13</v>
      </c>
    </row>
    <row r="6646" spans="1:6" ht="30" customHeight="1" x14ac:dyDescent="0.25">
      <c r="A6646" s="1" t="s">
        <v>13286</v>
      </c>
      <c r="B6646" s="1" t="str">
        <f>"9781118618202"</f>
        <v>9781118618202</v>
      </c>
      <c r="C6646" s="1" t="s">
        <v>11</v>
      </c>
      <c r="D6646" s="2">
        <v>40189</v>
      </c>
      <c r="E6646" s="1" t="s">
        <v>13287</v>
      </c>
      <c r="F6646" s="1" t="s">
        <v>13</v>
      </c>
    </row>
    <row r="6647" spans="1:6" ht="30" customHeight="1" x14ac:dyDescent="0.25">
      <c r="A6647" s="1" t="s">
        <v>13288</v>
      </c>
      <c r="B6647" s="1" t="str">
        <f>"9780804785747"</f>
        <v>9780804785747</v>
      </c>
      <c r="C6647" s="1" t="s">
        <v>7827</v>
      </c>
      <c r="D6647" s="2">
        <v>41394</v>
      </c>
      <c r="E6647" s="1" t="s">
        <v>13289</v>
      </c>
      <c r="F6647" s="1" t="s">
        <v>8581</v>
      </c>
    </row>
    <row r="6648" spans="1:6" ht="30" customHeight="1" x14ac:dyDescent="0.25">
      <c r="A6648" s="1" t="s">
        <v>13290</v>
      </c>
      <c r="B6648" s="1" t="str">
        <f>"9780231534277"</f>
        <v>9780231534277</v>
      </c>
      <c r="C6648" s="1" t="s">
        <v>11751</v>
      </c>
      <c r="D6648" s="2">
        <v>42045</v>
      </c>
      <c r="E6648" s="1" t="s">
        <v>13291</v>
      </c>
      <c r="F6648" s="1" t="s">
        <v>13</v>
      </c>
    </row>
    <row r="6649" spans="1:6" ht="30" customHeight="1" x14ac:dyDescent="0.25">
      <c r="A6649" s="1" t="s">
        <v>13292</v>
      </c>
      <c r="B6649" s="1" t="str">
        <f>"9780826195524"</f>
        <v>9780826195524</v>
      </c>
      <c r="C6649" s="1" t="s">
        <v>2339</v>
      </c>
      <c r="D6649" s="2">
        <v>41424</v>
      </c>
      <c r="E6649" s="1" t="s">
        <v>13293</v>
      </c>
      <c r="F6649" s="1" t="s">
        <v>126</v>
      </c>
    </row>
    <row r="6650" spans="1:6" ht="30" customHeight="1" x14ac:dyDescent="0.25">
      <c r="A6650" s="1" t="s">
        <v>13294</v>
      </c>
      <c r="B6650" s="1" t="str">
        <f>"9781614991540"</f>
        <v>9781614991540</v>
      </c>
      <c r="C6650" s="1" t="s">
        <v>1390</v>
      </c>
      <c r="D6650" s="2">
        <v>41320</v>
      </c>
      <c r="E6650" s="1" t="s">
        <v>13295</v>
      </c>
      <c r="F6650" s="1" t="s">
        <v>13</v>
      </c>
    </row>
    <row r="6651" spans="1:6" ht="30" customHeight="1" x14ac:dyDescent="0.25">
      <c r="A6651" s="1" t="s">
        <v>13296</v>
      </c>
      <c r="B6651" s="1" t="str">
        <f>"9781614991755"</f>
        <v>9781614991755</v>
      </c>
      <c r="C6651" s="1" t="s">
        <v>1390</v>
      </c>
      <c r="D6651" s="2">
        <v>41333</v>
      </c>
      <c r="E6651" s="1" t="s">
        <v>13297</v>
      </c>
      <c r="F6651" s="1" t="s">
        <v>30</v>
      </c>
    </row>
    <row r="6652" spans="1:6" ht="30" customHeight="1" x14ac:dyDescent="0.25">
      <c r="A6652" s="1" t="s">
        <v>13298</v>
      </c>
      <c r="B6652" s="1" t="str">
        <f>"9781614992400"</f>
        <v>9781614992400</v>
      </c>
      <c r="C6652" s="1" t="s">
        <v>13299</v>
      </c>
      <c r="D6652" s="2">
        <v>41365</v>
      </c>
      <c r="E6652" s="1" t="s">
        <v>13300</v>
      </c>
      <c r="F6652" s="1" t="s">
        <v>13</v>
      </c>
    </row>
    <row r="6653" spans="1:6" ht="30" customHeight="1" x14ac:dyDescent="0.25">
      <c r="A6653" s="1" t="s">
        <v>13301</v>
      </c>
      <c r="B6653" s="1" t="str">
        <f>"9781118612590"</f>
        <v>9781118612590</v>
      </c>
      <c r="C6653" s="1" t="s">
        <v>11</v>
      </c>
      <c r="D6653" s="2">
        <v>41397</v>
      </c>
      <c r="E6653" s="1" t="s">
        <v>13302</v>
      </c>
      <c r="F6653" s="1" t="s">
        <v>538</v>
      </c>
    </row>
    <row r="6654" spans="1:6" ht="30" customHeight="1" x14ac:dyDescent="0.25">
      <c r="A6654" s="1" t="s">
        <v>13303</v>
      </c>
      <c r="B6654" s="1" t="str">
        <f>"9781118460085"</f>
        <v>9781118460085</v>
      </c>
      <c r="C6654" s="1" t="s">
        <v>11</v>
      </c>
      <c r="D6654" s="2">
        <v>41397</v>
      </c>
      <c r="E6654" s="1" t="s">
        <v>13304</v>
      </c>
      <c r="F6654" s="1" t="s">
        <v>13</v>
      </c>
    </row>
    <row r="6655" spans="1:6" ht="30" customHeight="1" x14ac:dyDescent="0.25">
      <c r="A6655" s="1" t="s">
        <v>13305</v>
      </c>
      <c r="B6655" s="1" t="str">
        <f>"9781608051496"</f>
        <v>9781608051496</v>
      </c>
      <c r="C6655" s="1" t="s">
        <v>11332</v>
      </c>
      <c r="D6655" s="2">
        <v>41368</v>
      </c>
      <c r="E6655" s="1" t="s">
        <v>13306</v>
      </c>
      <c r="F6655" s="1" t="s">
        <v>268</v>
      </c>
    </row>
    <row r="6656" spans="1:6" ht="30" customHeight="1" x14ac:dyDescent="0.25">
      <c r="A6656" s="1" t="s">
        <v>13307</v>
      </c>
      <c r="B6656" s="1" t="str">
        <f>"9780813560991"</f>
        <v>9780813560991</v>
      </c>
      <c r="C6656" s="1" t="s">
        <v>3656</v>
      </c>
      <c r="D6656" s="2">
        <v>41431</v>
      </c>
      <c r="E6656" s="1" t="s">
        <v>13308</v>
      </c>
      <c r="F6656" s="1" t="s">
        <v>95</v>
      </c>
    </row>
    <row r="6657" spans="1:6" ht="30" customHeight="1" x14ac:dyDescent="0.25">
      <c r="A6657" s="1" t="s">
        <v>13309</v>
      </c>
      <c r="B6657" s="1" t="str">
        <f>"9781118418024"</f>
        <v>9781118418024</v>
      </c>
      <c r="C6657" s="1" t="s">
        <v>65</v>
      </c>
      <c r="D6657" s="2">
        <v>41396</v>
      </c>
      <c r="E6657" s="1" t="s">
        <v>13310</v>
      </c>
      <c r="F6657" s="1" t="s">
        <v>95</v>
      </c>
    </row>
    <row r="6658" spans="1:6" ht="30" customHeight="1" x14ac:dyDescent="0.25">
      <c r="A6658" s="1" t="s">
        <v>13311</v>
      </c>
      <c r="B6658" s="1" t="str">
        <f>"9781118642511"</f>
        <v>9781118642511</v>
      </c>
      <c r="C6658" s="1" t="s">
        <v>65</v>
      </c>
      <c r="D6658" s="2">
        <v>41464</v>
      </c>
      <c r="E6658" s="1" t="s">
        <v>13312</v>
      </c>
      <c r="F6658" s="1" t="s">
        <v>13</v>
      </c>
    </row>
    <row r="6659" spans="1:6" ht="30" customHeight="1" x14ac:dyDescent="0.25">
      <c r="A6659" s="1" t="s">
        <v>3576</v>
      </c>
      <c r="B6659" s="1" t="str">
        <f>"9781847550095"</f>
        <v>9781847550095</v>
      </c>
      <c r="C6659" s="1" t="s">
        <v>13313</v>
      </c>
      <c r="D6659" s="2">
        <v>39386</v>
      </c>
      <c r="E6659" s="1" t="s">
        <v>13314</v>
      </c>
      <c r="F6659" s="1" t="s">
        <v>1349</v>
      </c>
    </row>
    <row r="6660" spans="1:6" ht="30" customHeight="1" x14ac:dyDescent="0.25">
      <c r="A6660" s="1" t="s">
        <v>13315</v>
      </c>
      <c r="B6660" s="1" t="str">
        <f>"9781847552457"</f>
        <v>9781847552457</v>
      </c>
      <c r="C6660" s="1" t="s">
        <v>13313</v>
      </c>
      <c r="D6660" s="2">
        <v>39386</v>
      </c>
      <c r="E6660" s="1" t="s">
        <v>13316</v>
      </c>
      <c r="F6660" s="1" t="s">
        <v>13</v>
      </c>
    </row>
    <row r="6661" spans="1:6" ht="30" customHeight="1" x14ac:dyDescent="0.25">
      <c r="A6661" s="1" t="s">
        <v>13317</v>
      </c>
      <c r="B6661" s="1" t="str">
        <f>"9781847550118"</f>
        <v>9781847550118</v>
      </c>
      <c r="C6661" s="1" t="s">
        <v>13313</v>
      </c>
      <c r="D6661" s="2">
        <v>39386</v>
      </c>
      <c r="E6661" s="1" t="s">
        <v>13318</v>
      </c>
      <c r="F6661" s="1" t="s">
        <v>268</v>
      </c>
    </row>
    <row r="6662" spans="1:6" ht="30" customHeight="1" x14ac:dyDescent="0.25">
      <c r="A6662" s="1" t="s">
        <v>13319</v>
      </c>
      <c r="B6662" s="1" t="str">
        <f>"9781849732758"</f>
        <v>9781849732758</v>
      </c>
      <c r="C6662" s="1" t="s">
        <v>13313</v>
      </c>
      <c r="D6662" s="2">
        <v>40693</v>
      </c>
      <c r="E6662" s="1" t="s">
        <v>13320</v>
      </c>
      <c r="F6662" s="1" t="s">
        <v>13</v>
      </c>
    </row>
    <row r="6663" spans="1:6" ht="30" customHeight="1" x14ac:dyDescent="0.25">
      <c r="A6663" s="1" t="s">
        <v>13321</v>
      </c>
      <c r="B6663" s="1" t="str">
        <f>"9781847558336"</f>
        <v>9781847558336</v>
      </c>
      <c r="C6663" s="1" t="s">
        <v>13313</v>
      </c>
      <c r="D6663" s="2">
        <v>39658</v>
      </c>
      <c r="E6663" s="1" t="s">
        <v>13322</v>
      </c>
      <c r="F6663" s="1" t="s">
        <v>751</v>
      </c>
    </row>
    <row r="6664" spans="1:6" ht="30" customHeight="1" x14ac:dyDescent="0.25">
      <c r="A6664" s="1" t="s">
        <v>13323</v>
      </c>
      <c r="B6664" s="1" t="str">
        <f>"9781849733366"</f>
        <v>9781849733366</v>
      </c>
      <c r="C6664" s="1" t="s">
        <v>13313</v>
      </c>
      <c r="D6664" s="2">
        <v>40849</v>
      </c>
      <c r="E6664" s="1" t="s">
        <v>13324</v>
      </c>
      <c r="F6664" s="1" t="s">
        <v>13</v>
      </c>
    </row>
    <row r="6665" spans="1:6" ht="30" customHeight="1" x14ac:dyDescent="0.25">
      <c r="A6665" s="1" t="s">
        <v>13325</v>
      </c>
      <c r="B6665" s="1" t="str">
        <f>"9781849733373"</f>
        <v>9781849733373</v>
      </c>
      <c r="C6665" s="1" t="s">
        <v>13313</v>
      </c>
      <c r="D6665" s="2">
        <v>40835</v>
      </c>
      <c r="E6665" s="1" t="s">
        <v>13326</v>
      </c>
      <c r="F6665" s="1" t="s">
        <v>13</v>
      </c>
    </row>
    <row r="6666" spans="1:6" ht="30" customHeight="1" x14ac:dyDescent="0.25">
      <c r="A6666" s="1" t="s">
        <v>13327</v>
      </c>
      <c r="B6666" s="1" t="str">
        <f>"9781849733540"</f>
        <v>9781849733540</v>
      </c>
      <c r="C6666" s="1" t="s">
        <v>13313</v>
      </c>
      <c r="D6666" s="2">
        <v>40835</v>
      </c>
      <c r="E6666" s="1" t="s">
        <v>13328</v>
      </c>
      <c r="F6666" s="1" t="s">
        <v>13</v>
      </c>
    </row>
    <row r="6667" spans="1:6" ht="30" customHeight="1" x14ac:dyDescent="0.25">
      <c r="A6667" s="1" t="s">
        <v>13329</v>
      </c>
      <c r="B6667" s="1" t="str">
        <f>"9781849734745"</f>
        <v>9781849734745</v>
      </c>
      <c r="C6667" s="1" t="s">
        <v>13313</v>
      </c>
      <c r="D6667" s="2">
        <v>41053</v>
      </c>
      <c r="E6667" s="1" t="s">
        <v>13330</v>
      </c>
      <c r="F6667" s="1" t="s">
        <v>13</v>
      </c>
    </row>
    <row r="6668" spans="1:6" ht="30" customHeight="1" x14ac:dyDescent="0.25">
      <c r="A6668" s="1" t="s">
        <v>13331</v>
      </c>
      <c r="B6668" s="1" t="str">
        <f>"9781847558923"</f>
        <v>9781847558923</v>
      </c>
      <c r="C6668" s="1" t="s">
        <v>13313</v>
      </c>
      <c r="D6668" s="2">
        <v>39708</v>
      </c>
      <c r="E6668" s="1" t="s">
        <v>13332</v>
      </c>
      <c r="F6668" s="1" t="s">
        <v>13</v>
      </c>
    </row>
    <row r="6669" spans="1:6" ht="30" customHeight="1" x14ac:dyDescent="0.25">
      <c r="A6669" s="1" t="s">
        <v>13333</v>
      </c>
      <c r="B6669" s="1" t="str">
        <f>"9781847550378"</f>
        <v>9781847550378</v>
      </c>
      <c r="C6669" s="1" t="s">
        <v>13313</v>
      </c>
      <c r="D6669" s="2">
        <v>39386</v>
      </c>
      <c r="E6669" s="1" t="s">
        <v>13334</v>
      </c>
      <c r="F6669" s="1" t="s">
        <v>13</v>
      </c>
    </row>
    <row r="6670" spans="1:6" ht="30" customHeight="1" x14ac:dyDescent="0.25">
      <c r="A6670" s="1" t="s">
        <v>13335</v>
      </c>
      <c r="B6670" s="1" t="str">
        <f>"9781847555403"</f>
        <v>9781847555403</v>
      </c>
      <c r="C6670" s="1" t="s">
        <v>13313</v>
      </c>
      <c r="D6670" s="2">
        <v>38939</v>
      </c>
      <c r="E6670" s="1" t="s">
        <v>13336</v>
      </c>
      <c r="F6670" s="1" t="s">
        <v>268</v>
      </c>
    </row>
    <row r="6671" spans="1:6" ht="30" customHeight="1" x14ac:dyDescent="0.25">
      <c r="A6671" s="1" t="s">
        <v>13337</v>
      </c>
      <c r="B6671" s="1" t="str">
        <f>"9781847552051"</f>
        <v>9781847552051</v>
      </c>
      <c r="C6671" s="1" t="s">
        <v>13313</v>
      </c>
      <c r="D6671" s="2">
        <v>39386</v>
      </c>
      <c r="E6671" s="1" t="s">
        <v>13338</v>
      </c>
      <c r="F6671" s="1" t="s">
        <v>13</v>
      </c>
    </row>
    <row r="6672" spans="1:6" ht="30" customHeight="1" x14ac:dyDescent="0.25">
      <c r="A6672" s="1" t="s">
        <v>13339</v>
      </c>
      <c r="B6672" s="1" t="str">
        <f>"9781847550521"</f>
        <v>9781847550521</v>
      </c>
      <c r="C6672" s="1" t="s">
        <v>13313</v>
      </c>
      <c r="D6672" s="2">
        <v>39386</v>
      </c>
      <c r="E6672" s="1" t="s">
        <v>13340</v>
      </c>
      <c r="F6672" s="1" t="s">
        <v>4193</v>
      </c>
    </row>
    <row r="6673" spans="1:6" ht="30" customHeight="1" x14ac:dyDescent="0.25">
      <c r="A6673" s="1" t="s">
        <v>13341</v>
      </c>
      <c r="B6673" s="1" t="str">
        <f>"9781847550705"</f>
        <v>9781847550705</v>
      </c>
      <c r="C6673" s="1" t="s">
        <v>13313</v>
      </c>
      <c r="D6673" s="2">
        <v>39386</v>
      </c>
      <c r="E6673" s="1" t="s">
        <v>13342</v>
      </c>
      <c r="F6673" s="1" t="s">
        <v>268</v>
      </c>
    </row>
    <row r="6674" spans="1:6" ht="30" customHeight="1" x14ac:dyDescent="0.25">
      <c r="A6674" s="1" t="s">
        <v>13343</v>
      </c>
      <c r="B6674" s="1" t="str">
        <f>"9781847550712"</f>
        <v>9781847550712</v>
      </c>
      <c r="C6674" s="1" t="s">
        <v>13313</v>
      </c>
      <c r="D6674" s="2">
        <v>39386</v>
      </c>
      <c r="E6674" s="1" t="s">
        <v>13344</v>
      </c>
      <c r="F6674" s="1" t="s">
        <v>137</v>
      </c>
    </row>
    <row r="6675" spans="1:6" ht="30" customHeight="1" x14ac:dyDescent="0.25">
      <c r="A6675" s="1" t="s">
        <v>13345</v>
      </c>
      <c r="B6675" s="1" t="str">
        <f>"9781847550743"</f>
        <v>9781847550743</v>
      </c>
      <c r="C6675" s="1" t="s">
        <v>13313</v>
      </c>
      <c r="D6675" s="2">
        <v>39386</v>
      </c>
      <c r="E6675" s="1" t="s">
        <v>13346</v>
      </c>
      <c r="F6675" s="1" t="s">
        <v>4817</v>
      </c>
    </row>
    <row r="6676" spans="1:6" ht="30" customHeight="1" x14ac:dyDescent="0.25">
      <c r="A6676" s="1" t="s">
        <v>13347</v>
      </c>
      <c r="B6676" s="1" t="str">
        <f>"9781847550767"</f>
        <v>9781847550767</v>
      </c>
      <c r="C6676" s="1" t="s">
        <v>13313</v>
      </c>
      <c r="D6676" s="2">
        <v>39386</v>
      </c>
      <c r="E6676" s="1" t="s">
        <v>13348</v>
      </c>
      <c r="F6676" s="1" t="s">
        <v>13349</v>
      </c>
    </row>
    <row r="6677" spans="1:6" ht="30" customHeight="1" x14ac:dyDescent="0.25">
      <c r="A6677" s="1" t="s">
        <v>13350</v>
      </c>
      <c r="B6677" s="1" t="str">
        <f>"9781847559234"</f>
        <v>9781847559234</v>
      </c>
      <c r="C6677" s="1" t="s">
        <v>13313</v>
      </c>
      <c r="D6677" s="2">
        <v>39497</v>
      </c>
      <c r="E6677" s="1" t="s">
        <v>13351</v>
      </c>
      <c r="F6677" s="1" t="s">
        <v>1338</v>
      </c>
    </row>
    <row r="6678" spans="1:6" ht="30" customHeight="1" x14ac:dyDescent="0.25">
      <c r="A6678" s="1" t="s">
        <v>13352</v>
      </c>
      <c r="B6678" s="1" t="str">
        <f>"9781847550798"</f>
        <v>9781847550798</v>
      </c>
      <c r="C6678" s="1" t="s">
        <v>13313</v>
      </c>
      <c r="D6678" s="2">
        <v>34324</v>
      </c>
      <c r="E6678" s="1" t="s">
        <v>13353</v>
      </c>
      <c r="F6678" s="1" t="s">
        <v>70</v>
      </c>
    </row>
    <row r="6679" spans="1:6" ht="30" customHeight="1" x14ac:dyDescent="0.25">
      <c r="A6679" s="1" t="s">
        <v>13354</v>
      </c>
      <c r="B6679" s="1" t="str">
        <f>"9781847552488"</f>
        <v>9781847552488</v>
      </c>
      <c r="C6679" s="1" t="s">
        <v>13313</v>
      </c>
      <c r="D6679" s="2">
        <v>39386</v>
      </c>
      <c r="E6679" s="1" t="s">
        <v>13355</v>
      </c>
      <c r="F6679" s="1" t="s">
        <v>4193</v>
      </c>
    </row>
    <row r="6680" spans="1:6" ht="30" customHeight="1" x14ac:dyDescent="0.25">
      <c r="A6680" s="1" t="s">
        <v>13356</v>
      </c>
      <c r="B6680" s="1" t="str">
        <f>"9781847550903"</f>
        <v>9781847550903</v>
      </c>
      <c r="C6680" s="1" t="s">
        <v>13313</v>
      </c>
      <c r="D6680" s="2">
        <v>36979</v>
      </c>
      <c r="E6680" s="1" t="s">
        <v>13357</v>
      </c>
      <c r="F6680" s="1" t="s">
        <v>4314</v>
      </c>
    </row>
    <row r="6681" spans="1:6" ht="30" customHeight="1" x14ac:dyDescent="0.25">
      <c r="A6681" s="1" t="s">
        <v>13358</v>
      </c>
      <c r="B6681" s="1" t="str">
        <f>"9781847559449"</f>
        <v>9781847559449</v>
      </c>
      <c r="C6681" s="1" t="s">
        <v>13313</v>
      </c>
      <c r="D6681" s="2">
        <v>37550</v>
      </c>
      <c r="E6681" s="1" t="s">
        <v>13359</v>
      </c>
      <c r="F6681" s="1" t="s">
        <v>13</v>
      </c>
    </row>
    <row r="6682" spans="1:6" ht="30" customHeight="1" x14ac:dyDescent="0.25">
      <c r="A6682" s="1" t="s">
        <v>13360</v>
      </c>
      <c r="B6682" s="1" t="str">
        <f>"9781849730730"</f>
        <v>9781849730730</v>
      </c>
      <c r="C6682" s="1" t="s">
        <v>13313</v>
      </c>
      <c r="D6682" s="2">
        <v>40162</v>
      </c>
      <c r="E6682" s="1" t="s">
        <v>13359</v>
      </c>
      <c r="F6682" s="1" t="s">
        <v>599</v>
      </c>
    </row>
    <row r="6683" spans="1:6" ht="30" customHeight="1" x14ac:dyDescent="0.25">
      <c r="A6683" s="1" t="s">
        <v>13361</v>
      </c>
      <c r="B6683" s="1" t="str">
        <f>"9781847550866"</f>
        <v>9781847550866</v>
      </c>
      <c r="C6683" s="1" t="s">
        <v>13313</v>
      </c>
      <c r="D6683" s="2">
        <v>36950</v>
      </c>
      <c r="E6683" s="1" t="s">
        <v>13362</v>
      </c>
      <c r="F6683" s="1" t="s">
        <v>3875</v>
      </c>
    </row>
    <row r="6684" spans="1:6" ht="30" customHeight="1" x14ac:dyDescent="0.25">
      <c r="A6684" s="1" t="s">
        <v>13363</v>
      </c>
      <c r="B6684" s="1" t="str">
        <f>"9781847550897"</f>
        <v>9781847550897</v>
      </c>
      <c r="C6684" s="1" t="s">
        <v>13313</v>
      </c>
      <c r="D6684" s="2">
        <v>39386</v>
      </c>
      <c r="E6684" s="1" t="s">
        <v>13364</v>
      </c>
      <c r="F6684" s="1" t="s">
        <v>3875</v>
      </c>
    </row>
    <row r="6685" spans="1:6" ht="30" customHeight="1" x14ac:dyDescent="0.25">
      <c r="A6685" s="1" t="s">
        <v>13365</v>
      </c>
      <c r="B6685" s="1" t="str">
        <f>"9781847557704"</f>
        <v>9781847557704</v>
      </c>
      <c r="C6685" s="1" t="s">
        <v>13313</v>
      </c>
      <c r="D6685" s="2">
        <v>39386</v>
      </c>
      <c r="E6685" s="1" t="s">
        <v>13366</v>
      </c>
      <c r="F6685" s="1" t="s">
        <v>268</v>
      </c>
    </row>
    <row r="6686" spans="1:6" ht="30" customHeight="1" x14ac:dyDescent="0.25">
      <c r="A6686" s="1" t="s">
        <v>13367</v>
      </c>
      <c r="B6686" s="1" t="str">
        <f>"9781847552648"</f>
        <v>9781847552648</v>
      </c>
      <c r="C6686" s="1" t="s">
        <v>13313</v>
      </c>
      <c r="D6686" s="2">
        <v>38755</v>
      </c>
      <c r="E6686" s="1" t="s">
        <v>13368</v>
      </c>
      <c r="F6686" s="1" t="s">
        <v>158</v>
      </c>
    </row>
    <row r="6687" spans="1:6" ht="30" customHeight="1" x14ac:dyDescent="0.25">
      <c r="A6687" s="1" t="s">
        <v>13369</v>
      </c>
      <c r="B6687" s="1" t="str">
        <f>"9781847550941"</f>
        <v>9781847550941</v>
      </c>
      <c r="C6687" s="1" t="s">
        <v>13313</v>
      </c>
      <c r="D6687" s="2">
        <v>35384</v>
      </c>
      <c r="E6687" s="1" t="s">
        <v>13370</v>
      </c>
      <c r="F6687" s="1" t="s">
        <v>13371</v>
      </c>
    </row>
    <row r="6688" spans="1:6" ht="30" customHeight="1" x14ac:dyDescent="0.25">
      <c r="A6688" s="1" t="s">
        <v>13372</v>
      </c>
      <c r="B6688" s="1" t="str">
        <f>"9781849732086"</f>
        <v>9781849732086</v>
      </c>
      <c r="C6688" s="1" t="s">
        <v>13313</v>
      </c>
      <c r="D6688" s="2">
        <v>40304</v>
      </c>
      <c r="E6688" s="1" t="s">
        <v>13373</v>
      </c>
      <c r="F6688" s="1" t="s">
        <v>95</v>
      </c>
    </row>
    <row r="6689" spans="1:6" ht="30" customHeight="1" x14ac:dyDescent="0.25">
      <c r="A6689" s="1" t="s">
        <v>13374</v>
      </c>
      <c r="B6689" s="1" t="str">
        <f>"9781847558602"</f>
        <v>9781847558602</v>
      </c>
      <c r="C6689" s="1" t="s">
        <v>13313</v>
      </c>
      <c r="D6689" s="2">
        <v>39560</v>
      </c>
      <c r="E6689" s="1" t="s">
        <v>13375</v>
      </c>
      <c r="F6689" s="1" t="s">
        <v>13</v>
      </c>
    </row>
    <row r="6690" spans="1:6" ht="30" customHeight="1" x14ac:dyDescent="0.25">
      <c r="A6690" s="1" t="s">
        <v>13376</v>
      </c>
      <c r="B6690" s="1" t="str">
        <f>"9781847551221"</f>
        <v>9781847551221</v>
      </c>
      <c r="C6690" s="1" t="s">
        <v>13313</v>
      </c>
      <c r="D6690" s="2">
        <v>38287</v>
      </c>
      <c r="E6690" s="1" t="s">
        <v>13377</v>
      </c>
      <c r="F6690" s="1" t="s">
        <v>268</v>
      </c>
    </row>
    <row r="6691" spans="1:6" ht="30" customHeight="1" x14ac:dyDescent="0.25">
      <c r="A6691" s="1" t="s">
        <v>13378</v>
      </c>
      <c r="B6691" s="1" t="str">
        <f>"9781847551252"</f>
        <v>9781847551252</v>
      </c>
      <c r="C6691" s="1" t="s">
        <v>13313</v>
      </c>
      <c r="D6691" s="2">
        <v>39386</v>
      </c>
      <c r="E6691" s="1" t="s">
        <v>13379</v>
      </c>
      <c r="F6691" s="1" t="s">
        <v>3875</v>
      </c>
    </row>
    <row r="6692" spans="1:6" ht="30" customHeight="1" x14ac:dyDescent="0.25">
      <c r="A6692" s="1" t="s">
        <v>13380</v>
      </c>
      <c r="B6692" s="1" t="str">
        <f>"9781847551269"</f>
        <v>9781847551269</v>
      </c>
      <c r="C6692" s="1" t="s">
        <v>13313</v>
      </c>
      <c r="D6692" s="2">
        <v>39386</v>
      </c>
      <c r="E6692" s="1" t="s">
        <v>13381</v>
      </c>
      <c r="F6692" s="1" t="s">
        <v>6960</v>
      </c>
    </row>
    <row r="6693" spans="1:6" ht="30" customHeight="1" x14ac:dyDescent="0.25">
      <c r="A6693" s="1" t="s">
        <v>13382</v>
      </c>
      <c r="B6693" s="1" t="str">
        <f>"9781847552570"</f>
        <v>9781847552570</v>
      </c>
      <c r="C6693" s="1" t="s">
        <v>13313</v>
      </c>
      <c r="D6693" s="2">
        <v>39386</v>
      </c>
      <c r="E6693" s="1" t="s">
        <v>13383</v>
      </c>
      <c r="F6693" s="1" t="s">
        <v>4193</v>
      </c>
    </row>
    <row r="6694" spans="1:6" ht="30" customHeight="1" x14ac:dyDescent="0.25">
      <c r="A6694" s="1" t="s">
        <v>13384</v>
      </c>
      <c r="B6694" s="1" t="str">
        <f>"9781847551290"</f>
        <v>9781847551290</v>
      </c>
      <c r="C6694" s="1" t="s">
        <v>13313</v>
      </c>
      <c r="D6694" s="2">
        <v>39386</v>
      </c>
      <c r="E6694" s="1" t="s">
        <v>13385</v>
      </c>
      <c r="F6694" s="1" t="s">
        <v>6118</v>
      </c>
    </row>
    <row r="6695" spans="1:6" ht="30" customHeight="1" x14ac:dyDescent="0.25">
      <c r="A6695" s="1" t="s">
        <v>13386</v>
      </c>
      <c r="B6695" s="1" t="str">
        <f>"9781847558558"</f>
        <v>9781847558558</v>
      </c>
      <c r="C6695" s="1" t="s">
        <v>13313</v>
      </c>
      <c r="D6695" s="2">
        <v>39720</v>
      </c>
      <c r="E6695" s="1" t="s">
        <v>13387</v>
      </c>
      <c r="F6695" s="1" t="s">
        <v>599</v>
      </c>
    </row>
    <row r="6696" spans="1:6" ht="30" customHeight="1" x14ac:dyDescent="0.25">
      <c r="A6696" s="1" t="s">
        <v>13388</v>
      </c>
      <c r="B6696" s="1" t="str">
        <f>"9781847559883"</f>
        <v>9781847559883</v>
      </c>
      <c r="C6696" s="1" t="s">
        <v>13313</v>
      </c>
      <c r="D6696" s="2">
        <v>40268</v>
      </c>
      <c r="E6696" s="1" t="s">
        <v>13389</v>
      </c>
      <c r="F6696" s="1" t="s">
        <v>30</v>
      </c>
    </row>
    <row r="6697" spans="1:6" ht="30" customHeight="1" x14ac:dyDescent="0.25">
      <c r="A6697" s="1" t="s">
        <v>13390</v>
      </c>
      <c r="B6697" s="1" t="str">
        <f>"9781849733014"</f>
        <v>9781849733014</v>
      </c>
      <c r="C6697" s="1" t="s">
        <v>13313</v>
      </c>
      <c r="D6697" s="2">
        <v>40718</v>
      </c>
      <c r="E6697" s="1" t="s">
        <v>13391</v>
      </c>
      <c r="F6697" s="1" t="s">
        <v>13</v>
      </c>
    </row>
    <row r="6698" spans="1:6" ht="30" customHeight="1" x14ac:dyDescent="0.25">
      <c r="A6698" s="1" t="s">
        <v>13392</v>
      </c>
      <c r="B6698" s="1" t="str">
        <f>"9781849732178"</f>
        <v>9781849732178</v>
      </c>
      <c r="C6698" s="1" t="s">
        <v>13313</v>
      </c>
      <c r="D6698" s="2">
        <v>40511</v>
      </c>
      <c r="E6698" s="1" t="s">
        <v>13393</v>
      </c>
      <c r="F6698" s="1" t="s">
        <v>268</v>
      </c>
    </row>
    <row r="6699" spans="1:6" ht="30" customHeight="1" x14ac:dyDescent="0.25">
      <c r="A6699" s="1" t="s">
        <v>13394</v>
      </c>
      <c r="B6699" s="1" t="str">
        <f>"9781849733052"</f>
        <v>9781849733052</v>
      </c>
      <c r="C6699" s="1" t="s">
        <v>13313</v>
      </c>
      <c r="D6699" s="2">
        <v>40820</v>
      </c>
      <c r="E6699" s="1" t="s">
        <v>13395</v>
      </c>
      <c r="F6699" s="1" t="s">
        <v>268</v>
      </c>
    </row>
    <row r="6700" spans="1:6" ht="30" customHeight="1" x14ac:dyDescent="0.25">
      <c r="A6700" s="1" t="s">
        <v>13396</v>
      </c>
      <c r="B6700" s="1" t="str">
        <f>"9781849735339"</f>
        <v>9781849735339</v>
      </c>
      <c r="C6700" s="1" t="s">
        <v>13313</v>
      </c>
      <c r="D6700" s="2">
        <v>41273</v>
      </c>
      <c r="E6700" s="1" t="s">
        <v>13397</v>
      </c>
      <c r="F6700" s="1" t="s">
        <v>6960</v>
      </c>
    </row>
    <row r="6701" spans="1:6" ht="30" customHeight="1" x14ac:dyDescent="0.25">
      <c r="A6701" s="1" t="s">
        <v>13398</v>
      </c>
      <c r="B6701" s="1" t="str">
        <f>"9781847559463"</f>
        <v>9781847559463</v>
      </c>
      <c r="C6701" s="1" t="s">
        <v>13313</v>
      </c>
      <c r="D6701" s="2">
        <v>37565</v>
      </c>
      <c r="E6701" s="1" t="s">
        <v>13399</v>
      </c>
      <c r="F6701" s="1" t="s">
        <v>95</v>
      </c>
    </row>
    <row r="6702" spans="1:6" ht="30" customHeight="1" x14ac:dyDescent="0.25">
      <c r="A6702" s="1" t="s">
        <v>13400</v>
      </c>
      <c r="B6702" s="1" t="str">
        <f>"9781847551559"</f>
        <v>9781847551559</v>
      </c>
      <c r="C6702" s="1" t="s">
        <v>13313</v>
      </c>
      <c r="D6702" s="2">
        <v>39386</v>
      </c>
      <c r="E6702" s="1" t="s">
        <v>13401</v>
      </c>
      <c r="F6702" s="1" t="s">
        <v>200</v>
      </c>
    </row>
    <row r="6703" spans="1:6" ht="30" customHeight="1" x14ac:dyDescent="0.25">
      <c r="A6703" s="1" t="s">
        <v>13402</v>
      </c>
      <c r="B6703" s="1" t="str">
        <f>"9781849733076"</f>
        <v>9781849733076</v>
      </c>
      <c r="C6703" s="1" t="s">
        <v>13313</v>
      </c>
      <c r="D6703" s="2">
        <v>40772</v>
      </c>
      <c r="E6703" s="1" t="s">
        <v>13403</v>
      </c>
      <c r="F6703" s="1" t="s">
        <v>137</v>
      </c>
    </row>
    <row r="6704" spans="1:6" ht="30" customHeight="1" x14ac:dyDescent="0.25">
      <c r="A6704" s="1" t="s">
        <v>13404</v>
      </c>
      <c r="B6704" s="1" t="str">
        <f>"9781847551788"</f>
        <v>9781847551788</v>
      </c>
      <c r="C6704" s="1" t="s">
        <v>13313</v>
      </c>
      <c r="D6704" s="2">
        <v>39386</v>
      </c>
      <c r="E6704" s="1" t="s">
        <v>13405</v>
      </c>
      <c r="F6704" s="1" t="s">
        <v>4193</v>
      </c>
    </row>
    <row r="6705" spans="1:6" ht="30" customHeight="1" x14ac:dyDescent="0.25">
      <c r="A6705" s="1" t="s">
        <v>13406</v>
      </c>
      <c r="B6705" s="1" t="str">
        <f>"9781847551818"</f>
        <v>9781847551818</v>
      </c>
      <c r="C6705" s="1" t="s">
        <v>13313</v>
      </c>
      <c r="D6705" s="2">
        <v>39386</v>
      </c>
      <c r="E6705" s="1" t="s">
        <v>13407</v>
      </c>
      <c r="F6705" s="1" t="s">
        <v>4193</v>
      </c>
    </row>
    <row r="6706" spans="1:6" ht="30" customHeight="1" x14ac:dyDescent="0.25">
      <c r="A6706" s="1" t="s">
        <v>13408</v>
      </c>
      <c r="B6706" s="1" t="str">
        <f>"9781847557797"</f>
        <v>9781847557797</v>
      </c>
      <c r="C6706" s="1" t="s">
        <v>13313</v>
      </c>
      <c r="D6706" s="2">
        <v>39234</v>
      </c>
      <c r="E6706" s="1" t="s">
        <v>13409</v>
      </c>
      <c r="F6706" s="1" t="s">
        <v>3875</v>
      </c>
    </row>
    <row r="6707" spans="1:6" ht="30" customHeight="1" x14ac:dyDescent="0.25">
      <c r="A6707" s="1" t="s">
        <v>13410</v>
      </c>
      <c r="B6707" s="1" t="str">
        <f>"9781849731799"</f>
        <v>9781849731799</v>
      </c>
      <c r="C6707" s="1" t="s">
        <v>13313</v>
      </c>
      <c r="D6707" s="2">
        <v>40305</v>
      </c>
      <c r="E6707" s="1" t="s">
        <v>13411</v>
      </c>
      <c r="F6707" s="1" t="s">
        <v>13</v>
      </c>
    </row>
    <row r="6708" spans="1:6" ht="30" customHeight="1" x14ac:dyDescent="0.25">
      <c r="A6708" s="1" t="s">
        <v>13412</v>
      </c>
      <c r="B6708" s="1" t="str">
        <f>"9781847552198"</f>
        <v>9781847552198</v>
      </c>
      <c r="C6708" s="1" t="s">
        <v>13313</v>
      </c>
      <c r="D6708" s="2">
        <v>34885</v>
      </c>
      <c r="E6708" s="1" t="s">
        <v>13413</v>
      </c>
      <c r="F6708" s="1" t="s">
        <v>1152</v>
      </c>
    </row>
    <row r="6709" spans="1:6" ht="30" customHeight="1" x14ac:dyDescent="0.25">
      <c r="A6709" s="1" t="s">
        <v>13414</v>
      </c>
      <c r="B6709" s="1" t="str">
        <f>"9781847552365"</f>
        <v>9781847552365</v>
      </c>
      <c r="C6709" s="1" t="s">
        <v>13313</v>
      </c>
      <c r="D6709" s="2">
        <v>35963</v>
      </c>
      <c r="E6709" s="1" t="s">
        <v>13415</v>
      </c>
      <c r="F6709" s="1" t="s">
        <v>8961</v>
      </c>
    </row>
    <row r="6710" spans="1:6" ht="30" customHeight="1" x14ac:dyDescent="0.25">
      <c r="A6710" s="1" t="s">
        <v>13416</v>
      </c>
      <c r="B6710" s="1" t="str">
        <f>"9781118341575"</f>
        <v>9781118341575</v>
      </c>
      <c r="C6710" s="1" t="s">
        <v>65</v>
      </c>
      <c r="D6710" s="2">
        <v>41397</v>
      </c>
      <c r="E6710" s="1" t="s">
        <v>13417</v>
      </c>
      <c r="F6710" s="1" t="s">
        <v>13</v>
      </c>
    </row>
    <row r="6711" spans="1:6" ht="30" customHeight="1" x14ac:dyDescent="0.25">
      <c r="A6711" s="1" t="s">
        <v>13418</v>
      </c>
      <c r="B6711" s="1" t="str">
        <f>"9781118378687"</f>
        <v>9781118378687</v>
      </c>
      <c r="C6711" s="1" t="s">
        <v>65</v>
      </c>
      <c r="D6711" s="2">
        <v>41462</v>
      </c>
      <c r="E6711" s="1" t="s">
        <v>13419</v>
      </c>
      <c r="F6711" s="1" t="s">
        <v>70</v>
      </c>
    </row>
    <row r="6712" spans="1:6" ht="30" customHeight="1" x14ac:dyDescent="0.25">
      <c r="A6712" s="1" t="s">
        <v>13420</v>
      </c>
      <c r="B6712" s="1" t="str">
        <f>"9781118556245"</f>
        <v>9781118556245</v>
      </c>
      <c r="C6712" s="1" t="s">
        <v>65</v>
      </c>
      <c r="D6712" s="2">
        <v>41400</v>
      </c>
      <c r="E6712" s="1" t="s">
        <v>13421</v>
      </c>
      <c r="F6712" s="1" t="s">
        <v>13</v>
      </c>
    </row>
    <row r="6713" spans="1:6" ht="30" customHeight="1" x14ac:dyDescent="0.25">
      <c r="A6713" s="1" t="s">
        <v>13422</v>
      </c>
      <c r="B6713" s="1" t="str">
        <f>"9780123973467"</f>
        <v>9780123973467</v>
      </c>
      <c r="C6713" s="1" t="s">
        <v>900</v>
      </c>
      <c r="D6713" s="2">
        <v>41400</v>
      </c>
      <c r="E6713" s="1" t="s">
        <v>13423</v>
      </c>
      <c r="F6713" s="1" t="s">
        <v>1372</v>
      </c>
    </row>
    <row r="6714" spans="1:6" ht="30" customHeight="1" x14ac:dyDescent="0.25">
      <c r="A6714" s="1" t="s">
        <v>13424</v>
      </c>
      <c r="B6714" s="1" t="str">
        <f>"9781118682036"</f>
        <v>9781118682036</v>
      </c>
      <c r="C6714" s="1" t="s">
        <v>65</v>
      </c>
      <c r="D6714" s="2">
        <v>40918</v>
      </c>
      <c r="E6714" s="1" t="s">
        <v>13425</v>
      </c>
      <c r="F6714" s="1" t="s">
        <v>126</v>
      </c>
    </row>
    <row r="6715" spans="1:6" ht="30" customHeight="1" x14ac:dyDescent="0.25">
      <c r="A6715" s="1" t="s">
        <v>13426</v>
      </c>
      <c r="B6715" s="1" t="str">
        <f>"9789088901782"</f>
        <v>9789088901782</v>
      </c>
      <c r="C6715" s="1" t="s">
        <v>13427</v>
      </c>
      <c r="D6715" s="2">
        <v>41386</v>
      </c>
      <c r="E6715" s="1" t="s">
        <v>13428</v>
      </c>
      <c r="F6715" s="1" t="s">
        <v>13</v>
      </c>
    </row>
    <row r="6716" spans="1:6" ht="30" customHeight="1" x14ac:dyDescent="0.25">
      <c r="A6716" s="1" t="s">
        <v>13429</v>
      </c>
      <c r="B6716" s="1" t="str">
        <f>"9781608820818"</f>
        <v>9781608820818</v>
      </c>
      <c r="C6716" s="1" t="s">
        <v>10294</v>
      </c>
      <c r="D6716" s="2">
        <v>41426</v>
      </c>
      <c r="E6716" s="1" t="s">
        <v>13430</v>
      </c>
      <c r="F6716" s="1" t="s">
        <v>13</v>
      </c>
    </row>
    <row r="6717" spans="1:6" ht="30" customHeight="1" x14ac:dyDescent="0.25">
      <c r="A6717" s="1" t="s">
        <v>13431</v>
      </c>
      <c r="B6717" s="1" t="str">
        <f>"9780123977700"</f>
        <v>9780123977700</v>
      </c>
      <c r="C6717" s="1" t="s">
        <v>12510</v>
      </c>
      <c r="D6717" s="2">
        <v>41401</v>
      </c>
      <c r="E6717" s="1" t="s">
        <v>13432</v>
      </c>
      <c r="F6717" s="1" t="s">
        <v>268</v>
      </c>
    </row>
    <row r="6718" spans="1:6" ht="30" customHeight="1" x14ac:dyDescent="0.25">
      <c r="A6718" s="1" t="s">
        <v>13433</v>
      </c>
      <c r="B6718" s="1" t="str">
        <f>"9781118340974"</f>
        <v>9781118340974</v>
      </c>
      <c r="C6718" s="1" t="s">
        <v>65</v>
      </c>
      <c r="D6718" s="2">
        <v>41402</v>
      </c>
      <c r="E6718" s="1" t="s">
        <v>13434</v>
      </c>
      <c r="F6718" s="1" t="s">
        <v>13</v>
      </c>
    </row>
    <row r="6719" spans="1:6" ht="30" customHeight="1" x14ac:dyDescent="0.25">
      <c r="A6719" s="1" t="s">
        <v>13435</v>
      </c>
      <c r="B6719" s="1" t="str">
        <f>"9781118630211"</f>
        <v>9781118630211</v>
      </c>
      <c r="C6719" s="1" t="s">
        <v>65</v>
      </c>
      <c r="D6719" s="2">
        <v>41404</v>
      </c>
      <c r="E6719" s="1" t="s">
        <v>13436</v>
      </c>
      <c r="F6719" s="1" t="s">
        <v>268</v>
      </c>
    </row>
    <row r="6720" spans="1:6" ht="30" customHeight="1" x14ac:dyDescent="0.25">
      <c r="A6720" s="1" t="s">
        <v>13437</v>
      </c>
      <c r="B6720" s="1" t="str">
        <f>"9780826121271"</f>
        <v>9780826121271</v>
      </c>
      <c r="C6720" s="1" t="s">
        <v>2339</v>
      </c>
      <c r="D6720" s="2">
        <v>41275</v>
      </c>
      <c r="E6720" s="1" t="s">
        <v>13438</v>
      </c>
      <c r="F6720" s="1" t="s">
        <v>95</v>
      </c>
    </row>
    <row r="6721" spans="1:6" ht="30" customHeight="1" x14ac:dyDescent="0.25">
      <c r="A6721" s="1" t="s">
        <v>13439</v>
      </c>
      <c r="B6721" s="1" t="str">
        <f>"9780826110541"</f>
        <v>9780826110541</v>
      </c>
      <c r="C6721" s="1" t="s">
        <v>2339</v>
      </c>
      <c r="D6721" s="2">
        <v>41360</v>
      </c>
      <c r="E6721" s="1" t="s">
        <v>13440</v>
      </c>
      <c r="F6721" s="1" t="s">
        <v>126</v>
      </c>
    </row>
    <row r="6722" spans="1:6" ht="30" customHeight="1" x14ac:dyDescent="0.25">
      <c r="A6722" s="1" t="s">
        <v>13441</v>
      </c>
      <c r="B6722" s="1" t="str">
        <f>"9781118303269"</f>
        <v>9781118303269</v>
      </c>
      <c r="C6722" s="1" t="s">
        <v>65</v>
      </c>
      <c r="D6722" s="2">
        <v>41407</v>
      </c>
      <c r="E6722" s="1" t="s">
        <v>13442</v>
      </c>
      <c r="F6722" s="1" t="s">
        <v>126</v>
      </c>
    </row>
    <row r="6723" spans="1:6" ht="30" customHeight="1" x14ac:dyDescent="0.25">
      <c r="A6723" s="1" t="s">
        <v>13443</v>
      </c>
      <c r="B6723" s="1" t="str">
        <f>"9780520955066"</f>
        <v>9780520955066</v>
      </c>
      <c r="C6723" s="1" t="s">
        <v>818</v>
      </c>
      <c r="D6723" s="2">
        <v>41408</v>
      </c>
      <c r="E6723" s="1" t="s">
        <v>13444</v>
      </c>
      <c r="F6723" s="1" t="s">
        <v>95</v>
      </c>
    </row>
    <row r="6724" spans="1:6" ht="30" customHeight="1" x14ac:dyDescent="0.25">
      <c r="A6724" s="1" t="s">
        <v>13445</v>
      </c>
      <c r="B6724" s="1" t="str">
        <f>"9789240690646"</f>
        <v>9789240690646</v>
      </c>
      <c r="C6724" s="1" t="s">
        <v>1981</v>
      </c>
      <c r="D6724" s="2">
        <v>41376</v>
      </c>
      <c r="E6724" s="1" t="s">
        <v>1981</v>
      </c>
      <c r="F6724" s="1" t="s">
        <v>95</v>
      </c>
    </row>
    <row r="6725" spans="1:6" ht="30" customHeight="1" x14ac:dyDescent="0.25">
      <c r="A6725" s="1" t="s">
        <v>13446</v>
      </c>
      <c r="B6725" s="1" t="str">
        <f>"9781617050725"</f>
        <v>9781617050725</v>
      </c>
      <c r="C6725" s="1" t="s">
        <v>2342</v>
      </c>
      <c r="D6725" s="2">
        <v>41422</v>
      </c>
      <c r="E6725" s="1" t="s">
        <v>13447</v>
      </c>
      <c r="F6725" s="1" t="s">
        <v>13</v>
      </c>
    </row>
    <row r="6726" spans="1:6" ht="30" customHeight="1" x14ac:dyDescent="0.25">
      <c r="A6726" s="1" t="s">
        <v>13448</v>
      </c>
      <c r="B6726" s="1" t="str">
        <f>"9780826109095"</f>
        <v>9780826109095</v>
      </c>
      <c r="C6726" s="1" t="s">
        <v>2339</v>
      </c>
      <c r="D6726" s="2">
        <v>41422</v>
      </c>
      <c r="E6726" s="1" t="s">
        <v>13449</v>
      </c>
      <c r="F6726" s="1" t="s">
        <v>30</v>
      </c>
    </row>
    <row r="6727" spans="1:6" ht="30" customHeight="1" x14ac:dyDescent="0.25">
      <c r="A6727" s="1" t="s">
        <v>13450</v>
      </c>
      <c r="B6727" s="1" t="str">
        <f>"9780821395585"</f>
        <v>9780821395585</v>
      </c>
      <c r="C6727" s="1" t="s">
        <v>6702</v>
      </c>
      <c r="D6727" s="2">
        <v>40909</v>
      </c>
      <c r="E6727" s="1" t="s">
        <v>13451</v>
      </c>
      <c r="F6727" s="1" t="s">
        <v>95</v>
      </c>
    </row>
    <row r="6728" spans="1:6" ht="30" customHeight="1" x14ac:dyDescent="0.25">
      <c r="A6728" s="1" t="s">
        <v>13452</v>
      </c>
      <c r="B6728" s="1" t="str">
        <f>"9789966040411"</f>
        <v>9789966040411</v>
      </c>
      <c r="C6728" s="1" t="s">
        <v>13453</v>
      </c>
      <c r="D6728" s="2">
        <v>39445</v>
      </c>
      <c r="E6728" s="1" t="s">
        <v>13454</v>
      </c>
      <c r="F6728" s="1" t="s">
        <v>95</v>
      </c>
    </row>
    <row r="6729" spans="1:6" ht="30" customHeight="1" x14ac:dyDescent="0.25">
      <c r="A6729" s="1" t="s">
        <v>13455</v>
      </c>
      <c r="B6729" s="1" t="str">
        <f>"9789956790173"</f>
        <v>9789956790173</v>
      </c>
      <c r="C6729" s="1" t="s">
        <v>13063</v>
      </c>
      <c r="D6729" s="2">
        <v>41372</v>
      </c>
      <c r="E6729" s="1" t="s">
        <v>13456</v>
      </c>
      <c r="F6729" s="1" t="s">
        <v>294</v>
      </c>
    </row>
    <row r="6730" spans="1:6" ht="30" customHeight="1" x14ac:dyDescent="0.25">
      <c r="A6730" s="1" t="s">
        <v>13457</v>
      </c>
      <c r="B6730" s="1" t="str">
        <f>"9780804786577"</f>
        <v>9780804786577</v>
      </c>
      <c r="C6730" s="1" t="s">
        <v>7827</v>
      </c>
      <c r="D6730" s="2">
        <v>41773</v>
      </c>
      <c r="E6730" s="1" t="s">
        <v>13458</v>
      </c>
      <c r="F6730" s="1" t="s">
        <v>13459</v>
      </c>
    </row>
    <row r="6731" spans="1:6" ht="30" customHeight="1" x14ac:dyDescent="0.25">
      <c r="A6731" s="1" t="s">
        <v>13460</v>
      </c>
      <c r="B6731" s="1" t="str">
        <f>"9789814277495"</f>
        <v>9789814277495</v>
      </c>
      <c r="C6731" s="1" t="s">
        <v>881</v>
      </c>
      <c r="D6731" s="2">
        <v>41773</v>
      </c>
      <c r="E6731" s="1" t="s">
        <v>13461</v>
      </c>
      <c r="F6731" s="1" t="s">
        <v>13462</v>
      </c>
    </row>
    <row r="6732" spans="1:6" ht="30" customHeight="1" x14ac:dyDescent="0.25">
      <c r="A6732" s="1" t="s">
        <v>13463</v>
      </c>
      <c r="B6732" s="1" t="str">
        <f>"9789812813183"</f>
        <v>9789812813183</v>
      </c>
      <c r="C6732" s="1" t="s">
        <v>881</v>
      </c>
      <c r="D6732" s="2">
        <v>41773</v>
      </c>
      <c r="E6732" s="1" t="s">
        <v>13464</v>
      </c>
      <c r="F6732" s="1" t="s">
        <v>13</v>
      </c>
    </row>
    <row r="6733" spans="1:6" ht="30" customHeight="1" x14ac:dyDescent="0.25">
      <c r="A6733" s="1" t="s">
        <v>13465</v>
      </c>
      <c r="B6733" s="1" t="str">
        <f>"9789812812025"</f>
        <v>9789812812025</v>
      </c>
      <c r="C6733" s="1" t="s">
        <v>881</v>
      </c>
      <c r="D6733" s="2">
        <v>41773</v>
      </c>
      <c r="E6733" s="1" t="s">
        <v>13466</v>
      </c>
      <c r="F6733" s="1" t="s">
        <v>13</v>
      </c>
    </row>
    <row r="6734" spans="1:6" ht="30" customHeight="1" x14ac:dyDescent="0.25">
      <c r="A6734" s="1" t="s">
        <v>13467</v>
      </c>
      <c r="B6734" s="1" t="str">
        <f>"9781848165083"</f>
        <v>9781848165083</v>
      </c>
      <c r="C6734" s="1" t="s">
        <v>876</v>
      </c>
      <c r="D6734" s="2">
        <v>41773</v>
      </c>
      <c r="E6734" s="1" t="s">
        <v>13468</v>
      </c>
      <c r="F6734" s="1" t="s">
        <v>751</v>
      </c>
    </row>
    <row r="6735" spans="1:6" ht="30" customHeight="1" x14ac:dyDescent="0.25">
      <c r="A6735" s="1" t="s">
        <v>13469</v>
      </c>
      <c r="B6735" s="1" t="str">
        <f>"9789812790415"</f>
        <v>9789812790415</v>
      </c>
      <c r="C6735" s="1" t="s">
        <v>881</v>
      </c>
      <c r="D6735" s="2">
        <v>41773</v>
      </c>
      <c r="E6735" s="1" t="s">
        <v>13470</v>
      </c>
      <c r="F6735" s="1" t="s">
        <v>176</v>
      </c>
    </row>
    <row r="6736" spans="1:6" ht="30" customHeight="1" x14ac:dyDescent="0.25">
      <c r="A6736" s="1" t="s">
        <v>13471</v>
      </c>
      <c r="B6736" s="1" t="str">
        <f>"9789812832344"</f>
        <v>9789812832344</v>
      </c>
      <c r="C6736" s="1" t="s">
        <v>881</v>
      </c>
      <c r="D6736" s="2">
        <v>41773</v>
      </c>
      <c r="E6736" s="1" t="s">
        <v>13472</v>
      </c>
      <c r="F6736" s="1" t="s">
        <v>13</v>
      </c>
    </row>
    <row r="6737" spans="1:6" ht="30" customHeight="1" x14ac:dyDescent="0.25">
      <c r="A6737" s="1" t="s">
        <v>13473</v>
      </c>
      <c r="B6737" s="1" t="str">
        <f>"9789814425513"</f>
        <v>9789814425513</v>
      </c>
      <c r="C6737" s="1" t="s">
        <v>881</v>
      </c>
      <c r="D6737" s="2">
        <v>41773</v>
      </c>
      <c r="E6737" s="1" t="s">
        <v>13474</v>
      </c>
      <c r="F6737" s="1" t="s">
        <v>13</v>
      </c>
    </row>
    <row r="6738" spans="1:6" ht="30" customHeight="1" x14ac:dyDescent="0.25">
      <c r="A6738" s="1" t="s">
        <v>13475</v>
      </c>
      <c r="B6738" s="1" t="str">
        <f>"9789812834560"</f>
        <v>9789812834560</v>
      </c>
      <c r="C6738" s="1" t="s">
        <v>881</v>
      </c>
      <c r="D6738" s="2">
        <v>39603</v>
      </c>
      <c r="E6738" s="1" t="s">
        <v>13476</v>
      </c>
      <c r="F6738" s="1" t="s">
        <v>13</v>
      </c>
    </row>
    <row r="6739" spans="1:6" ht="30" customHeight="1" x14ac:dyDescent="0.25">
      <c r="A6739" s="1" t="s">
        <v>13477</v>
      </c>
      <c r="B6739" s="1" t="str">
        <f>"9783110329438"</f>
        <v>9783110329438</v>
      </c>
      <c r="C6739" s="1" t="s">
        <v>1848</v>
      </c>
      <c r="D6739" s="2">
        <v>41396</v>
      </c>
      <c r="E6739" s="1" t="s">
        <v>13478</v>
      </c>
      <c r="F6739" s="1" t="s">
        <v>291</v>
      </c>
    </row>
    <row r="6740" spans="1:6" ht="30" customHeight="1" x14ac:dyDescent="0.25">
      <c r="A6740" s="1" t="s">
        <v>13479</v>
      </c>
      <c r="B6740" s="1" t="str">
        <f>"9781134907069"</f>
        <v>9781134907069</v>
      </c>
      <c r="C6740" s="1" t="s">
        <v>68</v>
      </c>
      <c r="D6740" s="2">
        <v>38602</v>
      </c>
      <c r="E6740" s="1" t="s">
        <v>13480</v>
      </c>
      <c r="F6740" s="1" t="s">
        <v>13</v>
      </c>
    </row>
    <row r="6741" spans="1:6" ht="30" customHeight="1" x14ac:dyDescent="0.25">
      <c r="A6741" s="1" t="s">
        <v>13481</v>
      </c>
      <c r="B6741" s="1" t="str">
        <f>"9781134910144"</f>
        <v>9781134910144</v>
      </c>
      <c r="C6741" s="1" t="s">
        <v>68</v>
      </c>
      <c r="D6741" s="2">
        <v>37773</v>
      </c>
      <c r="E6741" s="1" t="s">
        <v>13482</v>
      </c>
      <c r="F6741" s="1" t="s">
        <v>13</v>
      </c>
    </row>
    <row r="6742" spans="1:6" ht="30" customHeight="1" x14ac:dyDescent="0.25">
      <c r="A6742" s="1" t="s">
        <v>13483</v>
      </c>
      <c r="B6742" s="1" t="str">
        <f>"9781134941780"</f>
        <v>9781134941780</v>
      </c>
      <c r="C6742" s="1" t="s">
        <v>68</v>
      </c>
      <c r="D6742" s="2">
        <v>37351</v>
      </c>
      <c r="E6742" s="1" t="s">
        <v>13484</v>
      </c>
      <c r="F6742" s="1" t="s">
        <v>13</v>
      </c>
    </row>
    <row r="6743" spans="1:6" ht="30" customHeight="1" x14ac:dyDescent="0.25">
      <c r="A6743" s="1" t="s">
        <v>13485</v>
      </c>
      <c r="B6743" s="1" t="str">
        <f>"9780810891142"</f>
        <v>9780810891142</v>
      </c>
      <c r="C6743" s="1" t="s">
        <v>12975</v>
      </c>
      <c r="D6743" s="2">
        <v>41403</v>
      </c>
      <c r="E6743" s="1" t="s">
        <v>13486</v>
      </c>
      <c r="F6743" s="1" t="s">
        <v>13487</v>
      </c>
    </row>
    <row r="6744" spans="1:6" ht="30" customHeight="1" x14ac:dyDescent="0.25">
      <c r="A6744" s="1" t="s">
        <v>13488</v>
      </c>
      <c r="B6744" s="1" t="str">
        <f>"9780759123229"</f>
        <v>9780759123229</v>
      </c>
      <c r="C6744" s="1" t="s">
        <v>7466</v>
      </c>
      <c r="D6744" s="2">
        <v>41349</v>
      </c>
      <c r="E6744" s="1" t="s">
        <v>13489</v>
      </c>
      <c r="F6744" s="1" t="s">
        <v>13490</v>
      </c>
    </row>
    <row r="6745" spans="1:6" ht="30" customHeight="1" x14ac:dyDescent="0.25">
      <c r="A6745" s="1" t="s">
        <v>13491</v>
      </c>
      <c r="B6745" s="1" t="str">
        <f>"9781118312131"</f>
        <v>9781118312131</v>
      </c>
      <c r="C6745" s="1" t="s">
        <v>65</v>
      </c>
      <c r="D6745" s="2">
        <v>41414</v>
      </c>
      <c r="E6745" s="1" t="s">
        <v>13492</v>
      </c>
      <c r="F6745" s="1" t="s">
        <v>137</v>
      </c>
    </row>
    <row r="6746" spans="1:6" ht="30" customHeight="1" x14ac:dyDescent="0.25">
      <c r="A6746" s="1" t="s">
        <v>13493</v>
      </c>
      <c r="B6746" s="1" t="str">
        <f>"9781118652459"</f>
        <v>9781118652459</v>
      </c>
      <c r="C6746" s="1" t="s">
        <v>65</v>
      </c>
      <c r="D6746" s="2">
        <v>41414</v>
      </c>
      <c r="E6746" s="1" t="s">
        <v>13494</v>
      </c>
      <c r="F6746" s="1" t="s">
        <v>13</v>
      </c>
    </row>
    <row r="6747" spans="1:6" ht="30" customHeight="1" x14ac:dyDescent="0.25">
      <c r="A6747" s="1" t="s">
        <v>13495</v>
      </c>
      <c r="B6747" s="1" t="str">
        <f>"9781446211052"</f>
        <v>9781446211052</v>
      </c>
      <c r="C6747" s="1" t="s">
        <v>1228</v>
      </c>
      <c r="D6747" s="2">
        <v>38489</v>
      </c>
      <c r="E6747" s="1" t="s">
        <v>13496</v>
      </c>
      <c r="F6747" s="1" t="s">
        <v>13</v>
      </c>
    </row>
    <row r="6748" spans="1:6" ht="30" customHeight="1" x14ac:dyDescent="0.25">
      <c r="A6748" s="1" t="s">
        <v>13497</v>
      </c>
      <c r="B6748" s="1" t="str">
        <f>"9781452939278"</f>
        <v>9781452939278</v>
      </c>
      <c r="C6748" s="1" t="s">
        <v>3458</v>
      </c>
      <c r="D6748" s="2">
        <v>41371</v>
      </c>
      <c r="E6748" s="1" t="s">
        <v>13498</v>
      </c>
      <c r="F6748" s="1" t="s">
        <v>11936</v>
      </c>
    </row>
    <row r="6749" spans="1:6" ht="30" customHeight="1" x14ac:dyDescent="0.25">
      <c r="A6749" s="1" t="s">
        <v>13499</v>
      </c>
      <c r="B6749" s="1" t="str">
        <f>"9781118313909"</f>
        <v>9781118313909</v>
      </c>
      <c r="C6749" s="1" t="s">
        <v>65</v>
      </c>
      <c r="D6749" s="2">
        <v>41417</v>
      </c>
      <c r="E6749" s="1" t="s">
        <v>13500</v>
      </c>
      <c r="F6749" s="1" t="s">
        <v>13</v>
      </c>
    </row>
    <row r="6750" spans="1:6" ht="30" customHeight="1" x14ac:dyDescent="0.25">
      <c r="A6750" s="1" t="s">
        <v>13501</v>
      </c>
      <c r="B6750" s="1" t="str">
        <f>"9781118489697"</f>
        <v>9781118489697</v>
      </c>
      <c r="C6750" s="1" t="s">
        <v>65</v>
      </c>
      <c r="D6750" s="2">
        <v>41416</v>
      </c>
      <c r="E6750" s="1" t="s">
        <v>13502</v>
      </c>
      <c r="F6750" s="1" t="s">
        <v>126</v>
      </c>
    </row>
    <row r="6751" spans="1:6" ht="30" customHeight="1" x14ac:dyDescent="0.25">
      <c r="A6751" s="1" t="s">
        <v>13503</v>
      </c>
      <c r="B6751" s="1" t="str">
        <f>"9781118646489"</f>
        <v>9781118646489</v>
      </c>
      <c r="C6751" s="1" t="s">
        <v>65</v>
      </c>
      <c r="D6751" s="2">
        <v>41417</v>
      </c>
      <c r="E6751" s="1" t="s">
        <v>13504</v>
      </c>
      <c r="F6751" s="1" t="s">
        <v>13</v>
      </c>
    </row>
    <row r="6752" spans="1:6" ht="30" customHeight="1" x14ac:dyDescent="0.25">
      <c r="A6752" s="1" t="s">
        <v>13505</v>
      </c>
      <c r="B6752" s="1" t="str">
        <f>"9781444307740"</f>
        <v>9781444307740</v>
      </c>
      <c r="C6752" s="1" t="s">
        <v>65</v>
      </c>
      <c r="D6752" s="2">
        <v>41417</v>
      </c>
      <c r="E6752" s="1" t="s">
        <v>13506</v>
      </c>
      <c r="F6752" s="1" t="s">
        <v>126</v>
      </c>
    </row>
    <row r="6753" spans="1:6" ht="30" customHeight="1" x14ac:dyDescent="0.25">
      <c r="A6753" s="1" t="s">
        <v>13507</v>
      </c>
      <c r="B6753" s="1" t="str">
        <f>"9781617050893"</f>
        <v>9781617050893</v>
      </c>
      <c r="C6753" s="1" t="s">
        <v>2342</v>
      </c>
      <c r="D6753" s="2">
        <v>41416</v>
      </c>
      <c r="E6753" s="1" t="s">
        <v>13508</v>
      </c>
      <c r="F6753" s="1" t="s">
        <v>13</v>
      </c>
    </row>
    <row r="6754" spans="1:6" ht="30" customHeight="1" x14ac:dyDescent="0.25">
      <c r="A6754" s="1" t="s">
        <v>13509</v>
      </c>
      <c r="B6754" s="1" t="str">
        <f>"9780739173671"</f>
        <v>9780739173671</v>
      </c>
      <c r="C6754" s="1" t="s">
        <v>9841</v>
      </c>
      <c r="D6754" s="2">
        <v>41431</v>
      </c>
      <c r="E6754" s="1" t="s">
        <v>13510</v>
      </c>
      <c r="F6754" s="1" t="s">
        <v>13</v>
      </c>
    </row>
    <row r="6755" spans="1:6" ht="30" customHeight="1" x14ac:dyDescent="0.25">
      <c r="A6755" s="1" t="s">
        <v>13511</v>
      </c>
      <c r="B6755" s="1" t="str">
        <f>"9781442221284"</f>
        <v>9781442221284</v>
      </c>
      <c r="C6755" s="1" t="s">
        <v>8723</v>
      </c>
      <c r="D6755" s="2">
        <v>41473</v>
      </c>
      <c r="E6755" s="1" t="s">
        <v>13512</v>
      </c>
      <c r="F6755" s="1" t="s">
        <v>1693</v>
      </c>
    </row>
    <row r="6756" spans="1:6" ht="30" customHeight="1" x14ac:dyDescent="0.25">
      <c r="A6756" s="1" t="s">
        <v>13513</v>
      </c>
      <c r="B6756" s="1" t="str">
        <f>"9781118642290"</f>
        <v>9781118642290</v>
      </c>
      <c r="C6756" s="1" t="s">
        <v>65</v>
      </c>
      <c r="D6756" s="2">
        <v>41423</v>
      </c>
      <c r="E6756" s="1" t="s">
        <v>13514</v>
      </c>
      <c r="F6756" s="1" t="s">
        <v>13</v>
      </c>
    </row>
    <row r="6757" spans="1:6" ht="30" customHeight="1" x14ac:dyDescent="0.25">
      <c r="A6757" s="1" t="s">
        <v>13515</v>
      </c>
      <c r="B6757" s="1" t="str">
        <f>"9781118346372"</f>
        <v>9781118346372</v>
      </c>
      <c r="C6757" s="1" t="s">
        <v>65</v>
      </c>
      <c r="D6757" s="2">
        <v>41422</v>
      </c>
      <c r="E6757" s="1" t="s">
        <v>13516</v>
      </c>
      <c r="F6757" s="1" t="s">
        <v>13</v>
      </c>
    </row>
    <row r="6758" spans="1:6" ht="30" customHeight="1" x14ac:dyDescent="0.25">
      <c r="A6758" s="1" t="s">
        <v>13517</v>
      </c>
      <c r="B6758" s="1" t="str">
        <f>"9781118413586"</f>
        <v>9781118413586</v>
      </c>
      <c r="C6758" s="1" t="s">
        <v>11</v>
      </c>
      <c r="D6758" s="2">
        <v>41422</v>
      </c>
      <c r="E6758" s="1" t="s">
        <v>13518</v>
      </c>
      <c r="F6758" s="1" t="s">
        <v>13</v>
      </c>
    </row>
    <row r="6759" spans="1:6" ht="30" customHeight="1" x14ac:dyDescent="0.25">
      <c r="A6759" s="1" t="s">
        <v>13519</v>
      </c>
      <c r="B6759" s="1" t="str">
        <f>"9781118526903"</f>
        <v>9781118526903</v>
      </c>
      <c r="C6759" s="1" t="s">
        <v>65</v>
      </c>
      <c r="D6759" s="2">
        <v>41422</v>
      </c>
      <c r="E6759" s="1" t="s">
        <v>13520</v>
      </c>
      <c r="F6759" s="1" t="s">
        <v>13</v>
      </c>
    </row>
    <row r="6760" spans="1:6" ht="30" customHeight="1" x14ac:dyDescent="0.25">
      <c r="A6760" s="1" t="s">
        <v>13521</v>
      </c>
      <c r="B6760" s="1" t="str">
        <f>"9781608054596"</f>
        <v>9781608054596</v>
      </c>
      <c r="C6760" s="1" t="s">
        <v>11332</v>
      </c>
      <c r="D6760" s="2">
        <v>41394</v>
      </c>
      <c r="E6760" s="1" t="s">
        <v>13522</v>
      </c>
      <c r="F6760" s="1" t="s">
        <v>13</v>
      </c>
    </row>
    <row r="6761" spans="1:6" ht="30" customHeight="1" x14ac:dyDescent="0.25">
      <c r="A6761" s="1" t="s">
        <v>13523</v>
      </c>
      <c r="B6761" s="1" t="str">
        <f>"9783110319712"</f>
        <v>9783110319712</v>
      </c>
      <c r="C6761" s="1" t="s">
        <v>13524</v>
      </c>
      <c r="D6761" s="2">
        <v>40544</v>
      </c>
      <c r="E6761" s="1" t="s">
        <v>13525</v>
      </c>
      <c r="F6761" s="1" t="s">
        <v>367</v>
      </c>
    </row>
    <row r="6762" spans="1:6" ht="30" customHeight="1" x14ac:dyDescent="0.25">
      <c r="A6762" s="1" t="s">
        <v>13526</v>
      </c>
      <c r="B6762" s="1" t="str">
        <f>"9783110311389"</f>
        <v>9783110311389</v>
      </c>
      <c r="C6762" s="1" t="s">
        <v>1848</v>
      </c>
      <c r="D6762" s="2">
        <v>41561</v>
      </c>
      <c r="E6762" s="1" t="s">
        <v>13527</v>
      </c>
      <c r="F6762" s="1" t="s">
        <v>13</v>
      </c>
    </row>
    <row r="6763" spans="1:6" ht="30" customHeight="1" x14ac:dyDescent="0.25">
      <c r="A6763" s="1" t="s">
        <v>13528</v>
      </c>
      <c r="B6763" s="1" t="str">
        <f>"9781118634561"</f>
        <v>9781118634561</v>
      </c>
      <c r="C6763" s="1" t="s">
        <v>11</v>
      </c>
      <c r="D6763" s="2">
        <v>41424</v>
      </c>
      <c r="E6763" s="1" t="s">
        <v>13529</v>
      </c>
      <c r="F6763" s="1" t="s">
        <v>13</v>
      </c>
    </row>
    <row r="6764" spans="1:6" ht="30" customHeight="1" x14ac:dyDescent="0.25">
      <c r="A6764" s="1" t="s">
        <v>13530</v>
      </c>
      <c r="B6764" s="1" t="str">
        <f>"9781118635483"</f>
        <v>9781118635483</v>
      </c>
      <c r="C6764" s="1" t="s">
        <v>65</v>
      </c>
      <c r="D6764" s="2">
        <v>41423</v>
      </c>
      <c r="E6764" s="1" t="s">
        <v>13531</v>
      </c>
      <c r="F6764" s="1" t="s">
        <v>13</v>
      </c>
    </row>
    <row r="6765" spans="1:6" ht="30" customHeight="1" x14ac:dyDescent="0.25">
      <c r="A6765" s="1" t="s">
        <v>13532</v>
      </c>
      <c r="B6765" s="1" t="str">
        <f>"9781118713334"</f>
        <v>9781118713334</v>
      </c>
      <c r="C6765" s="1" t="s">
        <v>65</v>
      </c>
      <c r="D6765" s="2">
        <v>41424</v>
      </c>
      <c r="E6765" s="1" t="s">
        <v>13533</v>
      </c>
      <c r="F6765" s="1" t="s">
        <v>13</v>
      </c>
    </row>
    <row r="6766" spans="1:6" ht="30" customHeight="1" x14ac:dyDescent="0.25">
      <c r="A6766" s="1" t="s">
        <v>13534</v>
      </c>
      <c r="B6766" s="1" t="str">
        <f>"9789812707338"</f>
        <v>9789812707338</v>
      </c>
      <c r="C6766" s="1" t="s">
        <v>881</v>
      </c>
      <c r="D6766" s="2">
        <v>41773</v>
      </c>
      <c r="E6766" s="1" t="s">
        <v>13535</v>
      </c>
      <c r="F6766" s="1" t="s">
        <v>13536</v>
      </c>
    </row>
    <row r="6767" spans="1:6" ht="30" customHeight="1" x14ac:dyDescent="0.25">
      <c r="A6767" s="1" t="s">
        <v>13537</v>
      </c>
      <c r="B6767" s="1" t="str">
        <f>"9780739130384"</f>
        <v>9780739130384</v>
      </c>
      <c r="C6767" s="1" t="s">
        <v>9841</v>
      </c>
      <c r="D6767" s="2">
        <v>40539</v>
      </c>
      <c r="E6767" s="1" t="s">
        <v>13538</v>
      </c>
      <c r="F6767" s="1" t="s">
        <v>30</v>
      </c>
    </row>
    <row r="6768" spans="1:6" ht="30" customHeight="1" x14ac:dyDescent="0.25">
      <c r="A6768" s="1" t="s">
        <v>13539</v>
      </c>
      <c r="B6768" s="1" t="str">
        <f>"9781908541451"</f>
        <v>9781908541451</v>
      </c>
      <c r="C6768" s="1" t="s">
        <v>10006</v>
      </c>
      <c r="D6768" s="2">
        <v>41426</v>
      </c>
      <c r="E6768" s="1" t="s">
        <v>13540</v>
      </c>
      <c r="F6768" s="1" t="s">
        <v>13</v>
      </c>
    </row>
    <row r="6769" spans="1:6" ht="30" customHeight="1" x14ac:dyDescent="0.25">
      <c r="A6769" s="1" t="s">
        <v>13541</v>
      </c>
      <c r="B6769" s="1" t="str">
        <f>"9781782411420"</f>
        <v>9781782411420</v>
      </c>
      <c r="C6769" s="1" t="s">
        <v>68</v>
      </c>
      <c r="D6769" s="2">
        <v>41426</v>
      </c>
      <c r="E6769" s="1" t="s">
        <v>9017</v>
      </c>
      <c r="F6769" s="1" t="s">
        <v>13</v>
      </c>
    </row>
    <row r="6770" spans="1:6" ht="30" customHeight="1" x14ac:dyDescent="0.25">
      <c r="A6770" s="1" t="s">
        <v>13542</v>
      </c>
      <c r="B6770" s="1" t="str">
        <f>"9781118453902"</f>
        <v>9781118453902</v>
      </c>
      <c r="C6770" s="1" t="s">
        <v>11</v>
      </c>
      <c r="D6770" s="2">
        <v>41431</v>
      </c>
      <c r="E6770" s="1" t="s">
        <v>13543</v>
      </c>
      <c r="F6770" s="1" t="s">
        <v>13</v>
      </c>
    </row>
    <row r="6771" spans="1:6" ht="30" customHeight="1" x14ac:dyDescent="0.25">
      <c r="A6771" s="1" t="s">
        <v>13544</v>
      </c>
      <c r="B6771" s="1" t="str">
        <f>"9781118635568"</f>
        <v>9781118635568</v>
      </c>
      <c r="C6771" s="1" t="s">
        <v>65</v>
      </c>
      <c r="D6771" s="2">
        <v>41431</v>
      </c>
      <c r="E6771" s="1" t="s">
        <v>13545</v>
      </c>
      <c r="F6771" s="1" t="s">
        <v>95</v>
      </c>
    </row>
    <row r="6772" spans="1:6" ht="30" customHeight="1" x14ac:dyDescent="0.25">
      <c r="A6772" s="1" t="s">
        <v>13546</v>
      </c>
      <c r="B6772" s="1" t="str">
        <f>"9789004251250"</f>
        <v>9789004251250</v>
      </c>
      <c r="C6772" s="1" t="s">
        <v>906</v>
      </c>
      <c r="D6772" s="2">
        <v>41773</v>
      </c>
      <c r="E6772" s="1" t="s">
        <v>13547</v>
      </c>
      <c r="F6772" s="1" t="s">
        <v>13</v>
      </c>
    </row>
    <row r="6773" spans="1:6" ht="30" customHeight="1" x14ac:dyDescent="0.25">
      <c r="A6773" s="1" t="s">
        <v>13548</v>
      </c>
      <c r="B6773" s="1" t="str">
        <f>"9789812773098"</f>
        <v>9789812773098</v>
      </c>
      <c r="C6773" s="1" t="s">
        <v>881</v>
      </c>
      <c r="D6773" s="2">
        <v>41773</v>
      </c>
      <c r="E6773" s="1" t="s">
        <v>13549</v>
      </c>
      <c r="F6773" s="1" t="s">
        <v>13</v>
      </c>
    </row>
    <row r="6774" spans="1:6" ht="30" customHeight="1" x14ac:dyDescent="0.25">
      <c r="A6774" s="1" t="s">
        <v>13550</v>
      </c>
      <c r="B6774" s="1" t="str">
        <f>"9789812707321"</f>
        <v>9789812707321</v>
      </c>
      <c r="C6774" s="1" t="s">
        <v>881</v>
      </c>
      <c r="D6774" s="2">
        <v>41773</v>
      </c>
      <c r="E6774" s="1" t="s">
        <v>13551</v>
      </c>
      <c r="F6774" s="1" t="s">
        <v>13</v>
      </c>
    </row>
    <row r="6775" spans="1:6" ht="30" customHeight="1" x14ac:dyDescent="0.25">
      <c r="A6775" s="1" t="s">
        <v>13552</v>
      </c>
      <c r="B6775" s="1" t="str">
        <f>"9789812700858"</f>
        <v>9789812700858</v>
      </c>
      <c r="C6775" s="1" t="s">
        <v>13553</v>
      </c>
      <c r="D6775" s="2">
        <v>41773</v>
      </c>
      <c r="E6775" s="1" t="s">
        <v>13554</v>
      </c>
      <c r="F6775" s="1" t="s">
        <v>13</v>
      </c>
    </row>
    <row r="6776" spans="1:6" ht="30" customHeight="1" x14ac:dyDescent="0.25">
      <c r="A6776" s="1" t="s">
        <v>13555</v>
      </c>
      <c r="B6776" s="1" t="str">
        <f>"9781860948831"</f>
        <v>9781860948831</v>
      </c>
      <c r="C6776" s="1" t="s">
        <v>876</v>
      </c>
      <c r="D6776" s="2">
        <v>39069</v>
      </c>
      <c r="E6776" s="1" t="s">
        <v>13556</v>
      </c>
      <c r="F6776" s="1" t="s">
        <v>13</v>
      </c>
    </row>
    <row r="6777" spans="1:6" ht="30" customHeight="1" x14ac:dyDescent="0.25">
      <c r="A6777" s="1" t="s">
        <v>13557</v>
      </c>
      <c r="B6777" s="1" t="str">
        <f>"9780123982520"</f>
        <v>9780123982520</v>
      </c>
      <c r="C6777" s="1" t="s">
        <v>900</v>
      </c>
      <c r="D6777" s="2">
        <v>41438</v>
      </c>
      <c r="E6777" s="1" t="s">
        <v>13558</v>
      </c>
      <c r="F6777" s="1" t="s">
        <v>13</v>
      </c>
    </row>
    <row r="6778" spans="1:6" ht="30" customHeight="1" x14ac:dyDescent="0.25">
      <c r="A6778" s="1" t="s">
        <v>13559</v>
      </c>
      <c r="B6778" s="1" t="str">
        <f>"9783110321364"</f>
        <v>9783110321364</v>
      </c>
      <c r="C6778" s="1" t="s">
        <v>13524</v>
      </c>
      <c r="D6778" s="2">
        <v>39522</v>
      </c>
      <c r="E6778" s="1" t="s">
        <v>13560</v>
      </c>
      <c r="F6778" s="1" t="s">
        <v>21</v>
      </c>
    </row>
    <row r="6779" spans="1:6" ht="30" customHeight="1" x14ac:dyDescent="0.25">
      <c r="A6779" s="1" t="s">
        <v>13561</v>
      </c>
      <c r="B6779" s="1" t="str">
        <f>"9781118646908"</f>
        <v>9781118646908</v>
      </c>
      <c r="C6779" s="1" t="s">
        <v>65</v>
      </c>
      <c r="D6779" s="2">
        <v>41437</v>
      </c>
      <c r="E6779" s="1" t="s">
        <v>13562</v>
      </c>
      <c r="F6779" s="1" t="s">
        <v>13</v>
      </c>
    </row>
    <row r="6780" spans="1:6" ht="30" customHeight="1" x14ac:dyDescent="0.25">
      <c r="A6780" s="1" t="s">
        <v>13563</v>
      </c>
      <c r="B6780" s="1" t="str">
        <f>"9781118418659"</f>
        <v>9781118418659</v>
      </c>
      <c r="C6780" s="1" t="s">
        <v>65</v>
      </c>
      <c r="D6780" s="2">
        <v>41437</v>
      </c>
      <c r="E6780" s="1" t="s">
        <v>13564</v>
      </c>
      <c r="F6780" s="1" t="s">
        <v>13565</v>
      </c>
    </row>
    <row r="6781" spans="1:6" ht="30" customHeight="1" x14ac:dyDescent="0.25">
      <c r="A6781" s="1" t="s">
        <v>13566</v>
      </c>
      <c r="B6781" s="1" t="str">
        <f>"9781782411734"</f>
        <v>9781782411734</v>
      </c>
      <c r="C6781" s="1" t="s">
        <v>8994</v>
      </c>
      <c r="D6781" s="2">
        <v>41455</v>
      </c>
      <c r="E6781" s="1" t="s">
        <v>13567</v>
      </c>
      <c r="F6781" s="1" t="s">
        <v>13</v>
      </c>
    </row>
    <row r="6782" spans="1:6" ht="30" customHeight="1" x14ac:dyDescent="0.25">
      <c r="A6782" s="1" t="s">
        <v>13568</v>
      </c>
      <c r="B6782" s="1" t="str">
        <f>"9781118597682"</f>
        <v>9781118597682</v>
      </c>
      <c r="C6782" s="1" t="s">
        <v>65</v>
      </c>
      <c r="D6782" s="2">
        <v>41435</v>
      </c>
      <c r="E6782" s="1" t="s">
        <v>13569</v>
      </c>
      <c r="F6782" s="1" t="s">
        <v>7666</v>
      </c>
    </row>
    <row r="6783" spans="1:6" ht="30" customHeight="1" x14ac:dyDescent="0.25">
      <c r="A6783" s="1" t="s">
        <v>13570</v>
      </c>
      <c r="B6783" s="1" t="str">
        <f>"9781118338018"</f>
        <v>9781118338018</v>
      </c>
      <c r="C6783" s="1" t="s">
        <v>65</v>
      </c>
      <c r="D6783" s="2">
        <v>41435</v>
      </c>
      <c r="E6783" s="1" t="s">
        <v>13571</v>
      </c>
      <c r="F6783" s="1" t="s">
        <v>95</v>
      </c>
    </row>
    <row r="6784" spans="1:6" ht="30" customHeight="1" x14ac:dyDescent="0.25">
      <c r="A6784" s="1" t="s">
        <v>13572</v>
      </c>
      <c r="B6784" s="1" t="str">
        <f>"9781118393260"</f>
        <v>9781118393260</v>
      </c>
      <c r="C6784" s="1" t="s">
        <v>11</v>
      </c>
      <c r="D6784" s="2">
        <v>41436</v>
      </c>
      <c r="E6784" s="1" t="s">
        <v>13573</v>
      </c>
      <c r="F6784" s="1" t="s">
        <v>158</v>
      </c>
    </row>
    <row r="6785" spans="1:6" ht="30" customHeight="1" x14ac:dyDescent="0.25">
      <c r="A6785" s="1" t="s">
        <v>13574</v>
      </c>
      <c r="B6785" s="1" t="str">
        <f>"9781118316184"</f>
        <v>9781118316184</v>
      </c>
      <c r="C6785" s="1" t="s">
        <v>11</v>
      </c>
      <c r="D6785" s="2">
        <v>41437</v>
      </c>
      <c r="E6785" s="1" t="s">
        <v>66</v>
      </c>
      <c r="F6785" s="1" t="s">
        <v>13</v>
      </c>
    </row>
    <row r="6786" spans="1:6" ht="30" customHeight="1" x14ac:dyDescent="0.25">
      <c r="A6786" s="1" t="s">
        <v>13575</v>
      </c>
      <c r="B6786" s="1" t="str">
        <f>"9781607505693"</f>
        <v>9781607505693</v>
      </c>
      <c r="C6786" s="1" t="s">
        <v>1390</v>
      </c>
      <c r="D6786" s="2">
        <v>40338</v>
      </c>
      <c r="E6786" s="1" t="s">
        <v>13576</v>
      </c>
      <c r="F6786" s="1" t="s">
        <v>13</v>
      </c>
    </row>
    <row r="6787" spans="1:6" ht="30" customHeight="1" x14ac:dyDescent="0.25">
      <c r="A6787" s="1" t="s">
        <v>13577</v>
      </c>
      <c r="B6787" s="1" t="str">
        <f>"9781607505730"</f>
        <v>9781607505730</v>
      </c>
      <c r="C6787" s="1" t="s">
        <v>1390</v>
      </c>
      <c r="D6787" s="2">
        <v>40346</v>
      </c>
      <c r="E6787" s="1" t="s">
        <v>13578</v>
      </c>
      <c r="F6787" s="1" t="s">
        <v>13</v>
      </c>
    </row>
    <row r="6788" spans="1:6" ht="30" customHeight="1" x14ac:dyDescent="0.25">
      <c r="A6788" s="1" t="s">
        <v>13579</v>
      </c>
      <c r="B6788" s="1" t="str">
        <f>"9781607505839"</f>
        <v>9781607505839</v>
      </c>
      <c r="C6788" s="1" t="s">
        <v>1390</v>
      </c>
      <c r="D6788" s="2">
        <v>40346</v>
      </c>
      <c r="E6788" s="1" t="s">
        <v>13580</v>
      </c>
      <c r="F6788" s="1" t="s">
        <v>158</v>
      </c>
    </row>
    <row r="6789" spans="1:6" ht="30" customHeight="1" x14ac:dyDescent="0.25">
      <c r="A6789" s="1" t="s">
        <v>13581</v>
      </c>
      <c r="B6789" s="1" t="str">
        <f>"9789240689848"</f>
        <v>9789240689848</v>
      </c>
      <c r="C6789" s="1" t="s">
        <v>1981</v>
      </c>
      <c r="D6789" s="2">
        <v>40944</v>
      </c>
      <c r="E6789" s="1" t="s">
        <v>1981</v>
      </c>
      <c r="F6789" s="1" t="s">
        <v>214</v>
      </c>
    </row>
    <row r="6790" spans="1:6" ht="30" customHeight="1" x14ac:dyDescent="0.25">
      <c r="A6790" s="1" t="s">
        <v>13582</v>
      </c>
      <c r="B6790" s="1" t="str">
        <f>"9789240688407"</f>
        <v>9789240688407</v>
      </c>
      <c r="C6790" s="1" t="s">
        <v>1981</v>
      </c>
      <c r="D6790" s="2">
        <v>41032</v>
      </c>
      <c r="E6790" s="1" t="s">
        <v>1981</v>
      </c>
      <c r="F6790" s="1" t="s">
        <v>176</v>
      </c>
    </row>
    <row r="6791" spans="1:6" ht="30" customHeight="1" x14ac:dyDescent="0.25">
      <c r="A6791" s="1" t="s">
        <v>13583</v>
      </c>
      <c r="B6791" s="1" t="str">
        <f>"9781617051678"</f>
        <v>9781617051678</v>
      </c>
      <c r="C6791" s="1" t="s">
        <v>2342</v>
      </c>
      <c r="D6791" s="2">
        <v>41411</v>
      </c>
      <c r="E6791" s="1" t="s">
        <v>13584</v>
      </c>
      <c r="F6791" s="1" t="s">
        <v>13</v>
      </c>
    </row>
    <row r="6792" spans="1:6" ht="30" customHeight="1" x14ac:dyDescent="0.25">
      <c r="A6792" s="1" t="s">
        <v>13585</v>
      </c>
      <c r="B6792" s="1" t="str">
        <f>"9780826199898"</f>
        <v>9780826199898</v>
      </c>
      <c r="C6792" s="1" t="s">
        <v>2339</v>
      </c>
      <c r="D6792" s="2">
        <v>41453</v>
      </c>
      <c r="E6792" s="1" t="s">
        <v>13586</v>
      </c>
      <c r="F6792" s="1" t="s">
        <v>973</v>
      </c>
    </row>
    <row r="6793" spans="1:6" ht="30" customHeight="1" x14ac:dyDescent="0.25">
      <c r="A6793" s="1" t="s">
        <v>13587</v>
      </c>
      <c r="B6793" s="1" t="str">
        <f>"9781589019904"</f>
        <v>9781589019904</v>
      </c>
      <c r="C6793" s="1" t="s">
        <v>6517</v>
      </c>
      <c r="D6793" s="2">
        <v>41425</v>
      </c>
      <c r="E6793" s="1" t="s">
        <v>13588</v>
      </c>
      <c r="F6793" s="1" t="s">
        <v>30</v>
      </c>
    </row>
    <row r="6794" spans="1:6" ht="30" customHeight="1" x14ac:dyDescent="0.25">
      <c r="A6794" s="1" t="s">
        <v>13589</v>
      </c>
      <c r="B6794" s="1" t="str">
        <f>"9789966040541"</f>
        <v>9789966040541</v>
      </c>
      <c r="C6794" s="1" t="s">
        <v>13453</v>
      </c>
      <c r="D6794" s="2">
        <v>41409</v>
      </c>
      <c r="E6794" s="1" t="s">
        <v>13590</v>
      </c>
      <c r="F6794" s="1" t="s">
        <v>95</v>
      </c>
    </row>
    <row r="6795" spans="1:6" ht="30" customHeight="1" x14ac:dyDescent="0.25">
      <c r="A6795" s="1" t="s">
        <v>13591</v>
      </c>
      <c r="B6795" s="1" t="str">
        <f>"9781118685617"</f>
        <v>9781118685617</v>
      </c>
      <c r="C6795" s="1" t="s">
        <v>65</v>
      </c>
      <c r="D6795" s="2">
        <v>41442</v>
      </c>
      <c r="E6795" s="1" t="s">
        <v>13592</v>
      </c>
      <c r="F6795" s="1" t="s">
        <v>158</v>
      </c>
    </row>
    <row r="6796" spans="1:6" ht="30" customHeight="1" x14ac:dyDescent="0.25">
      <c r="A6796" s="1" t="s">
        <v>13593</v>
      </c>
      <c r="B6796" s="1" t="str">
        <f>"9781118733950"</f>
        <v>9781118733950</v>
      </c>
      <c r="C6796" s="1" t="s">
        <v>65</v>
      </c>
      <c r="D6796" s="2">
        <v>41443</v>
      </c>
      <c r="E6796" s="1" t="s">
        <v>13594</v>
      </c>
      <c r="F6796" s="1" t="s">
        <v>30</v>
      </c>
    </row>
    <row r="6797" spans="1:6" ht="30" customHeight="1" x14ac:dyDescent="0.25">
      <c r="A6797" s="1" t="s">
        <v>13595</v>
      </c>
      <c r="B6797" s="1" t="str">
        <f>"9781118393918"</f>
        <v>9781118393918</v>
      </c>
      <c r="C6797" s="1" t="s">
        <v>65</v>
      </c>
      <c r="D6797" s="2">
        <v>41442</v>
      </c>
      <c r="E6797" s="1" t="s">
        <v>7413</v>
      </c>
      <c r="F6797" s="1" t="s">
        <v>126</v>
      </c>
    </row>
    <row r="6798" spans="1:6" ht="30" customHeight="1" x14ac:dyDescent="0.25">
      <c r="A6798" s="1" t="s">
        <v>13596</v>
      </c>
      <c r="B6798" s="1" t="str">
        <f>"9781118484432"</f>
        <v>9781118484432</v>
      </c>
      <c r="C6798" s="1" t="s">
        <v>65</v>
      </c>
      <c r="D6798" s="2">
        <v>41443</v>
      </c>
      <c r="E6798" s="1" t="s">
        <v>13597</v>
      </c>
      <c r="F6798" s="1" t="s">
        <v>13</v>
      </c>
    </row>
    <row r="6799" spans="1:6" ht="30" customHeight="1" x14ac:dyDescent="0.25">
      <c r="A6799" s="1" t="s">
        <v>13598</v>
      </c>
      <c r="B6799" s="1" t="str">
        <f>"9781118657959"</f>
        <v>9781118657959</v>
      </c>
      <c r="C6799" s="1" t="s">
        <v>65</v>
      </c>
      <c r="D6799" s="2">
        <v>41444</v>
      </c>
      <c r="E6799" s="1" t="s">
        <v>13599</v>
      </c>
      <c r="F6799" s="1" t="s">
        <v>205</v>
      </c>
    </row>
    <row r="6800" spans="1:6" ht="30" customHeight="1" x14ac:dyDescent="0.25">
      <c r="A6800" s="1" t="s">
        <v>13600</v>
      </c>
      <c r="B6800" s="1" t="str">
        <f>"9781118624999"</f>
        <v>9781118624999</v>
      </c>
      <c r="C6800" s="1" t="s">
        <v>65</v>
      </c>
      <c r="D6800" s="2">
        <v>41443</v>
      </c>
      <c r="E6800" s="1" t="s">
        <v>13601</v>
      </c>
      <c r="F6800" s="1" t="s">
        <v>13</v>
      </c>
    </row>
    <row r="6801" spans="1:6" ht="30" customHeight="1" x14ac:dyDescent="0.25">
      <c r="A6801" s="1" t="s">
        <v>13602</v>
      </c>
      <c r="B6801" s="1" t="str">
        <f>"9781118541609"</f>
        <v>9781118541609</v>
      </c>
      <c r="C6801" s="1" t="s">
        <v>65</v>
      </c>
      <c r="D6801" s="2">
        <v>41446</v>
      </c>
      <c r="E6801" s="1" t="s">
        <v>13603</v>
      </c>
      <c r="F6801" s="1" t="s">
        <v>7666</v>
      </c>
    </row>
    <row r="6802" spans="1:6" ht="30" customHeight="1" x14ac:dyDescent="0.25">
      <c r="A6802" s="1" t="s">
        <v>13604</v>
      </c>
      <c r="B6802" s="1" t="str">
        <f>"9781118352304"</f>
        <v>9781118352304</v>
      </c>
      <c r="C6802" s="1" t="s">
        <v>65</v>
      </c>
      <c r="D6802" s="2">
        <v>41446</v>
      </c>
      <c r="E6802" s="1" t="s">
        <v>13605</v>
      </c>
      <c r="F6802" s="1" t="s">
        <v>13</v>
      </c>
    </row>
    <row r="6803" spans="1:6" ht="30" customHeight="1" x14ac:dyDescent="0.25">
      <c r="A6803" s="1" t="s">
        <v>13606</v>
      </c>
      <c r="B6803" s="1" t="str">
        <f>"9781118553947"</f>
        <v>9781118553947</v>
      </c>
      <c r="C6803" s="1" t="s">
        <v>65</v>
      </c>
      <c r="D6803" s="2">
        <v>41446</v>
      </c>
      <c r="E6803" s="1" t="s">
        <v>13607</v>
      </c>
      <c r="F6803" s="1" t="s">
        <v>70</v>
      </c>
    </row>
    <row r="6804" spans="1:6" ht="30" customHeight="1" x14ac:dyDescent="0.25">
      <c r="A6804" s="1" t="s">
        <v>13608</v>
      </c>
      <c r="B6804" s="1" t="str">
        <f>"9781135060619"</f>
        <v>9781135060619</v>
      </c>
      <c r="C6804" s="1" t="s">
        <v>68</v>
      </c>
      <c r="D6804" s="2">
        <v>38148</v>
      </c>
      <c r="E6804" s="1" t="s">
        <v>13609</v>
      </c>
      <c r="F6804" s="1" t="s">
        <v>104</v>
      </c>
    </row>
    <row r="6805" spans="1:6" ht="30" customHeight="1" x14ac:dyDescent="0.25">
      <c r="A6805" s="1" t="s">
        <v>13610</v>
      </c>
      <c r="B6805" s="1" t="str">
        <f>"9781134908189"</f>
        <v>9781134908189</v>
      </c>
      <c r="C6805" s="1" t="s">
        <v>68</v>
      </c>
      <c r="D6805" s="2">
        <v>37530</v>
      </c>
      <c r="E6805" s="1" t="s">
        <v>13611</v>
      </c>
      <c r="F6805" s="1" t="s">
        <v>13</v>
      </c>
    </row>
    <row r="6806" spans="1:6" ht="30" customHeight="1" x14ac:dyDescent="0.25">
      <c r="A6806" s="1" t="s">
        <v>13612</v>
      </c>
      <c r="B6806" s="1" t="str">
        <f>"9789814412889"</f>
        <v>9789814412889</v>
      </c>
      <c r="C6806" s="1" t="s">
        <v>881</v>
      </c>
      <c r="D6806" s="2">
        <v>41773</v>
      </c>
      <c r="E6806" s="1" t="s">
        <v>13613</v>
      </c>
      <c r="F6806" s="1" t="s">
        <v>13</v>
      </c>
    </row>
    <row r="6807" spans="1:6" ht="30" customHeight="1" x14ac:dyDescent="0.25">
      <c r="A6807" s="1" t="s">
        <v>13614</v>
      </c>
      <c r="B6807" s="1" t="str">
        <f>"9781860946486"</f>
        <v>9781860946486</v>
      </c>
      <c r="C6807" s="1" t="s">
        <v>876</v>
      </c>
      <c r="D6807" s="2">
        <v>41773</v>
      </c>
      <c r="E6807" s="1" t="s">
        <v>13615</v>
      </c>
      <c r="F6807" s="1" t="s">
        <v>137</v>
      </c>
    </row>
    <row r="6808" spans="1:6" ht="30" customHeight="1" x14ac:dyDescent="0.25">
      <c r="A6808" s="1" t="s">
        <v>13616</v>
      </c>
      <c r="B6808" s="1" t="str">
        <f>"9781118512333"</f>
        <v>9781118512333</v>
      </c>
      <c r="C6808" s="1" t="s">
        <v>65</v>
      </c>
      <c r="D6808" s="2">
        <v>41463</v>
      </c>
      <c r="E6808" s="1" t="s">
        <v>13617</v>
      </c>
      <c r="F6808" s="1" t="s">
        <v>13</v>
      </c>
    </row>
    <row r="6809" spans="1:6" ht="30" customHeight="1" x14ac:dyDescent="0.25">
      <c r="A6809" s="1" t="s">
        <v>13618</v>
      </c>
      <c r="B6809" s="1" t="str">
        <f>"9781118661314"</f>
        <v>9781118661314</v>
      </c>
      <c r="C6809" s="1" t="s">
        <v>65</v>
      </c>
      <c r="D6809" s="2">
        <v>41502</v>
      </c>
      <c r="E6809" s="1" t="s">
        <v>13619</v>
      </c>
      <c r="F6809" s="1" t="s">
        <v>13</v>
      </c>
    </row>
    <row r="6810" spans="1:6" ht="30" customHeight="1" x14ac:dyDescent="0.25">
      <c r="A6810" s="1" t="s">
        <v>13620</v>
      </c>
      <c r="B6810" s="1" t="str">
        <f>"9781118328484"</f>
        <v>9781118328484</v>
      </c>
      <c r="C6810" s="1" t="s">
        <v>65</v>
      </c>
      <c r="D6810" s="2">
        <v>41451</v>
      </c>
      <c r="E6810" s="1" t="s">
        <v>13621</v>
      </c>
      <c r="F6810" s="1" t="s">
        <v>205</v>
      </c>
    </row>
    <row r="6811" spans="1:6" ht="30" customHeight="1" x14ac:dyDescent="0.25">
      <c r="A6811" s="1" t="s">
        <v>13622</v>
      </c>
      <c r="B6811" s="1" t="str">
        <f>"9781118639177"</f>
        <v>9781118639177</v>
      </c>
      <c r="C6811" s="1" t="s">
        <v>65</v>
      </c>
      <c r="D6811" s="2">
        <v>41509</v>
      </c>
      <c r="E6811" s="1" t="s">
        <v>13623</v>
      </c>
      <c r="F6811" s="1" t="s">
        <v>158</v>
      </c>
    </row>
    <row r="6812" spans="1:6" ht="30" customHeight="1" x14ac:dyDescent="0.25">
      <c r="A6812" s="1" t="s">
        <v>13624</v>
      </c>
      <c r="B6812" s="1" t="str">
        <f>"9780826117991"</f>
        <v>9780826117991</v>
      </c>
      <c r="C6812" s="1" t="s">
        <v>2339</v>
      </c>
      <c r="D6812" s="2">
        <v>41365</v>
      </c>
      <c r="E6812" s="1" t="s">
        <v>13625</v>
      </c>
      <c r="F6812" s="1" t="s">
        <v>95</v>
      </c>
    </row>
    <row r="6813" spans="1:6" ht="30" customHeight="1" x14ac:dyDescent="0.25">
      <c r="A6813" s="1" t="s">
        <v>13626</v>
      </c>
      <c r="B6813" s="1" t="str">
        <f>"9781614513902"</f>
        <v>9781614513902</v>
      </c>
      <c r="C6813" s="1" t="s">
        <v>1848</v>
      </c>
      <c r="D6813" s="2">
        <v>41921</v>
      </c>
      <c r="E6813" s="1" t="s">
        <v>13627</v>
      </c>
      <c r="F6813" s="1" t="s">
        <v>13</v>
      </c>
    </row>
    <row r="6814" spans="1:6" ht="30" customHeight="1" x14ac:dyDescent="0.25">
      <c r="A6814" s="1" t="s">
        <v>13628</v>
      </c>
      <c r="B6814" s="1" t="str">
        <f>"9783110313802"</f>
        <v>9783110313802</v>
      </c>
      <c r="C6814" s="1" t="s">
        <v>1848</v>
      </c>
      <c r="D6814" s="2">
        <v>41605</v>
      </c>
      <c r="E6814" s="1" t="s">
        <v>13629</v>
      </c>
      <c r="F6814" s="1" t="s">
        <v>13</v>
      </c>
    </row>
    <row r="6815" spans="1:6" ht="30" customHeight="1" x14ac:dyDescent="0.25">
      <c r="A6815" s="1" t="s">
        <v>13630</v>
      </c>
      <c r="B6815" s="1" t="str">
        <f>"9781604061802"</f>
        <v>9781604061802</v>
      </c>
      <c r="C6815" s="1" t="s">
        <v>1671</v>
      </c>
      <c r="D6815" s="2">
        <v>40544</v>
      </c>
      <c r="E6815" s="1" t="s">
        <v>13631</v>
      </c>
      <c r="F6815" s="1" t="s">
        <v>13</v>
      </c>
    </row>
    <row r="6816" spans="1:6" ht="30" customHeight="1" x14ac:dyDescent="0.25">
      <c r="A6816" s="1" t="s">
        <v>13632</v>
      </c>
      <c r="B6816" s="1" t="str">
        <f>"9781604061864"</f>
        <v>9781604061864</v>
      </c>
      <c r="C6816" s="1" t="s">
        <v>1671</v>
      </c>
      <c r="D6816" s="2">
        <v>40544</v>
      </c>
      <c r="E6816" s="1" t="s">
        <v>13633</v>
      </c>
      <c r="F6816" s="1" t="s">
        <v>13</v>
      </c>
    </row>
    <row r="6817" spans="1:6" ht="30" customHeight="1" x14ac:dyDescent="0.25">
      <c r="A6817" s="1" t="s">
        <v>13634</v>
      </c>
      <c r="B6817" s="1" t="str">
        <f>"9783131490513"</f>
        <v>9783131490513</v>
      </c>
      <c r="C6817" s="1" t="s">
        <v>1671</v>
      </c>
      <c r="D6817" s="2">
        <v>38825</v>
      </c>
      <c r="E6817" s="1" t="s">
        <v>13635</v>
      </c>
      <c r="F6817" s="1" t="s">
        <v>137</v>
      </c>
    </row>
    <row r="6818" spans="1:6" ht="30" customHeight="1" x14ac:dyDescent="0.25">
      <c r="A6818" s="1" t="s">
        <v>13636</v>
      </c>
      <c r="B6818" s="1" t="str">
        <f>"9783131618917"</f>
        <v>9783131618917</v>
      </c>
      <c r="C6818" s="1" t="s">
        <v>1671</v>
      </c>
      <c r="D6818" s="2">
        <v>39748</v>
      </c>
      <c r="E6818" s="1" t="s">
        <v>13637</v>
      </c>
      <c r="F6818" s="1" t="s">
        <v>137</v>
      </c>
    </row>
    <row r="6819" spans="1:6" ht="30" customHeight="1" x14ac:dyDescent="0.25">
      <c r="A6819" s="1" t="s">
        <v>13638</v>
      </c>
      <c r="B6819" s="1" t="str">
        <f>"9781604065145"</f>
        <v>9781604065145</v>
      </c>
      <c r="C6819" s="1" t="s">
        <v>1671</v>
      </c>
      <c r="D6819" s="2">
        <v>39748</v>
      </c>
      <c r="E6819" s="1" t="s">
        <v>13639</v>
      </c>
      <c r="F6819" s="1" t="s">
        <v>13</v>
      </c>
    </row>
    <row r="6820" spans="1:6" ht="30" customHeight="1" x14ac:dyDescent="0.25">
      <c r="A6820" s="1" t="s">
        <v>13640</v>
      </c>
      <c r="B6820" s="1" t="str">
        <f>"9781604064810"</f>
        <v>9781604064810</v>
      </c>
      <c r="C6820" s="1" t="s">
        <v>1671</v>
      </c>
      <c r="D6820" s="2">
        <v>39218</v>
      </c>
      <c r="E6820" s="1" t="s">
        <v>13641</v>
      </c>
      <c r="F6820" s="1" t="s">
        <v>13</v>
      </c>
    </row>
    <row r="6821" spans="1:6" ht="30" customHeight="1" x14ac:dyDescent="0.25">
      <c r="A6821" s="1" t="s">
        <v>13642</v>
      </c>
      <c r="B6821" s="1" t="str">
        <f>"9783131490414"</f>
        <v>9783131490414</v>
      </c>
      <c r="C6821" s="1" t="s">
        <v>1671</v>
      </c>
      <c r="D6821" s="2">
        <v>39849</v>
      </c>
      <c r="E6821" s="1" t="s">
        <v>13643</v>
      </c>
      <c r="F6821" s="1" t="s">
        <v>137</v>
      </c>
    </row>
    <row r="6822" spans="1:6" ht="30" customHeight="1" x14ac:dyDescent="0.25">
      <c r="A6822" s="1" t="s">
        <v>13644</v>
      </c>
      <c r="B6822" s="1" t="str">
        <f>"9781588906380"</f>
        <v>9781588906380</v>
      </c>
      <c r="C6822" s="1" t="s">
        <v>1671</v>
      </c>
      <c r="D6822" s="2">
        <v>38941</v>
      </c>
      <c r="E6822" s="1" t="s">
        <v>13645</v>
      </c>
      <c r="F6822" s="1" t="s">
        <v>13</v>
      </c>
    </row>
    <row r="6823" spans="1:6" ht="30" customHeight="1" x14ac:dyDescent="0.25">
      <c r="A6823" s="1" t="s">
        <v>13646</v>
      </c>
      <c r="B6823" s="1" t="str">
        <f>"9783131495310"</f>
        <v>9783131495310</v>
      </c>
      <c r="C6823" s="1" t="s">
        <v>1671</v>
      </c>
      <c r="D6823" s="2">
        <v>39155</v>
      </c>
      <c r="E6823" s="1" t="s">
        <v>13647</v>
      </c>
      <c r="F6823" s="1" t="s">
        <v>137</v>
      </c>
    </row>
    <row r="6824" spans="1:6" ht="30" customHeight="1" x14ac:dyDescent="0.25">
      <c r="A6824" s="1" t="s">
        <v>13648</v>
      </c>
      <c r="B6824" s="1" t="str">
        <f>"9781588905963"</f>
        <v>9781588905963</v>
      </c>
      <c r="C6824" s="1" t="s">
        <v>1671</v>
      </c>
      <c r="D6824" s="2">
        <v>39085</v>
      </c>
      <c r="E6824" s="1" t="s">
        <v>13649</v>
      </c>
      <c r="F6824" s="1" t="s">
        <v>13</v>
      </c>
    </row>
    <row r="6825" spans="1:6" ht="30" customHeight="1" x14ac:dyDescent="0.25">
      <c r="A6825" s="1" t="s">
        <v>13650</v>
      </c>
      <c r="B6825" s="1" t="str">
        <f>"9781588906410"</f>
        <v>9781588906410</v>
      </c>
      <c r="C6825" s="1" t="s">
        <v>1671</v>
      </c>
      <c r="D6825" s="2">
        <v>39460</v>
      </c>
      <c r="E6825" s="1" t="s">
        <v>13651</v>
      </c>
      <c r="F6825" s="1" t="s">
        <v>13</v>
      </c>
    </row>
    <row r="6826" spans="1:6" ht="30" customHeight="1" x14ac:dyDescent="0.25">
      <c r="A6826" s="1" t="s">
        <v>13652</v>
      </c>
      <c r="B6826" s="1" t="str">
        <f>"9781588906595"</f>
        <v>9781588906595</v>
      </c>
      <c r="C6826" s="1" t="s">
        <v>1671</v>
      </c>
      <c r="D6826" s="2">
        <v>39414</v>
      </c>
      <c r="E6826" s="1" t="s">
        <v>13653</v>
      </c>
      <c r="F6826" s="1" t="s">
        <v>13</v>
      </c>
    </row>
    <row r="6827" spans="1:6" ht="30" customHeight="1" x14ac:dyDescent="0.25">
      <c r="A6827" s="1" t="s">
        <v>13654</v>
      </c>
      <c r="B6827" s="1" t="str">
        <f>"9781588906724"</f>
        <v>9781588906724</v>
      </c>
      <c r="C6827" s="1" t="s">
        <v>1671</v>
      </c>
      <c r="D6827" s="2">
        <v>39617</v>
      </c>
      <c r="E6827" s="1" t="s">
        <v>13655</v>
      </c>
      <c r="F6827" s="1" t="s">
        <v>13</v>
      </c>
    </row>
    <row r="6828" spans="1:6" ht="30" customHeight="1" x14ac:dyDescent="0.25">
      <c r="A6828" s="1" t="s">
        <v>13656</v>
      </c>
      <c r="B6828" s="1" t="str">
        <f>"9781604064360"</f>
        <v>9781604064360</v>
      </c>
      <c r="C6828" s="1" t="s">
        <v>1671</v>
      </c>
      <c r="D6828" s="2">
        <v>39746</v>
      </c>
      <c r="E6828" s="1" t="s">
        <v>13657</v>
      </c>
      <c r="F6828" s="1" t="s">
        <v>13</v>
      </c>
    </row>
    <row r="6829" spans="1:6" ht="30" customHeight="1" x14ac:dyDescent="0.25">
      <c r="A6829" s="1" t="s">
        <v>13658</v>
      </c>
      <c r="B6829" s="1" t="str">
        <f>"9781604064681"</f>
        <v>9781604064681</v>
      </c>
      <c r="C6829" s="1" t="s">
        <v>1671</v>
      </c>
      <c r="D6829" s="2">
        <v>39797</v>
      </c>
      <c r="E6829" s="1" t="s">
        <v>13659</v>
      </c>
      <c r="F6829" s="1" t="s">
        <v>13</v>
      </c>
    </row>
    <row r="6830" spans="1:6" ht="30" customHeight="1" x14ac:dyDescent="0.25">
      <c r="A6830" s="1" t="s">
        <v>13660</v>
      </c>
      <c r="B6830" s="1" t="str">
        <f>"9781604065282"</f>
        <v>9781604065282</v>
      </c>
      <c r="C6830" s="1" t="s">
        <v>1671</v>
      </c>
      <c r="D6830" s="2">
        <v>38511</v>
      </c>
      <c r="E6830" s="1" t="s">
        <v>13661</v>
      </c>
      <c r="F6830" s="1" t="s">
        <v>13</v>
      </c>
    </row>
    <row r="6831" spans="1:6" ht="30" customHeight="1" x14ac:dyDescent="0.25">
      <c r="A6831" s="1" t="s">
        <v>13662</v>
      </c>
      <c r="B6831" s="1" t="str">
        <f>"9783131605412"</f>
        <v>9783131605412</v>
      </c>
      <c r="C6831" s="1" t="s">
        <v>1671</v>
      </c>
      <c r="D6831" s="2">
        <v>38231</v>
      </c>
      <c r="E6831" s="1" t="s">
        <v>13663</v>
      </c>
      <c r="F6831" s="1" t="s">
        <v>13</v>
      </c>
    </row>
    <row r="6832" spans="1:6" ht="30" customHeight="1" x14ac:dyDescent="0.25">
      <c r="A6832" s="1" t="s">
        <v>13664</v>
      </c>
      <c r="B6832" s="1" t="str">
        <f>"9783131605917"</f>
        <v>9783131605917</v>
      </c>
      <c r="C6832" s="1" t="s">
        <v>1671</v>
      </c>
      <c r="D6832" s="2">
        <v>38362</v>
      </c>
      <c r="E6832" s="1" t="s">
        <v>13665</v>
      </c>
      <c r="F6832" s="1" t="s">
        <v>13</v>
      </c>
    </row>
    <row r="6833" spans="1:6" ht="30" customHeight="1" x14ac:dyDescent="0.25">
      <c r="A6833" s="1" t="s">
        <v>13666</v>
      </c>
      <c r="B6833" s="1" t="str">
        <f>"9783131614018"</f>
        <v>9783131614018</v>
      </c>
      <c r="C6833" s="1" t="s">
        <v>1671</v>
      </c>
      <c r="D6833" s="2">
        <v>37006</v>
      </c>
      <c r="E6833" s="1" t="s">
        <v>13667</v>
      </c>
      <c r="F6833" s="1" t="s">
        <v>13</v>
      </c>
    </row>
    <row r="6834" spans="1:6" ht="30" customHeight="1" x14ac:dyDescent="0.25">
      <c r="A6834" s="1" t="s">
        <v>13668</v>
      </c>
      <c r="B6834" s="1" t="str">
        <f>"9783131614117"</f>
        <v>9783131614117</v>
      </c>
      <c r="C6834" s="1" t="s">
        <v>1671</v>
      </c>
      <c r="D6834" s="2">
        <v>37503</v>
      </c>
      <c r="E6834" s="1" t="s">
        <v>13669</v>
      </c>
      <c r="F6834" s="1" t="s">
        <v>13</v>
      </c>
    </row>
    <row r="6835" spans="1:6" ht="30" customHeight="1" x14ac:dyDescent="0.25">
      <c r="A6835" s="1" t="s">
        <v>13670</v>
      </c>
      <c r="B6835" s="1" t="str">
        <f>"9783131611413"</f>
        <v>9783131611413</v>
      </c>
      <c r="C6835" s="1" t="s">
        <v>1671</v>
      </c>
      <c r="D6835" s="2">
        <v>39885</v>
      </c>
      <c r="E6835" s="1" t="s">
        <v>13671</v>
      </c>
      <c r="F6835" s="1" t="s">
        <v>13</v>
      </c>
    </row>
    <row r="6836" spans="1:6" ht="30" customHeight="1" x14ac:dyDescent="0.25">
      <c r="A6836" s="1" t="s">
        <v>13672</v>
      </c>
      <c r="B6836" s="1" t="str">
        <f>"9783131608918"</f>
        <v>9783131608918</v>
      </c>
      <c r="C6836" s="1" t="s">
        <v>1671</v>
      </c>
      <c r="D6836" s="2">
        <v>38546</v>
      </c>
      <c r="E6836" s="1" t="s">
        <v>13673</v>
      </c>
      <c r="F6836" s="1" t="s">
        <v>13</v>
      </c>
    </row>
    <row r="6837" spans="1:6" ht="30" customHeight="1" x14ac:dyDescent="0.25">
      <c r="A6837" s="1" t="s">
        <v>13674</v>
      </c>
      <c r="B6837" s="1" t="str">
        <f>"9783131606914"</f>
        <v>9783131606914</v>
      </c>
      <c r="C6837" s="1" t="s">
        <v>1671</v>
      </c>
      <c r="D6837" s="2">
        <v>37965</v>
      </c>
      <c r="E6837" s="1" t="s">
        <v>13675</v>
      </c>
      <c r="F6837" s="1" t="s">
        <v>13</v>
      </c>
    </row>
    <row r="6838" spans="1:6" ht="30" customHeight="1" x14ac:dyDescent="0.25">
      <c r="A6838" s="1" t="s">
        <v>13676</v>
      </c>
      <c r="B6838" s="1" t="str">
        <f>"9781604065336"</f>
        <v>9781604065336</v>
      </c>
      <c r="C6838" s="1" t="s">
        <v>1671</v>
      </c>
      <c r="D6838" s="2">
        <v>36579</v>
      </c>
      <c r="E6838" s="1" t="s">
        <v>13677</v>
      </c>
      <c r="F6838" s="1" t="s">
        <v>13</v>
      </c>
    </row>
    <row r="6839" spans="1:6" ht="30" customHeight="1" x14ac:dyDescent="0.25">
      <c r="A6839" s="1" t="s">
        <v>13678</v>
      </c>
      <c r="B6839" s="1" t="str">
        <f>"9781604061628"</f>
        <v>9781604061628</v>
      </c>
      <c r="C6839" s="1" t="s">
        <v>1671</v>
      </c>
      <c r="D6839" s="2">
        <v>39423</v>
      </c>
      <c r="E6839" s="1" t="s">
        <v>13679</v>
      </c>
      <c r="F6839" s="1" t="s">
        <v>13</v>
      </c>
    </row>
    <row r="6840" spans="1:6" ht="30" customHeight="1" x14ac:dyDescent="0.25">
      <c r="A6840" s="1" t="s">
        <v>13680</v>
      </c>
      <c r="B6840" s="1" t="str">
        <f>"9781604064902"</f>
        <v>9781604064902</v>
      </c>
      <c r="C6840" s="1" t="s">
        <v>1671</v>
      </c>
      <c r="D6840" s="2">
        <v>39423</v>
      </c>
      <c r="E6840" s="1" t="s">
        <v>13681</v>
      </c>
      <c r="F6840" s="1" t="s">
        <v>13</v>
      </c>
    </row>
    <row r="6841" spans="1:6" ht="30" customHeight="1" x14ac:dyDescent="0.25">
      <c r="A6841" s="1" t="s">
        <v>13682</v>
      </c>
      <c r="B6841" s="1" t="str">
        <f>"9781604065299"</f>
        <v>9781604065299</v>
      </c>
      <c r="C6841" s="1" t="s">
        <v>1671</v>
      </c>
      <c r="D6841" s="2">
        <v>38930</v>
      </c>
      <c r="E6841" s="1" t="s">
        <v>13683</v>
      </c>
      <c r="F6841" s="1" t="s">
        <v>13</v>
      </c>
    </row>
    <row r="6842" spans="1:6" ht="30" customHeight="1" x14ac:dyDescent="0.25">
      <c r="A6842" s="1" t="s">
        <v>13684</v>
      </c>
      <c r="B6842" s="1" t="str">
        <f>"9781604061826"</f>
        <v>9781604061826</v>
      </c>
      <c r="C6842" s="1" t="s">
        <v>1671</v>
      </c>
      <c r="D6842" s="2">
        <v>40544</v>
      </c>
      <c r="E6842" s="1" t="s">
        <v>13685</v>
      </c>
      <c r="F6842" s="1" t="s">
        <v>13</v>
      </c>
    </row>
    <row r="6843" spans="1:6" ht="30" customHeight="1" x14ac:dyDescent="0.25">
      <c r="A6843" s="1" t="s">
        <v>13686</v>
      </c>
      <c r="B6843" s="1" t="str">
        <f>"9783131613714"</f>
        <v>9783131613714</v>
      </c>
      <c r="C6843" s="1" t="s">
        <v>1671</v>
      </c>
      <c r="D6843" s="2">
        <v>38693</v>
      </c>
      <c r="E6843" s="1" t="s">
        <v>13687</v>
      </c>
      <c r="F6843" s="1" t="s">
        <v>13</v>
      </c>
    </row>
    <row r="6844" spans="1:6" ht="30" customHeight="1" x14ac:dyDescent="0.25">
      <c r="A6844" s="1" t="s">
        <v>13688</v>
      </c>
      <c r="B6844" s="1" t="str">
        <f>"9781604064599"</f>
        <v>9781604064599</v>
      </c>
      <c r="C6844" s="1" t="s">
        <v>1671</v>
      </c>
      <c r="D6844" s="2">
        <v>39629</v>
      </c>
      <c r="E6844" s="1" t="s">
        <v>13689</v>
      </c>
      <c r="F6844" s="1" t="s">
        <v>13</v>
      </c>
    </row>
    <row r="6845" spans="1:6" ht="30" customHeight="1" x14ac:dyDescent="0.25">
      <c r="A6845" s="1" t="s">
        <v>13690</v>
      </c>
      <c r="B6845" s="1" t="str">
        <f>"9781604061635"</f>
        <v>9781604061635</v>
      </c>
      <c r="C6845" s="1" t="s">
        <v>1671</v>
      </c>
      <c r="D6845" s="2">
        <v>37704</v>
      </c>
      <c r="E6845" s="1" t="s">
        <v>13691</v>
      </c>
      <c r="F6845" s="1" t="s">
        <v>13</v>
      </c>
    </row>
    <row r="6846" spans="1:6" ht="30" customHeight="1" x14ac:dyDescent="0.25">
      <c r="A6846" s="1" t="s">
        <v>13692</v>
      </c>
      <c r="B6846" s="1" t="str">
        <f>"9781604064896"</f>
        <v>9781604064896</v>
      </c>
      <c r="C6846" s="1" t="s">
        <v>1671</v>
      </c>
      <c r="D6846" s="2">
        <v>37360</v>
      </c>
      <c r="E6846" s="1" t="s">
        <v>13693</v>
      </c>
      <c r="F6846" s="1" t="s">
        <v>13</v>
      </c>
    </row>
    <row r="6847" spans="1:6" ht="30" customHeight="1" x14ac:dyDescent="0.25">
      <c r="A6847" s="1" t="s">
        <v>13694</v>
      </c>
      <c r="B6847" s="1" t="str">
        <f>"9781604065213"</f>
        <v>9781604065213</v>
      </c>
      <c r="C6847" s="1" t="s">
        <v>1671</v>
      </c>
      <c r="D6847" s="2">
        <v>36626</v>
      </c>
      <c r="E6847" s="1" t="s">
        <v>13695</v>
      </c>
      <c r="F6847" s="1" t="s">
        <v>13</v>
      </c>
    </row>
    <row r="6848" spans="1:6" ht="30" customHeight="1" x14ac:dyDescent="0.25">
      <c r="A6848" s="1" t="s">
        <v>13696</v>
      </c>
      <c r="B6848" s="1" t="str">
        <f>"9783131607010"</f>
        <v>9783131607010</v>
      </c>
      <c r="C6848" s="1" t="s">
        <v>1671</v>
      </c>
      <c r="D6848" s="2">
        <v>38950</v>
      </c>
      <c r="E6848" s="1" t="s">
        <v>13675</v>
      </c>
      <c r="F6848" s="1" t="s">
        <v>13</v>
      </c>
    </row>
    <row r="6849" spans="1:6" ht="30" customHeight="1" x14ac:dyDescent="0.25">
      <c r="A6849" s="1" t="s">
        <v>13697</v>
      </c>
      <c r="B6849" s="1" t="str">
        <f>"9783131610911"</f>
        <v>9783131610911</v>
      </c>
      <c r="C6849" s="1" t="s">
        <v>1671</v>
      </c>
      <c r="D6849" s="2">
        <v>39748</v>
      </c>
      <c r="E6849" s="1" t="s">
        <v>13698</v>
      </c>
      <c r="F6849" s="1" t="s">
        <v>13</v>
      </c>
    </row>
    <row r="6850" spans="1:6" ht="30" customHeight="1" x14ac:dyDescent="0.25">
      <c r="A6850" s="1" t="s">
        <v>13699</v>
      </c>
      <c r="B6850" s="1" t="str">
        <f>"9781604065022"</f>
        <v>9781604065022</v>
      </c>
      <c r="C6850" s="1" t="s">
        <v>1671</v>
      </c>
      <c r="D6850" s="2">
        <v>39407</v>
      </c>
      <c r="E6850" s="1" t="s">
        <v>13700</v>
      </c>
      <c r="F6850" s="1" t="s">
        <v>13</v>
      </c>
    </row>
    <row r="6851" spans="1:6" ht="30" customHeight="1" x14ac:dyDescent="0.25">
      <c r="A6851" s="1" t="s">
        <v>13701</v>
      </c>
      <c r="B6851" s="1" t="str">
        <f>"9781604063332"</f>
        <v>9781604063332</v>
      </c>
      <c r="C6851" s="1" t="s">
        <v>1671</v>
      </c>
      <c r="D6851" s="2">
        <v>40787</v>
      </c>
      <c r="E6851" s="1" t="s">
        <v>13702</v>
      </c>
      <c r="F6851" s="1" t="s">
        <v>13</v>
      </c>
    </row>
    <row r="6852" spans="1:6" ht="30" customHeight="1" x14ac:dyDescent="0.25">
      <c r="A6852" s="1" t="s">
        <v>13703</v>
      </c>
      <c r="B6852" s="1" t="str">
        <f>"9783131644817"</f>
        <v>9783131644817</v>
      </c>
      <c r="C6852" s="1" t="s">
        <v>1671</v>
      </c>
      <c r="D6852" s="2">
        <v>40807</v>
      </c>
      <c r="E6852" s="1" t="s">
        <v>13704</v>
      </c>
      <c r="F6852" s="1" t="s">
        <v>13</v>
      </c>
    </row>
    <row r="6853" spans="1:6" ht="30" customHeight="1" x14ac:dyDescent="0.25">
      <c r="A6853" s="1" t="s">
        <v>13705</v>
      </c>
      <c r="B6853" s="1" t="str">
        <f>"9781604064162"</f>
        <v>9781604064162</v>
      </c>
      <c r="C6853" s="1" t="s">
        <v>1671</v>
      </c>
      <c r="D6853" s="2">
        <v>40675</v>
      </c>
      <c r="E6853" s="1" t="s">
        <v>13706</v>
      </c>
      <c r="F6853" s="1" t="s">
        <v>13</v>
      </c>
    </row>
    <row r="6854" spans="1:6" ht="30" customHeight="1" x14ac:dyDescent="0.25">
      <c r="A6854" s="1" t="s">
        <v>13707</v>
      </c>
      <c r="B6854" s="1" t="str">
        <f>"9783131644015"</f>
        <v>9783131644015</v>
      </c>
      <c r="C6854" s="1" t="s">
        <v>1671</v>
      </c>
      <c r="D6854" s="2">
        <v>41003</v>
      </c>
      <c r="E6854" s="1" t="s">
        <v>13708</v>
      </c>
      <c r="F6854" s="1" t="s">
        <v>13</v>
      </c>
    </row>
    <row r="6855" spans="1:6" ht="30" customHeight="1" x14ac:dyDescent="0.25">
      <c r="A6855" s="1" t="s">
        <v>13709</v>
      </c>
      <c r="B6855" s="1" t="str">
        <f>"9781604063585"</f>
        <v>9781604063585</v>
      </c>
      <c r="C6855" s="1" t="s">
        <v>1671</v>
      </c>
      <c r="D6855" s="2">
        <v>40544</v>
      </c>
      <c r="E6855" s="1" t="s">
        <v>13710</v>
      </c>
      <c r="F6855" s="1" t="s">
        <v>13</v>
      </c>
    </row>
    <row r="6856" spans="1:6" ht="30" customHeight="1" x14ac:dyDescent="0.25">
      <c r="A6856" s="1" t="s">
        <v>13711</v>
      </c>
      <c r="B6856" s="1" t="str">
        <f>"9783131528919"</f>
        <v>9783131528919</v>
      </c>
      <c r="C6856" s="1" t="s">
        <v>13712</v>
      </c>
      <c r="D6856" s="2">
        <v>40544</v>
      </c>
      <c r="E6856" s="1" t="s">
        <v>13713</v>
      </c>
      <c r="F6856" s="1" t="s">
        <v>13</v>
      </c>
    </row>
    <row r="6857" spans="1:6" ht="30" customHeight="1" x14ac:dyDescent="0.25">
      <c r="A6857" s="1" t="s">
        <v>13714</v>
      </c>
      <c r="B6857" s="1" t="str">
        <f>"9783131505910"</f>
        <v>9783131505910</v>
      </c>
      <c r="C6857" s="1" t="s">
        <v>1671</v>
      </c>
      <c r="D6857" s="2">
        <v>40555</v>
      </c>
      <c r="E6857" s="1" t="s">
        <v>13715</v>
      </c>
      <c r="F6857" s="1" t="s">
        <v>137</v>
      </c>
    </row>
    <row r="6858" spans="1:6" ht="30" customHeight="1" x14ac:dyDescent="0.25">
      <c r="A6858" s="1" t="s">
        <v>13716</v>
      </c>
      <c r="B6858" s="1" t="str">
        <f>"9781604066906"</f>
        <v>9781604066906</v>
      </c>
      <c r="C6858" s="1" t="s">
        <v>1671</v>
      </c>
      <c r="D6858" s="2">
        <v>40847</v>
      </c>
      <c r="E6858" s="1" t="s">
        <v>13717</v>
      </c>
      <c r="F6858" s="1" t="s">
        <v>13</v>
      </c>
    </row>
    <row r="6859" spans="1:6" ht="30" customHeight="1" x14ac:dyDescent="0.25">
      <c r="A6859" s="1" t="s">
        <v>13718</v>
      </c>
      <c r="B6859" s="1" t="str">
        <f>"9781604065428"</f>
        <v>9781604065428</v>
      </c>
      <c r="C6859" s="1" t="s">
        <v>1671</v>
      </c>
      <c r="D6859" s="2">
        <v>40718</v>
      </c>
      <c r="E6859" s="1" t="s">
        <v>13719</v>
      </c>
      <c r="F6859" s="1" t="s">
        <v>13</v>
      </c>
    </row>
    <row r="6860" spans="1:6" ht="30" customHeight="1" x14ac:dyDescent="0.25">
      <c r="A6860" s="1" t="s">
        <v>13720</v>
      </c>
      <c r="B6860" s="1" t="str">
        <f>"9781604061840"</f>
        <v>9781604061840</v>
      </c>
      <c r="C6860" s="1" t="s">
        <v>1671</v>
      </c>
      <c r="D6860" s="2">
        <v>40544</v>
      </c>
      <c r="E6860" s="1" t="s">
        <v>13721</v>
      </c>
      <c r="F6860" s="1" t="s">
        <v>13</v>
      </c>
    </row>
    <row r="6861" spans="1:6" ht="30" customHeight="1" x14ac:dyDescent="0.25">
      <c r="A6861" s="1" t="s">
        <v>13722</v>
      </c>
      <c r="B6861" s="1" t="str">
        <f>"9781604061888"</f>
        <v>9781604061888</v>
      </c>
      <c r="C6861" s="1" t="s">
        <v>1671</v>
      </c>
      <c r="D6861" s="2">
        <v>40544</v>
      </c>
      <c r="E6861" s="1" t="s">
        <v>13723</v>
      </c>
      <c r="F6861" s="1" t="s">
        <v>13</v>
      </c>
    </row>
    <row r="6862" spans="1:6" ht="30" customHeight="1" x14ac:dyDescent="0.25">
      <c r="A6862" s="1" t="s">
        <v>13724</v>
      </c>
      <c r="B6862" s="1" t="str">
        <f>"9781604061901"</f>
        <v>9781604061901</v>
      </c>
      <c r="C6862" s="1" t="s">
        <v>1671</v>
      </c>
      <c r="D6862" s="2">
        <v>40544</v>
      </c>
      <c r="E6862" s="1" t="s">
        <v>13725</v>
      </c>
      <c r="F6862" s="1" t="s">
        <v>13</v>
      </c>
    </row>
    <row r="6863" spans="1:6" ht="30" customHeight="1" x14ac:dyDescent="0.25">
      <c r="A6863" s="1" t="s">
        <v>13726</v>
      </c>
      <c r="B6863" s="1" t="str">
        <f>"9781604061789"</f>
        <v>9781604061789</v>
      </c>
      <c r="C6863" s="1" t="s">
        <v>1671</v>
      </c>
      <c r="D6863" s="2">
        <v>40544</v>
      </c>
      <c r="E6863" s="1" t="s">
        <v>13727</v>
      </c>
      <c r="F6863" s="1" t="s">
        <v>13</v>
      </c>
    </row>
    <row r="6864" spans="1:6" ht="30" customHeight="1" x14ac:dyDescent="0.25">
      <c r="A6864" s="1" t="s">
        <v>13728</v>
      </c>
      <c r="B6864" s="1" t="str">
        <f>"9781604062830"</f>
        <v>9781604062830</v>
      </c>
      <c r="C6864" s="1" t="s">
        <v>1671</v>
      </c>
      <c r="D6864" s="2">
        <v>40544</v>
      </c>
      <c r="E6864" s="1" t="s">
        <v>13729</v>
      </c>
      <c r="F6864" s="1" t="s">
        <v>13</v>
      </c>
    </row>
    <row r="6865" spans="1:6" ht="30" customHeight="1" x14ac:dyDescent="0.25">
      <c r="A6865" s="1" t="s">
        <v>13730</v>
      </c>
      <c r="B6865" s="1" t="str">
        <f>"9781604062311"</f>
        <v>9781604062311</v>
      </c>
      <c r="C6865" s="1" t="s">
        <v>1671</v>
      </c>
      <c r="D6865" s="2">
        <v>40739</v>
      </c>
      <c r="E6865" s="1" t="s">
        <v>13731</v>
      </c>
      <c r="F6865" s="1" t="s">
        <v>13</v>
      </c>
    </row>
    <row r="6866" spans="1:6" ht="30" customHeight="1" x14ac:dyDescent="0.25">
      <c r="A6866" s="1" t="s">
        <v>13732</v>
      </c>
      <c r="B6866" s="1" t="str">
        <f>"9783131504913"</f>
        <v>9783131504913</v>
      </c>
      <c r="C6866" s="1" t="s">
        <v>1671</v>
      </c>
      <c r="D6866" s="2">
        <v>40555</v>
      </c>
      <c r="E6866" s="1" t="s">
        <v>13733</v>
      </c>
      <c r="F6866" s="1" t="s">
        <v>13</v>
      </c>
    </row>
    <row r="6867" spans="1:6" ht="30" customHeight="1" x14ac:dyDescent="0.25">
      <c r="A6867" s="1" t="s">
        <v>13734</v>
      </c>
      <c r="B6867" s="1" t="str">
        <f>"9781118713471"</f>
        <v>9781118713471</v>
      </c>
      <c r="C6867" s="1" t="s">
        <v>65</v>
      </c>
      <c r="D6867" s="2">
        <v>37392</v>
      </c>
      <c r="E6867" s="1" t="s">
        <v>13735</v>
      </c>
      <c r="F6867" s="1" t="s">
        <v>158</v>
      </c>
    </row>
    <row r="6868" spans="1:6" ht="30" customHeight="1" x14ac:dyDescent="0.25">
      <c r="A6868" s="1" t="s">
        <v>13736</v>
      </c>
      <c r="B6868" s="1" t="str">
        <f>"9781135330521"</f>
        <v>9781135330521</v>
      </c>
      <c r="C6868" s="1" t="s">
        <v>68</v>
      </c>
      <c r="D6868" s="2">
        <v>37288</v>
      </c>
      <c r="E6868" s="1" t="s">
        <v>13737</v>
      </c>
      <c r="F6868" s="1" t="s">
        <v>3393</v>
      </c>
    </row>
    <row r="6869" spans="1:6" ht="30" customHeight="1" x14ac:dyDescent="0.25">
      <c r="A6869" s="1" t="s">
        <v>13738</v>
      </c>
      <c r="B6869" s="1" t="str">
        <f>"9781134913787"</f>
        <v>9781134913787</v>
      </c>
      <c r="C6869" s="1" t="s">
        <v>68</v>
      </c>
      <c r="D6869" s="2">
        <v>38559</v>
      </c>
      <c r="E6869" s="1" t="s">
        <v>13739</v>
      </c>
      <c r="F6869" s="1" t="s">
        <v>13</v>
      </c>
    </row>
    <row r="6870" spans="1:6" ht="30" customHeight="1" x14ac:dyDescent="0.25">
      <c r="A6870" s="1" t="s">
        <v>13740</v>
      </c>
      <c r="B6870" s="1" t="str">
        <f>"9781118307717"</f>
        <v>9781118307717</v>
      </c>
      <c r="C6870" s="1" t="s">
        <v>65</v>
      </c>
      <c r="D6870" s="2">
        <v>41456</v>
      </c>
      <c r="E6870" s="1" t="s">
        <v>7110</v>
      </c>
      <c r="F6870" s="1" t="s">
        <v>30</v>
      </c>
    </row>
    <row r="6871" spans="1:6" ht="30" customHeight="1" x14ac:dyDescent="0.25">
      <c r="A6871" s="1" t="s">
        <v>13741</v>
      </c>
      <c r="B6871" s="1" t="str">
        <f>"9781118678831"</f>
        <v>9781118678831</v>
      </c>
      <c r="C6871" s="1" t="s">
        <v>65</v>
      </c>
      <c r="D6871" s="2">
        <v>41458</v>
      </c>
      <c r="E6871" s="1" t="s">
        <v>13742</v>
      </c>
      <c r="F6871" s="1" t="s">
        <v>13</v>
      </c>
    </row>
    <row r="6872" spans="1:6" ht="30" customHeight="1" x14ac:dyDescent="0.25">
      <c r="A6872" s="1" t="s">
        <v>13743</v>
      </c>
      <c r="B6872" s="1" t="str">
        <f>"9781118344859"</f>
        <v>9781118344859</v>
      </c>
      <c r="C6872" s="1" t="s">
        <v>65</v>
      </c>
      <c r="D6872" s="2">
        <v>41458</v>
      </c>
      <c r="E6872" s="1" t="s">
        <v>13744</v>
      </c>
      <c r="F6872" s="1" t="s">
        <v>137</v>
      </c>
    </row>
    <row r="6873" spans="1:6" ht="30" customHeight="1" x14ac:dyDescent="0.25">
      <c r="A6873" s="1" t="s">
        <v>13745</v>
      </c>
      <c r="B6873" s="1" t="str">
        <f>"9780739178935"</f>
        <v>9780739178935</v>
      </c>
      <c r="C6873" s="1" t="s">
        <v>9841</v>
      </c>
      <c r="D6873" s="2">
        <v>41452</v>
      </c>
      <c r="E6873" s="1" t="s">
        <v>13746</v>
      </c>
      <c r="F6873" s="1" t="s">
        <v>13747</v>
      </c>
    </row>
    <row r="6874" spans="1:6" ht="30" customHeight="1" x14ac:dyDescent="0.25">
      <c r="A6874" s="1" t="s">
        <v>13748</v>
      </c>
      <c r="B6874" s="1" t="str">
        <f>"9781846420610"</f>
        <v>9781846420610</v>
      </c>
      <c r="C6874" s="1" t="s">
        <v>2387</v>
      </c>
      <c r="D6874" s="2">
        <v>37026</v>
      </c>
      <c r="E6874" s="1" t="s">
        <v>13749</v>
      </c>
      <c r="F6874" s="1" t="s">
        <v>13</v>
      </c>
    </row>
    <row r="6875" spans="1:6" ht="30" customHeight="1" x14ac:dyDescent="0.25">
      <c r="A6875" s="1" t="s">
        <v>13750</v>
      </c>
      <c r="B6875" s="1" t="str">
        <f>"9789814355179"</f>
        <v>9789814355179</v>
      </c>
      <c r="C6875" s="1" t="s">
        <v>881</v>
      </c>
      <c r="D6875" s="2">
        <v>41438</v>
      </c>
      <c r="E6875" s="1" t="s">
        <v>13751</v>
      </c>
      <c r="F6875" s="1" t="s">
        <v>30</v>
      </c>
    </row>
    <row r="6876" spans="1:6" ht="30" customHeight="1" x14ac:dyDescent="0.25">
      <c r="A6876" s="1" t="s">
        <v>13752</v>
      </c>
      <c r="B6876" s="1" t="str">
        <f>"9780826108630"</f>
        <v>9780826108630</v>
      </c>
      <c r="C6876" s="1" t="s">
        <v>2339</v>
      </c>
      <c r="D6876" s="2">
        <v>41483</v>
      </c>
      <c r="E6876" s="1" t="s">
        <v>13753</v>
      </c>
      <c r="F6876" s="1" t="s">
        <v>126</v>
      </c>
    </row>
    <row r="6877" spans="1:6" ht="30" customHeight="1" x14ac:dyDescent="0.25">
      <c r="A6877" s="1" t="s">
        <v>13754</v>
      </c>
      <c r="B6877" s="1" t="str">
        <f>"9780826195777"</f>
        <v>9780826195777</v>
      </c>
      <c r="C6877" s="1" t="s">
        <v>2339</v>
      </c>
      <c r="D6877" s="2">
        <v>41516</v>
      </c>
      <c r="E6877" s="1" t="s">
        <v>13755</v>
      </c>
      <c r="F6877" s="1" t="s">
        <v>126</v>
      </c>
    </row>
    <row r="6878" spans="1:6" ht="30" customHeight="1" x14ac:dyDescent="0.25">
      <c r="A6878" s="1" t="s">
        <v>13756</v>
      </c>
      <c r="B6878" s="1" t="str">
        <f>"9780826199911"</f>
        <v>9780826199911</v>
      </c>
      <c r="C6878" s="1" t="s">
        <v>2339</v>
      </c>
      <c r="D6878" s="2">
        <v>41453</v>
      </c>
      <c r="E6878" s="1" t="s">
        <v>13757</v>
      </c>
      <c r="F6878" s="1" t="s">
        <v>13</v>
      </c>
    </row>
    <row r="6879" spans="1:6" ht="30" customHeight="1" x14ac:dyDescent="0.25">
      <c r="A6879" s="1" t="s">
        <v>13758</v>
      </c>
      <c r="B6879" s="1" t="str">
        <f>"9780826109552"</f>
        <v>9780826109552</v>
      </c>
      <c r="C6879" s="1" t="s">
        <v>2339</v>
      </c>
      <c r="D6879" s="2">
        <v>41483</v>
      </c>
      <c r="E6879" s="1" t="s">
        <v>13759</v>
      </c>
      <c r="F6879" s="1" t="s">
        <v>13</v>
      </c>
    </row>
    <row r="6880" spans="1:6" ht="30" customHeight="1" x14ac:dyDescent="0.25">
      <c r="A6880" s="1" t="s">
        <v>13760</v>
      </c>
      <c r="B6880" s="1" t="str">
        <f>"9780826196637"</f>
        <v>9780826196637</v>
      </c>
      <c r="C6880" s="1" t="s">
        <v>2339</v>
      </c>
      <c r="D6880" s="2">
        <v>41477</v>
      </c>
      <c r="E6880" s="1" t="s">
        <v>13761</v>
      </c>
      <c r="F6880" s="1" t="s">
        <v>126</v>
      </c>
    </row>
    <row r="6881" spans="1:6" ht="30" customHeight="1" x14ac:dyDescent="0.25">
      <c r="A6881" s="1" t="s">
        <v>13762</v>
      </c>
      <c r="B6881" s="1" t="str">
        <f>"9789888180875"</f>
        <v>9789888180875</v>
      </c>
      <c r="C6881" s="1" t="s">
        <v>12849</v>
      </c>
      <c r="D6881" s="2">
        <v>41426</v>
      </c>
      <c r="E6881" s="1" t="s">
        <v>13763</v>
      </c>
      <c r="F6881" s="1" t="s">
        <v>13</v>
      </c>
    </row>
    <row r="6882" spans="1:6" ht="30" customHeight="1" x14ac:dyDescent="0.25">
      <c r="A6882" s="1" t="s">
        <v>13764</v>
      </c>
      <c r="B6882" s="1" t="str">
        <f>"9781617051623"</f>
        <v>9781617051623</v>
      </c>
      <c r="C6882" s="1" t="s">
        <v>2342</v>
      </c>
      <c r="D6882" s="2">
        <v>41471</v>
      </c>
      <c r="E6882" s="1" t="s">
        <v>13765</v>
      </c>
      <c r="F6882" s="1" t="s">
        <v>13</v>
      </c>
    </row>
    <row r="6883" spans="1:6" ht="30" customHeight="1" x14ac:dyDescent="0.25">
      <c r="A6883" s="1" t="s">
        <v>13766</v>
      </c>
      <c r="B6883" s="1" t="str">
        <f>"9781617051685"</f>
        <v>9781617051685</v>
      </c>
      <c r="C6883" s="1" t="s">
        <v>2342</v>
      </c>
      <c r="D6883" s="2">
        <v>41483</v>
      </c>
      <c r="E6883" s="1" t="s">
        <v>13767</v>
      </c>
      <c r="F6883" s="1" t="s">
        <v>8901</v>
      </c>
    </row>
    <row r="6884" spans="1:6" ht="30" customHeight="1" x14ac:dyDescent="0.25">
      <c r="A6884" s="1" t="s">
        <v>13768</v>
      </c>
      <c r="B6884" s="1" t="str">
        <f>"9781608054794"</f>
        <v>9781608054794</v>
      </c>
      <c r="C6884" s="1" t="s">
        <v>11332</v>
      </c>
      <c r="D6884" s="2">
        <v>41451</v>
      </c>
      <c r="E6884" s="1" t="s">
        <v>13769</v>
      </c>
      <c r="F6884" s="1" t="s">
        <v>13</v>
      </c>
    </row>
    <row r="6885" spans="1:6" ht="30" customHeight="1" x14ac:dyDescent="0.25">
      <c r="A6885" s="1" t="s">
        <v>13770</v>
      </c>
      <c r="B6885" s="1" t="str">
        <f>"9781608057283"</f>
        <v>9781608057283</v>
      </c>
      <c r="C6885" s="1" t="s">
        <v>11332</v>
      </c>
      <c r="D6885" s="2">
        <v>41457</v>
      </c>
      <c r="E6885" s="1" t="s">
        <v>13771</v>
      </c>
      <c r="F6885" s="1" t="s">
        <v>13</v>
      </c>
    </row>
    <row r="6886" spans="1:6" ht="30" customHeight="1" x14ac:dyDescent="0.25">
      <c r="A6886" s="1" t="s">
        <v>13772</v>
      </c>
      <c r="B6886" s="1" t="str">
        <f>"9781118678930"</f>
        <v>9781118678930</v>
      </c>
      <c r="C6886" s="1" t="s">
        <v>65</v>
      </c>
      <c r="D6886" s="2">
        <v>41465</v>
      </c>
      <c r="E6886" s="1" t="s">
        <v>13773</v>
      </c>
      <c r="F6886" s="1" t="s">
        <v>13</v>
      </c>
    </row>
    <row r="6887" spans="1:6" ht="30" customHeight="1" x14ac:dyDescent="0.25">
      <c r="A6887" s="1" t="s">
        <v>13774</v>
      </c>
      <c r="B6887" s="1" t="str">
        <f>"9781118670781"</f>
        <v>9781118670781</v>
      </c>
      <c r="C6887" s="1" t="s">
        <v>65</v>
      </c>
      <c r="D6887" s="2">
        <v>41463</v>
      </c>
      <c r="E6887" s="1" t="s">
        <v>13775</v>
      </c>
      <c r="F6887" s="1" t="s">
        <v>13</v>
      </c>
    </row>
    <row r="6888" spans="1:6" ht="30" customHeight="1" x14ac:dyDescent="0.25">
      <c r="A6888" s="1" t="s">
        <v>13776</v>
      </c>
      <c r="B6888" s="1" t="str">
        <f>"9781118689028"</f>
        <v>9781118689028</v>
      </c>
      <c r="C6888" s="1" t="s">
        <v>65</v>
      </c>
      <c r="D6888" s="2">
        <v>41463</v>
      </c>
      <c r="E6888" s="1" t="s">
        <v>13777</v>
      </c>
      <c r="F6888" s="1" t="s">
        <v>13</v>
      </c>
    </row>
    <row r="6889" spans="1:6" ht="30" customHeight="1" x14ac:dyDescent="0.25">
      <c r="A6889" s="1" t="s">
        <v>13778</v>
      </c>
      <c r="B6889" s="1" t="str">
        <f>"9781118684801"</f>
        <v>9781118684801</v>
      </c>
      <c r="C6889" s="1" t="s">
        <v>65</v>
      </c>
      <c r="D6889" s="2">
        <v>41464</v>
      </c>
      <c r="E6889" s="1" t="s">
        <v>13779</v>
      </c>
      <c r="F6889" s="1" t="s">
        <v>6960</v>
      </c>
    </row>
    <row r="6890" spans="1:6" ht="30" customHeight="1" x14ac:dyDescent="0.25">
      <c r="A6890" s="1" t="s">
        <v>13780</v>
      </c>
      <c r="B6890" s="1" t="str">
        <f>"9781118713457"</f>
        <v>9781118713457</v>
      </c>
      <c r="C6890" s="1" t="s">
        <v>65</v>
      </c>
      <c r="D6890" s="2">
        <v>41463</v>
      </c>
      <c r="E6890" s="1" t="s">
        <v>13781</v>
      </c>
      <c r="F6890" s="1" t="s">
        <v>13</v>
      </c>
    </row>
    <row r="6891" spans="1:6" ht="30" customHeight="1" x14ac:dyDescent="0.25">
      <c r="A6891" s="1" t="s">
        <v>13782</v>
      </c>
      <c r="B6891" s="1" t="str">
        <f>"9781118592281"</f>
        <v>9781118592281</v>
      </c>
      <c r="C6891" s="1" t="s">
        <v>65</v>
      </c>
      <c r="D6891" s="2">
        <v>41472</v>
      </c>
      <c r="E6891" s="1" t="s">
        <v>13783</v>
      </c>
      <c r="F6891" s="1" t="s">
        <v>13</v>
      </c>
    </row>
    <row r="6892" spans="1:6" ht="30" customHeight="1" x14ac:dyDescent="0.25">
      <c r="A6892" s="1" t="s">
        <v>13784</v>
      </c>
      <c r="B6892" s="1" t="str">
        <f>"9781118419366"</f>
        <v>9781118419366</v>
      </c>
      <c r="C6892" s="1" t="s">
        <v>65</v>
      </c>
      <c r="D6892" s="2">
        <v>41467</v>
      </c>
      <c r="E6892" s="1" t="s">
        <v>13785</v>
      </c>
      <c r="F6892" s="1" t="s">
        <v>214</v>
      </c>
    </row>
    <row r="6893" spans="1:6" ht="30" customHeight="1" x14ac:dyDescent="0.25">
      <c r="A6893" s="1" t="s">
        <v>13786</v>
      </c>
      <c r="B6893" s="1" t="str">
        <f>"9780821398845"</f>
        <v>9780821398845</v>
      </c>
      <c r="C6893" s="1" t="s">
        <v>6702</v>
      </c>
      <c r="D6893" s="2">
        <v>41275</v>
      </c>
      <c r="E6893" s="1" t="s">
        <v>13787</v>
      </c>
      <c r="F6893" s="1" t="s">
        <v>95</v>
      </c>
    </row>
    <row r="6894" spans="1:6" ht="30" customHeight="1" x14ac:dyDescent="0.25">
      <c r="A6894" s="1" t="s">
        <v>13788</v>
      </c>
      <c r="B6894" s="1" t="str">
        <f>"9780821399323"</f>
        <v>9780821399323</v>
      </c>
      <c r="C6894" s="1" t="s">
        <v>6702</v>
      </c>
      <c r="D6894" s="2">
        <v>41275</v>
      </c>
      <c r="E6894" s="1" t="s">
        <v>13789</v>
      </c>
      <c r="F6894" s="1" t="s">
        <v>158</v>
      </c>
    </row>
    <row r="6895" spans="1:6" ht="30" customHeight="1" x14ac:dyDescent="0.25">
      <c r="A6895" s="1" t="s">
        <v>13790</v>
      </c>
      <c r="B6895" s="1" t="str">
        <f>"9789004252936"</f>
        <v>9789004252936</v>
      </c>
      <c r="C6895" s="1" t="s">
        <v>906</v>
      </c>
      <c r="D6895" s="2">
        <v>41773</v>
      </c>
      <c r="E6895" s="1" t="s">
        <v>13791</v>
      </c>
      <c r="F6895" s="1" t="s">
        <v>70</v>
      </c>
    </row>
    <row r="6896" spans="1:6" ht="30" customHeight="1" x14ac:dyDescent="0.25">
      <c r="A6896" s="1" t="s">
        <v>13792</v>
      </c>
      <c r="B6896" s="1" t="str">
        <f>"9783527649631"</f>
        <v>9783527649631</v>
      </c>
      <c r="C6896" s="1" t="s">
        <v>65</v>
      </c>
      <c r="D6896" s="2">
        <v>41467</v>
      </c>
      <c r="E6896" s="1" t="s">
        <v>13793</v>
      </c>
      <c r="F6896" s="1" t="s">
        <v>13</v>
      </c>
    </row>
    <row r="6897" spans="1:6" ht="30" customHeight="1" x14ac:dyDescent="0.25">
      <c r="A6897" s="1" t="s">
        <v>13794</v>
      </c>
      <c r="B6897" s="1" t="str">
        <f>"9781118316320"</f>
        <v>9781118316320</v>
      </c>
      <c r="C6897" s="1" t="s">
        <v>65</v>
      </c>
      <c r="D6897" s="2">
        <v>41470</v>
      </c>
      <c r="E6897" s="1" t="s">
        <v>13795</v>
      </c>
      <c r="F6897" s="1" t="s">
        <v>13</v>
      </c>
    </row>
    <row r="6898" spans="1:6" ht="30" customHeight="1" x14ac:dyDescent="0.25">
      <c r="A6898" s="1" t="s">
        <v>13796</v>
      </c>
      <c r="B6898" s="1" t="str">
        <f>"9780826109644"</f>
        <v>9780826109644</v>
      </c>
      <c r="C6898" s="1" t="s">
        <v>2339</v>
      </c>
      <c r="D6898" s="2">
        <v>41483</v>
      </c>
      <c r="E6898" s="1" t="s">
        <v>13797</v>
      </c>
      <c r="F6898" s="1" t="s">
        <v>95</v>
      </c>
    </row>
    <row r="6899" spans="1:6" ht="30" customHeight="1" x14ac:dyDescent="0.25">
      <c r="A6899" s="1" t="s">
        <v>13798</v>
      </c>
      <c r="B6899" s="1" t="str">
        <f>"9781118676011"</f>
        <v>9781118676011</v>
      </c>
      <c r="C6899" s="1" t="s">
        <v>65</v>
      </c>
      <c r="D6899" s="2">
        <v>41551</v>
      </c>
      <c r="E6899" s="1" t="s">
        <v>13799</v>
      </c>
      <c r="F6899" s="1" t="s">
        <v>13</v>
      </c>
    </row>
    <row r="6900" spans="1:6" ht="30" customHeight="1" x14ac:dyDescent="0.25">
      <c r="A6900" s="1" t="s">
        <v>13800</v>
      </c>
      <c r="B6900" s="1" t="str">
        <f>"9781442217096"</f>
        <v>9781442217096</v>
      </c>
      <c r="C6900" s="1" t="s">
        <v>8723</v>
      </c>
      <c r="D6900" s="2">
        <v>41228</v>
      </c>
      <c r="E6900" s="1" t="s">
        <v>13801</v>
      </c>
      <c r="F6900" s="1" t="s">
        <v>205</v>
      </c>
    </row>
    <row r="6901" spans="1:6" ht="30" customHeight="1" x14ac:dyDescent="0.25">
      <c r="A6901" s="1" t="s">
        <v>13802</v>
      </c>
      <c r="B6901" s="1" t="str">
        <f>"9780124157651"</f>
        <v>9780124157651</v>
      </c>
      <c r="C6901" s="1" t="s">
        <v>900</v>
      </c>
      <c r="D6901" s="2">
        <v>41395</v>
      </c>
      <c r="E6901" s="1" t="s">
        <v>13803</v>
      </c>
      <c r="F6901" s="1" t="s">
        <v>148</v>
      </c>
    </row>
    <row r="6902" spans="1:6" ht="30" customHeight="1" x14ac:dyDescent="0.25">
      <c r="A6902" s="1" t="s">
        <v>13804</v>
      </c>
      <c r="B6902" s="1" t="str">
        <f>"9781118659359"</f>
        <v>9781118659359</v>
      </c>
      <c r="C6902" s="1" t="s">
        <v>65</v>
      </c>
      <c r="D6902" s="2">
        <v>41470</v>
      </c>
      <c r="E6902" s="1" t="s">
        <v>13805</v>
      </c>
      <c r="F6902" s="1" t="s">
        <v>13</v>
      </c>
    </row>
    <row r="6903" spans="1:6" ht="30" customHeight="1" x14ac:dyDescent="0.25">
      <c r="A6903" s="1" t="s">
        <v>13806</v>
      </c>
      <c r="B6903" s="1" t="str">
        <f>"9780765708748"</f>
        <v>9780765708748</v>
      </c>
      <c r="C6903" s="1" t="s">
        <v>6903</v>
      </c>
      <c r="D6903" s="2">
        <v>41234</v>
      </c>
      <c r="E6903" s="1" t="s">
        <v>13807</v>
      </c>
      <c r="F6903" s="1" t="s">
        <v>291</v>
      </c>
    </row>
    <row r="6904" spans="1:6" ht="30" customHeight="1" x14ac:dyDescent="0.25">
      <c r="A6904" s="1" t="s">
        <v>13808</v>
      </c>
      <c r="B6904" s="1" t="str">
        <f>"9781118637302"</f>
        <v>9781118637302</v>
      </c>
      <c r="C6904" s="1" t="s">
        <v>11</v>
      </c>
      <c r="D6904" s="2">
        <v>41472</v>
      </c>
      <c r="E6904" s="1" t="s">
        <v>13809</v>
      </c>
      <c r="F6904" s="1" t="s">
        <v>13</v>
      </c>
    </row>
    <row r="6905" spans="1:6" ht="30" customHeight="1" x14ac:dyDescent="0.25">
      <c r="A6905" s="1" t="s">
        <v>13810</v>
      </c>
      <c r="B6905" s="1" t="str">
        <f>"9780812698466"</f>
        <v>9780812698466</v>
      </c>
      <c r="C6905" s="1" t="s">
        <v>13811</v>
      </c>
      <c r="D6905" s="2">
        <v>41500</v>
      </c>
      <c r="E6905" s="1" t="s">
        <v>13812</v>
      </c>
      <c r="F6905" s="1" t="s">
        <v>13</v>
      </c>
    </row>
    <row r="6906" spans="1:6" ht="30" customHeight="1" x14ac:dyDescent="0.25">
      <c r="A6906" s="1" t="s">
        <v>13813</v>
      </c>
      <c r="B6906" s="1" t="str">
        <f>"9781118357569"</f>
        <v>9781118357569</v>
      </c>
      <c r="C6906" s="1" t="s">
        <v>65</v>
      </c>
      <c r="D6906" s="2">
        <v>41472</v>
      </c>
      <c r="E6906" s="1" t="s">
        <v>13814</v>
      </c>
      <c r="F6906" s="1" t="s">
        <v>13</v>
      </c>
    </row>
    <row r="6907" spans="1:6" ht="30" customHeight="1" x14ac:dyDescent="0.25">
      <c r="A6907" s="1" t="s">
        <v>13815</v>
      </c>
      <c r="B6907" s="1" t="str">
        <f>"9781846423093"</f>
        <v>9781846423093</v>
      </c>
      <c r="C6907" s="1" t="s">
        <v>2387</v>
      </c>
      <c r="D6907" s="2">
        <v>37210</v>
      </c>
      <c r="E6907" s="1" t="s">
        <v>13816</v>
      </c>
      <c r="F6907" s="1" t="s">
        <v>13</v>
      </c>
    </row>
    <row r="6908" spans="1:6" ht="30" customHeight="1" x14ac:dyDescent="0.25">
      <c r="A6908" s="1" t="s">
        <v>13817</v>
      </c>
      <c r="B6908" s="1" t="str">
        <f>"9781118679494"</f>
        <v>9781118679494</v>
      </c>
      <c r="C6908" s="1" t="s">
        <v>11</v>
      </c>
      <c r="D6908" s="2">
        <v>41477</v>
      </c>
      <c r="E6908" s="1" t="s">
        <v>13818</v>
      </c>
      <c r="F6908" s="1" t="s">
        <v>148</v>
      </c>
    </row>
    <row r="6909" spans="1:6" ht="30" customHeight="1" x14ac:dyDescent="0.25">
      <c r="A6909" s="1" t="s">
        <v>13819</v>
      </c>
      <c r="B6909" s="1" t="str">
        <f>"9781118570074"</f>
        <v>9781118570074</v>
      </c>
      <c r="C6909" s="1" t="s">
        <v>65</v>
      </c>
      <c r="D6909" s="2">
        <v>41477</v>
      </c>
      <c r="E6909" s="1" t="s">
        <v>13820</v>
      </c>
      <c r="F6909" s="1" t="s">
        <v>13</v>
      </c>
    </row>
    <row r="6910" spans="1:6" ht="30" customHeight="1" x14ac:dyDescent="0.25">
      <c r="A6910" s="1" t="s">
        <v>13821</v>
      </c>
      <c r="B6910" s="1" t="str">
        <f>"9781118603994"</f>
        <v>9781118603994</v>
      </c>
      <c r="C6910" s="1" t="s">
        <v>65</v>
      </c>
      <c r="D6910" s="2">
        <v>41478</v>
      </c>
      <c r="E6910" s="1" t="s">
        <v>13822</v>
      </c>
      <c r="F6910" s="1" t="s">
        <v>95</v>
      </c>
    </row>
    <row r="6911" spans="1:6" ht="30" customHeight="1" x14ac:dyDescent="0.25">
      <c r="A6911" s="1" t="s">
        <v>13823</v>
      </c>
      <c r="B6911" s="1" t="str">
        <f>"9781608826704"</f>
        <v>9781608826704</v>
      </c>
      <c r="C6911" s="1" t="s">
        <v>10294</v>
      </c>
      <c r="D6911" s="2">
        <v>41518</v>
      </c>
      <c r="E6911" s="1" t="s">
        <v>13824</v>
      </c>
      <c r="F6911" s="1" t="s">
        <v>13</v>
      </c>
    </row>
    <row r="6912" spans="1:6" ht="30" customHeight="1" x14ac:dyDescent="0.25">
      <c r="A6912" s="1" t="s">
        <v>13825</v>
      </c>
      <c r="B6912" s="1" t="str">
        <f>"9780739175194"</f>
        <v>9780739175194</v>
      </c>
      <c r="C6912" s="1" t="s">
        <v>9841</v>
      </c>
      <c r="D6912" s="2">
        <v>41501</v>
      </c>
      <c r="E6912" s="1" t="s">
        <v>13826</v>
      </c>
      <c r="F6912" s="1" t="s">
        <v>13</v>
      </c>
    </row>
    <row r="6913" spans="1:6" ht="30" customHeight="1" x14ac:dyDescent="0.25">
      <c r="A6913" s="1" t="s">
        <v>13827</v>
      </c>
      <c r="B6913" s="1" t="str">
        <f>"9781118674956"</f>
        <v>9781118674956</v>
      </c>
      <c r="C6913" s="1" t="s">
        <v>11</v>
      </c>
      <c r="D6913" s="2">
        <v>41480</v>
      </c>
      <c r="E6913" s="1" t="s">
        <v>13828</v>
      </c>
      <c r="F6913" s="1" t="s">
        <v>13</v>
      </c>
    </row>
    <row r="6914" spans="1:6" ht="30" customHeight="1" x14ac:dyDescent="0.25">
      <c r="A6914" s="1" t="s">
        <v>13829</v>
      </c>
      <c r="B6914" s="1" t="str">
        <f>"9781118344804"</f>
        <v>9781118344804</v>
      </c>
      <c r="C6914" s="1" t="s">
        <v>65</v>
      </c>
      <c r="D6914" s="2">
        <v>41481</v>
      </c>
      <c r="E6914" s="1" t="s">
        <v>13830</v>
      </c>
      <c r="F6914" s="1" t="s">
        <v>13</v>
      </c>
    </row>
    <row r="6915" spans="1:6" ht="30" customHeight="1" x14ac:dyDescent="0.25">
      <c r="A6915" s="1" t="s">
        <v>13831</v>
      </c>
      <c r="B6915" s="1" t="str">
        <f>"9781400848461"</f>
        <v>9781400848461</v>
      </c>
      <c r="C6915" s="1" t="s">
        <v>6462</v>
      </c>
      <c r="D6915" s="2">
        <v>41574</v>
      </c>
      <c r="E6915" s="1" t="s">
        <v>13832</v>
      </c>
      <c r="F6915" s="1" t="s">
        <v>33</v>
      </c>
    </row>
    <row r="6916" spans="1:6" ht="30" customHeight="1" x14ac:dyDescent="0.25">
      <c r="A6916" s="1" t="s">
        <v>13833</v>
      </c>
      <c r="B6916" s="1" t="str">
        <f>"9780123964779"</f>
        <v>9780123964779</v>
      </c>
      <c r="C6916" s="1" t="s">
        <v>900</v>
      </c>
      <c r="D6916" s="2">
        <v>41481</v>
      </c>
      <c r="E6916" s="1" t="s">
        <v>13834</v>
      </c>
      <c r="F6916" s="1" t="s">
        <v>356</v>
      </c>
    </row>
    <row r="6917" spans="1:6" ht="30" customHeight="1" x14ac:dyDescent="0.25">
      <c r="A6917" s="1" t="s">
        <v>13835</v>
      </c>
      <c r="B6917" s="1" t="str">
        <f>"9781118384763"</f>
        <v>9781118384763</v>
      </c>
      <c r="C6917" s="1" t="s">
        <v>65</v>
      </c>
      <c r="D6917" s="2">
        <v>41484</v>
      </c>
      <c r="E6917" s="1" t="s">
        <v>13836</v>
      </c>
      <c r="F6917" s="1" t="s">
        <v>13</v>
      </c>
    </row>
    <row r="6918" spans="1:6" ht="30" customHeight="1" x14ac:dyDescent="0.25">
      <c r="A6918" s="1" t="s">
        <v>13837</v>
      </c>
      <c r="B6918" s="1" t="str">
        <f>"9781118660331"</f>
        <v>9781118660331</v>
      </c>
      <c r="C6918" s="1" t="s">
        <v>11</v>
      </c>
      <c r="D6918" s="2">
        <v>41486</v>
      </c>
      <c r="E6918" s="1" t="s">
        <v>13838</v>
      </c>
      <c r="F6918" s="1" t="s">
        <v>13</v>
      </c>
    </row>
    <row r="6919" spans="1:6" ht="30" customHeight="1" x14ac:dyDescent="0.25">
      <c r="A6919" s="1" t="s">
        <v>13839</v>
      </c>
      <c r="B6919" s="1" t="str">
        <f>"9781409469797"</f>
        <v>9781409469797</v>
      </c>
      <c r="C6919" s="1" t="s">
        <v>6126</v>
      </c>
      <c r="D6919" s="2">
        <v>41519</v>
      </c>
      <c r="E6919" s="1" t="s">
        <v>13840</v>
      </c>
      <c r="F6919" s="1" t="s">
        <v>95</v>
      </c>
    </row>
    <row r="6920" spans="1:6" ht="30" customHeight="1" x14ac:dyDescent="0.25">
      <c r="A6920" s="1" t="s">
        <v>13841</v>
      </c>
      <c r="B6920" s="1" t="str">
        <f>"9781608057498"</f>
        <v>9781608057498</v>
      </c>
      <c r="C6920" s="1" t="s">
        <v>11332</v>
      </c>
      <c r="D6920" s="2">
        <v>41474</v>
      </c>
      <c r="E6920" s="1" t="s">
        <v>13842</v>
      </c>
      <c r="F6920" s="1" t="s">
        <v>13</v>
      </c>
    </row>
    <row r="6921" spans="1:6" ht="30" customHeight="1" x14ac:dyDescent="0.25">
      <c r="A6921" s="1" t="s">
        <v>13843</v>
      </c>
      <c r="B6921" s="1" t="str">
        <f>"9781938134142"</f>
        <v>9781938134142</v>
      </c>
      <c r="C6921" s="1" t="s">
        <v>13844</v>
      </c>
      <c r="D6921" s="2">
        <v>41773</v>
      </c>
      <c r="E6921" s="1" t="s">
        <v>13845</v>
      </c>
      <c r="F6921" s="1" t="s">
        <v>904</v>
      </c>
    </row>
    <row r="6922" spans="1:6" ht="30" customHeight="1" x14ac:dyDescent="0.25">
      <c r="A6922" s="1" t="s">
        <v>13846</v>
      </c>
      <c r="B6922" s="1" t="str">
        <f>"9781617051401"</f>
        <v>9781617051401</v>
      </c>
      <c r="C6922" s="1" t="s">
        <v>2342</v>
      </c>
      <c r="D6922" s="2">
        <v>41514</v>
      </c>
      <c r="E6922" s="1" t="s">
        <v>13847</v>
      </c>
      <c r="F6922" s="1" t="s">
        <v>33</v>
      </c>
    </row>
    <row r="6923" spans="1:6" ht="30" customHeight="1" x14ac:dyDescent="0.25">
      <c r="A6923" s="1" t="s">
        <v>13848</v>
      </c>
      <c r="B6923" s="1" t="str">
        <f>"9781617051722"</f>
        <v>9781617051722</v>
      </c>
      <c r="C6923" s="1" t="s">
        <v>2342</v>
      </c>
      <c r="D6923" s="2">
        <v>41514</v>
      </c>
      <c r="E6923" s="1" t="s">
        <v>13849</v>
      </c>
      <c r="F6923" s="1" t="s">
        <v>13</v>
      </c>
    </row>
    <row r="6924" spans="1:6" ht="30" customHeight="1" x14ac:dyDescent="0.25">
      <c r="A6924" s="1" t="s">
        <v>13850</v>
      </c>
      <c r="B6924" s="1" t="str">
        <f>"9781617051272"</f>
        <v>9781617051272</v>
      </c>
      <c r="C6924" s="1" t="s">
        <v>2342</v>
      </c>
      <c r="D6924" s="2">
        <v>41443</v>
      </c>
      <c r="E6924" s="1" t="s">
        <v>13851</v>
      </c>
      <c r="F6924" s="1" t="s">
        <v>13</v>
      </c>
    </row>
    <row r="6925" spans="1:6" ht="30" customHeight="1" x14ac:dyDescent="0.25">
      <c r="A6925" s="1" t="s">
        <v>13852</v>
      </c>
      <c r="B6925" s="1" t="str">
        <f>"9780826110220"</f>
        <v>9780826110220</v>
      </c>
      <c r="C6925" s="1" t="s">
        <v>2339</v>
      </c>
      <c r="D6925" s="2">
        <v>41481</v>
      </c>
      <c r="E6925" s="1" t="s">
        <v>13853</v>
      </c>
      <c r="F6925" s="1" t="s">
        <v>158</v>
      </c>
    </row>
    <row r="6926" spans="1:6" ht="30" customHeight="1" x14ac:dyDescent="0.25">
      <c r="A6926" s="1" t="s">
        <v>13854</v>
      </c>
      <c r="B6926" s="1" t="str">
        <f>"9780826117939"</f>
        <v>9780826117939</v>
      </c>
      <c r="C6926" s="1" t="s">
        <v>2339</v>
      </c>
      <c r="D6926" s="2">
        <v>41493</v>
      </c>
      <c r="E6926" s="1" t="s">
        <v>13855</v>
      </c>
      <c r="F6926" s="1" t="s">
        <v>126</v>
      </c>
    </row>
    <row r="6927" spans="1:6" ht="30" customHeight="1" x14ac:dyDescent="0.25">
      <c r="A6927" s="1" t="s">
        <v>13856</v>
      </c>
      <c r="B6927" s="1" t="str">
        <f>"9780826134257"</f>
        <v>9780826134257</v>
      </c>
      <c r="C6927" s="1" t="s">
        <v>2339</v>
      </c>
      <c r="D6927" s="2">
        <v>41498</v>
      </c>
      <c r="E6927" s="1" t="s">
        <v>13857</v>
      </c>
      <c r="F6927" s="1" t="s">
        <v>126</v>
      </c>
    </row>
    <row r="6928" spans="1:6" ht="30" customHeight="1" x14ac:dyDescent="0.25">
      <c r="A6928" s="1" t="s">
        <v>13858</v>
      </c>
      <c r="B6928" s="1" t="str">
        <f>"9780826108777"</f>
        <v>9780826108777</v>
      </c>
      <c r="C6928" s="1" t="s">
        <v>2339</v>
      </c>
      <c r="D6928" s="2">
        <v>41481</v>
      </c>
      <c r="E6928" s="1" t="s">
        <v>13859</v>
      </c>
      <c r="F6928" s="1" t="s">
        <v>95</v>
      </c>
    </row>
    <row r="6929" spans="1:6" ht="30" customHeight="1" x14ac:dyDescent="0.25">
      <c r="A6929" s="1" t="s">
        <v>13860</v>
      </c>
      <c r="B6929" s="1" t="str">
        <f>"9780826110480"</f>
        <v>9780826110480</v>
      </c>
      <c r="C6929" s="1" t="s">
        <v>2339</v>
      </c>
      <c r="D6929" s="2">
        <v>41334</v>
      </c>
      <c r="E6929" s="1" t="s">
        <v>13861</v>
      </c>
      <c r="F6929" s="1" t="s">
        <v>126</v>
      </c>
    </row>
    <row r="6930" spans="1:6" ht="30" customHeight="1" x14ac:dyDescent="0.25">
      <c r="A6930" s="1" t="s">
        <v>13862</v>
      </c>
      <c r="B6930" s="1" t="str">
        <f>"9780826171221"</f>
        <v>9780826171221</v>
      </c>
      <c r="C6930" s="1" t="s">
        <v>2339</v>
      </c>
      <c r="D6930" s="2">
        <v>41484</v>
      </c>
      <c r="E6930" s="1" t="s">
        <v>13863</v>
      </c>
      <c r="F6930" s="1" t="s">
        <v>30</v>
      </c>
    </row>
    <row r="6931" spans="1:6" ht="30" customHeight="1" x14ac:dyDescent="0.25">
      <c r="A6931" s="1" t="s">
        <v>13864</v>
      </c>
      <c r="B6931" s="1" t="str">
        <f>"9780826199140"</f>
        <v>9780826199140</v>
      </c>
      <c r="C6931" s="1" t="s">
        <v>2339</v>
      </c>
      <c r="D6931" s="2">
        <v>41547</v>
      </c>
      <c r="E6931" s="1" t="s">
        <v>13865</v>
      </c>
      <c r="F6931" s="1" t="s">
        <v>126</v>
      </c>
    </row>
    <row r="6932" spans="1:6" ht="30" customHeight="1" x14ac:dyDescent="0.25">
      <c r="A6932" s="1" t="s">
        <v>13866</v>
      </c>
      <c r="B6932" s="1" t="str">
        <f>"9780826199416"</f>
        <v>9780826199416</v>
      </c>
      <c r="C6932" s="1" t="s">
        <v>2339</v>
      </c>
      <c r="D6932" s="2">
        <v>41470</v>
      </c>
      <c r="E6932" s="1" t="s">
        <v>13867</v>
      </c>
      <c r="F6932" s="1" t="s">
        <v>13</v>
      </c>
    </row>
    <row r="6933" spans="1:6" ht="30" customHeight="1" x14ac:dyDescent="0.25">
      <c r="A6933" s="1" t="s">
        <v>13868</v>
      </c>
      <c r="B6933" s="1" t="str">
        <f>"9781617051197"</f>
        <v>9781617051197</v>
      </c>
      <c r="C6933" s="1" t="s">
        <v>2342</v>
      </c>
      <c r="D6933" s="2">
        <v>41514</v>
      </c>
      <c r="E6933" s="1" t="s">
        <v>13869</v>
      </c>
      <c r="F6933" s="1" t="s">
        <v>13</v>
      </c>
    </row>
    <row r="6934" spans="1:6" ht="30" customHeight="1" x14ac:dyDescent="0.25">
      <c r="A6934" s="1" t="s">
        <v>13870</v>
      </c>
      <c r="B6934" s="1" t="str">
        <f>"9780520954632"</f>
        <v>9780520954632</v>
      </c>
      <c r="C6934" s="1" t="s">
        <v>818</v>
      </c>
      <c r="D6934" s="2">
        <v>41524</v>
      </c>
      <c r="E6934" s="1" t="s">
        <v>13871</v>
      </c>
      <c r="F6934" s="1" t="s">
        <v>95</v>
      </c>
    </row>
    <row r="6935" spans="1:6" ht="30" customHeight="1" x14ac:dyDescent="0.25">
      <c r="A6935" s="1" t="s">
        <v>13872</v>
      </c>
      <c r="B6935" s="1" t="str">
        <f>"9781781906347"</f>
        <v>9781781906347</v>
      </c>
      <c r="C6935" s="1" t="s">
        <v>971</v>
      </c>
      <c r="D6935" s="2">
        <v>41500</v>
      </c>
      <c r="E6935" s="1" t="s">
        <v>13873</v>
      </c>
      <c r="F6935" s="1" t="s">
        <v>95</v>
      </c>
    </row>
    <row r="6936" spans="1:6" ht="30" customHeight="1" x14ac:dyDescent="0.25">
      <c r="A6936" s="1" t="s">
        <v>13874</v>
      </c>
      <c r="B6936" s="1" t="str">
        <f>"9781118528525"</f>
        <v>9781118528525</v>
      </c>
      <c r="C6936" s="1" t="s">
        <v>65</v>
      </c>
      <c r="D6936" s="2">
        <v>41494</v>
      </c>
      <c r="E6936" s="1" t="s">
        <v>13875</v>
      </c>
      <c r="F6936" s="1" t="s">
        <v>13</v>
      </c>
    </row>
    <row r="6937" spans="1:6" ht="30" customHeight="1" x14ac:dyDescent="0.25">
      <c r="A6937" s="1" t="s">
        <v>13876</v>
      </c>
      <c r="B6937" s="1" t="str">
        <f>"9781118751190"</f>
        <v>9781118751190</v>
      </c>
      <c r="C6937" s="1" t="s">
        <v>65</v>
      </c>
      <c r="D6937" s="2">
        <v>41498</v>
      </c>
      <c r="E6937" s="1" t="s">
        <v>13877</v>
      </c>
      <c r="F6937" s="1" t="s">
        <v>13</v>
      </c>
    </row>
    <row r="6938" spans="1:6" ht="30" customHeight="1" x14ac:dyDescent="0.25">
      <c r="A6938" s="1" t="s">
        <v>13878</v>
      </c>
      <c r="B6938" s="1" t="str">
        <f>"9780826134271"</f>
        <v>9780826134271</v>
      </c>
      <c r="C6938" s="1" t="s">
        <v>2339</v>
      </c>
      <c r="D6938" s="2">
        <v>41498</v>
      </c>
      <c r="E6938" s="1" t="s">
        <v>13879</v>
      </c>
      <c r="F6938" s="1" t="s">
        <v>126</v>
      </c>
    </row>
    <row r="6939" spans="1:6" ht="30" customHeight="1" x14ac:dyDescent="0.25">
      <c r="A6939" s="1" t="s">
        <v>13880</v>
      </c>
      <c r="B6939" s="1" t="str">
        <f>"9780742576162"</f>
        <v>9780742576162</v>
      </c>
      <c r="C6939" s="1" t="s">
        <v>8723</v>
      </c>
      <c r="D6939" s="2">
        <v>38783</v>
      </c>
      <c r="E6939" s="1" t="s">
        <v>13881</v>
      </c>
      <c r="F6939" s="1" t="s">
        <v>205</v>
      </c>
    </row>
    <row r="6940" spans="1:6" ht="30" customHeight="1" x14ac:dyDescent="0.25">
      <c r="A6940" s="1" t="s">
        <v>13882</v>
      </c>
      <c r="B6940" s="1" t="str">
        <f>"9780826120076"</f>
        <v>9780826120076</v>
      </c>
      <c r="C6940" s="1" t="s">
        <v>2339</v>
      </c>
      <c r="D6940" s="2">
        <v>41501</v>
      </c>
      <c r="E6940" s="1" t="s">
        <v>13883</v>
      </c>
      <c r="F6940" s="1" t="s">
        <v>13</v>
      </c>
    </row>
    <row r="6941" spans="1:6" ht="30" customHeight="1" x14ac:dyDescent="0.25">
      <c r="A6941" s="1" t="s">
        <v>13884</v>
      </c>
      <c r="B6941" s="1" t="str">
        <f>"9780826195821"</f>
        <v>9780826195821</v>
      </c>
      <c r="C6941" s="1" t="s">
        <v>2339</v>
      </c>
      <c r="D6941" s="2">
        <v>41494</v>
      </c>
      <c r="E6941" s="1" t="s">
        <v>13885</v>
      </c>
      <c r="F6941" s="1" t="s">
        <v>13</v>
      </c>
    </row>
    <row r="6942" spans="1:6" ht="30" customHeight="1" x14ac:dyDescent="0.25">
      <c r="A6942" s="1" t="s">
        <v>13886</v>
      </c>
      <c r="B6942" s="1" t="str">
        <f>"9780820346212"</f>
        <v>9780820346212</v>
      </c>
      <c r="C6942" s="1" t="s">
        <v>13887</v>
      </c>
      <c r="D6942" s="2">
        <v>33329</v>
      </c>
      <c r="E6942" s="1" t="s">
        <v>13888</v>
      </c>
      <c r="F6942" s="1" t="s">
        <v>30</v>
      </c>
    </row>
    <row r="6943" spans="1:6" ht="30" customHeight="1" x14ac:dyDescent="0.25">
      <c r="A6943" s="1" t="s">
        <v>13889</v>
      </c>
      <c r="B6943" s="1" t="str">
        <f>"9789788431503"</f>
        <v>9789788431503</v>
      </c>
      <c r="C6943" s="1" t="s">
        <v>13890</v>
      </c>
      <c r="D6943" s="2">
        <v>41130</v>
      </c>
      <c r="E6943" s="1" t="s">
        <v>13891</v>
      </c>
      <c r="F6943" s="1" t="s">
        <v>1879</v>
      </c>
    </row>
    <row r="6944" spans="1:6" ht="30" customHeight="1" x14ac:dyDescent="0.25">
      <c r="A6944" s="1" t="s">
        <v>13892</v>
      </c>
      <c r="B6944" s="1" t="str">
        <f>"9789788431565"</f>
        <v>9789788431565</v>
      </c>
      <c r="C6944" s="1" t="s">
        <v>13890</v>
      </c>
      <c r="D6944" s="2">
        <v>40764</v>
      </c>
      <c r="E6944" s="1" t="s">
        <v>13893</v>
      </c>
      <c r="F6944" s="1" t="s">
        <v>268</v>
      </c>
    </row>
    <row r="6945" spans="1:6" ht="30" customHeight="1" x14ac:dyDescent="0.25">
      <c r="A6945" s="1" t="s">
        <v>13894</v>
      </c>
      <c r="B6945" s="1" t="str">
        <f>"9780826109767"</f>
        <v>9780826109767</v>
      </c>
      <c r="C6945" s="1" t="s">
        <v>2339</v>
      </c>
      <c r="D6945" s="2">
        <v>41507</v>
      </c>
      <c r="E6945" s="1" t="s">
        <v>13895</v>
      </c>
      <c r="F6945" s="1" t="s">
        <v>13</v>
      </c>
    </row>
    <row r="6946" spans="1:6" ht="30" customHeight="1" x14ac:dyDescent="0.25">
      <c r="A6946" s="1" t="s">
        <v>13896</v>
      </c>
      <c r="B6946" s="1" t="str">
        <f>"9780809388592"</f>
        <v>9780809388592</v>
      </c>
      <c r="C6946" s="1" t="s">
        <v>13897</v>
      </c>
      <c r="D6946" s="2">
        <v>41786</v>
      </c>
      <c r="E6946" s="1" t="s">
        <v>13898</v>
      </c>
      <c r="F6946" s="1" t="s">
        <v>13</v>
      </c>
    </row>
    <row r="6947" spans="1:6" ht="30" customHeight="1" x14ac:dyDescent="0.25">
      <c r="A6947" s="1" t="s">
        <v>13899</v>
      </c>
      <c r="B6947" s="1" t="str">
        <f>"9780809387878"</f>
        <v>9780809387878</v>
      </c>
      <c r="C6947" s="1" t="s">
        <v>13897</v>
      </c>
      <c r="D6947" s="2">
        <v>40664</v>
      </c>
      <c r="E6947" s="1" t="s">
        <v>13900</v>
      </c>
      <c r="F6947" s="1" t="s">
        <v>10335</v>
      </c>
    </row>
    <row r="6948" spans="1:6" ht="30" customHeight="1" x14ac:dyDescent="0.25">
      <c r="A6948" s="1" t="s">
        <v>13901</v>
      </c>
      <c r="B6948" s="1" t="str">
        <f>"9780809386260"</f>
        <v>9780809386260</v>
      </c>
      <c r="C6948" s="1" t="s">
        <v>13897</v>
      </c>
      <c r="D6948" s="2">
        <v>39629</v>
      </c>
      <c r="E6948" s="1" t="s">
        <v>13902</v>
      </c>
      <c r="F6948" s="1" t="s">
        <v>13</v>
      </c>
    </row>
    <row r="6949" spans="1:6" ht="30" customHeight="1" x14ac:dyDescent="0.25">
      <c r="A6949" s="1" t="s">
        <v>13903</v>
      </c>
      <c r="B6949" s="1" t="str">
        <f>"9781118636848"</f>
        <v>9781118636848</v>
      </c>
      <c r="C6949" s="1" t="s">
        <v>65</v>
      </c>
      <c r="D6949" s="2">
        <v>41501</v>
      </c>
      <c r="E6949" s="1" t="s">
        <v>13904</v>
      </c>
      <c r="F6949" s="1" t="s">
        <v>13</v>
      </c>
    </row>
    <row r="6950" spans="1:6" ht="30" customHeight="1" x14ac:dyDescent="0.25">
      <c r="A6950" s="1" t="s">
        <v>13905</v>
      </c>
      <c r="B6950" s="1" t="str">
        <f>"9781135450892"</f>
        <v>9781135450892</v>
      </c>
      <c r="C6950" s="1" t="s">
        <v>68</v>
      </c>
      <c r="D6950" s="2">
        <v>37421</v>
      </c>
      <c r="E6950" s="1" t="s">
        <v>13906</v>
      </c>
      <c r="F6950" s="1" t="s">
        <v>13</v>
      </c>
    </row>
    <row r="6951" spans="1:6" ht="30" customHeight="1" x14ac:dyDescent="0.25">
      <c r="A6951" s="1" t="s">
        <v>13907</v>
      </c>
      <c r="B6951" s="1" t="str">
        <f>"9780810891555"</f>
        <v>9780810891555</v>
      </c>
      <c r="C6951" s="1" t="s">
        <v>12975</v>
      </c>
      <c r="D6951" s="2">
        <v>41501</v>
      </c>
      <c r="E6951" s="1" t="s">
        <v>13908</v>
      </c>
      <c r="F6951" s="1" t="s">
        <v>13</v>
      </c>
    </row>
    <row r="6952" spans="1:6" ht="30" customHeight="1" x14ac:dyDescent="0.25">
      <c r="A6952" s="1" t="s">
        <v>13909</v>
      </c>
      <c r="B6952" s="1" t="str">
        <f>"9780815724841"</f>
        <v>9780815724841</v>
      </c>
      <c r="C6952" s="1" t="s">
        <v>1509</v>
      </c>
      <c r="D6952" s="2">
        <v>41502</v>
      </c>
      <c r="E6952" s="1" t="s">
        <v>13910</v>
      </c>
      <c r="F6952" s="1" t="s">
        <v>2229</v>
      </c>
    </row>
    <row r="6953" spans="1:6" ht="30" customHeight="1" x14ac:dyDescent="0.25">
      <c r="A6953" s="1" t="s">
        <v>13911</v>
      </c>
      <c r="B6953" s="1" t="str">
        <f>"9780765709837"</f>
        <v>9780765709837</v>
      </c>
      <c r="C6953" s="1" t="s">
        <v>6903</v>
      </c>
      <c r="D6953" s="2">
        <v>41501</v>
      </c>
      <c r="E6953" s="1" t="s">
        <v>13912</v>
      </c>
      <c r="F6953" s="1" t="s">
        <v>13</v>
      </c>
    </row>
    <row r="6954" spans="1:6" ht="30" customHeight="1" x14ac:dyDescent="0.25">
      <c r="A6954" s="1" t="s">
        <v>13913</v>
      </c>
      <c r="B6954" s="1" t="str">
        <f>"9781118418956"</f>
        <v>9781118418956</v>
      </c>
      <c r="C6954" s="1" t="s">
        <v>65</v>
      </c>
      <c r="D6954" s="2">
        <v>41521</v>
      </c>
      <c r="E6954" s="1" t="s">
        <v>13914</v>
      </c>
      <c r="F6954" s="1" t="s">
        <v>304</v>
      </c>
    </row>
    <row r="6955" spans="1:6" ht="30" customHeight="1" x14ac:dyDescent="0.25">
      <c r="A6955" s="1" t="s">
        <v>13915</v>
      </c>
      <c r="B6955" s="1" t="str">
        <f>"9781118451816"</f>
        <v>9781118451816</v>
      </c>
      <c r="C6955" s="1" t="s">
        <v>65</v>
      </c>
      <c r="D6955" s="2">
        <v>41493</v>
      </c>
      <c r="E6955" s="1" t="s">
        <v>13916</v>
      </c>
      <c r="F6955" s="1" t="s">
        <v>13</v>
      </c>
    </row>
    <row r="6956" spans="1:6" ht="30" customHeight="1" x14ac:dyDescent="0.25">
      <c r="A6956" s="1" t="s">
        <v>13917</v>
      </c>
      <c r="B6956" s="1" t="str">
        <f>"9781452939933"</f>
        <v>9781452939933</v>
      </c>
      <c r="C6956" s="1" t="s">
        <v>3458</v>
      </c>
      <c r="D6956" s="2">
        <v>41518</v>
      </c>
      <c r="E6956" s="1" t="s">
        <v>13918</v>
      </c>
      <c r="F6956" s="1" t="s">
        <v>13</v>
      </c>
    </row>
    <row r="6957" spans="1:6" ht="30" customHeight="1" x14ac:dyDescent="0.25">
      <c r="A6957" s="1" t="s">
        <v>13919</v>
      </c>
      <c r="B6957" s="1" t="str">
        <f>"9781742246574"</f>
        <v>9781742246574</v>
      </c>
      <c r="C6957" s="1" t="s">
        <v>13920</v>
      </c>
      <c r="D6957" s="2">
        <v>41518</v>
      </c>
      <c r="E6957" s="1" t="s">
        <v>13921</v>
      </c>
      <c r="F6957" s="1" t="s">
        <v>95</v>
      </c>
    </row>
    <row r="6958" spans="1:6" ht="30" customHeight="1" x14ac:dyDescent="0.25">
      <c r="A6958" s="1" t="s">
        <v>13922</v>
      </c>
      <c r="B6958" s="1" t="str">
        <f>"9780826110053"</f>
        <v>9780826110053</v>
      </c>
      <c r="C6958" s="1" t="s">
        <v>2339</v>
      </c>
      <c r="D6958" s="2">
        <v>41514</v>
      </c>
      <c r="E6958" s="1" t="s">
        <v>13923</v>
      </c>
      <c r="F6958" s="1" t="s">
        <v>126</v>
      </c>
    </row>
    <row r="6959" spans="1:6" ht="30" customHeight="1" x14ac:dyDescent="0.25">
      <c r="A6959" s="1" t="s">
        <v>13924</v>
      </c>
      <c r="B6959" s="1" t="str">
        <f>"9781628940053"</f>
        <v>9781628940053</v>
      </c>
      <c r="C6959" s="1" t="s">
        <v>3733</v>
      </c>
      <c r="D6959" s="2">
        <v>41515</v>
      </c>
      <c r="E6959" s="1" t="s">
        <v>8454</v>
      </c>
      <c r="F6959" s="1" t="s">
        <v>13</v>
      </c>
    </row>
    <row r="6960" spans="1:6" ht="30" customHeight="1" x14ac:dyDescent="0.25">
      <c r="A6960" s="1" t="s">
        <v>13925</v>
      </c>
      <c r="B6960" s="1" t="str">
        <f>"9780875869681"</f>
        <v>9780875869681</v>
      </c>
      <c r="C6960" s="1" t="s">
        <v>3733</v>
      </c>
      <c r="D6960" s="2">
        <v>41365</v>
      </c>
      <c r="E6960" s="1" t="s">
        <v>13926</v>
      </c>
      <c r="F6960" s="1" t="s">
        <v>95</v>
      </c>
    </row>
    <row r="6961" spans="1:6" ht="30" customHeight="1" x14ac:dyDescent="0.25">
      <c r="A6961" s="1" t="s">
        <v>13927</v>
      </c>
      <c r="B6961" s="1" t="str">
        <f>"9780875869773"</f>
        <v>9780875869773</v>
      </c>
      <c r="C6961" s="1" t="s">
        <v>3733</v>
      </c>
      <c r="D6961" s="2">
        <v>41365</v>
      </c>
      <c r="E6961" s="1" t="s">
        <v>13928</v>
      </c>
      <c r="F6961" s="1" t="s">
        <v>95</v>
      </c>
    </row>
    <row r="6962" spans="1:6" ht="30" customHeight="1" x14ac:dyDescent="0.25">
      <c r="A6962" s="1" t="s">
        <v>13929</v>
      </c>
      <c r="B6962" s="1" t="str">
        <f>"9780199713110"</f>
        <v>9780199713110</v>
      </c>
      <c r="C6962" s="1" t="s">
        <v>1123</v>
      </c>
      <c r="D6962" s="2">
        <v>39783</v>
      </c>
      <c r="E6962" s="1" t="s">
        <v>13930</v>
      </c>
      <c r="F6962" s="1" t="s">
        <v>137</v>
      </c>
    </row>
    <row r="6963" spans="1:6" ht="30" customHeight="1" x14ac:dyDescent="0.25">
      <c r="A6963" s="1" t="s">
        <v>13931</v>
      </c>
      <c r="B6963" s="1" t="str">
        <f>"9781118662830"</f>
        <v>9781118662830</v>
      </c>
      <c r="C6963" s="1" t="s">
        <v>11</v>
      </c>
      <c r="D6963" s="2">
        <v>41527</v>
      </c>
      <c r="E6963" s="1" t="s">
        <v>13932</v>
      </c>
      <c r="F6963" s="1" t="s">
        <v>137</v>
      </c>
    </row>
    <row r="6964" spans="1:6" ht="30" customHeight="1" x14ac:dyDescent="0.25">
      <c r="A6964" s="1" t="s">
        <v>13933</v>
      </c>
      <c r="B6964" s="1" t="str">
        <f>"9780833077257"</f>
        <v>9780833077257</v>
      </c>
      <c r="C6964" s="1" t="s">
        <v>516</v>
      </c>
      <c r="D6964" s="2">
        <v>41326</v>
      </c>
      <c r="E6964" s="1" t="s">
        <v>13934</v>
      </c>
      <c r="F6964" s="1" t="s">
        <v>13</v>
      </c>
    </row>
    <row r="6965" spans="1:6" ht="30" customHeight="1" x14ac:dyDescent="0.25">
      <c r="A6965" s="1" t="s">
        <v>13935</v>
      </c>
      <c r="B6965" s="1" t="str">
        <f>"9780833079992"</f>
        <v>9780833079992</v>
      </c>
      <c r="C6965" s="1" t="s">
        <v>516</v>
      </c>
      <c r="D6965" s="2">
        <v>41347</v>
      </c>
      <c r="E6965" s="1" t="s">
        <v>13936</v>
      </c>
      <c r="F6965" s="1" t="s">
        <v>599</v>
      </c>
    </row>
    <row r="6966" spans="1:6" ht="30" customHeight="1" x14ac:dyDescent="0.25">
      <c r="A6966" s="1" t="s">
        <v>13937</v>
      </c>
      <c r="B6966" s="1" t="str">
        <f>"9780833078193"</f>
        <v>9780833078193</v>
      </c>
      <c r="C6966" s="1" t="s">
        <v>516</v>
      </c>
      <c r="D6966" s="2">
        <v>41393</v>
      </c>
      <c r="E6966" s="1" t="s">
        <v>13938</v>
      </c>
      <c r="F6966" s="1" t="s">
        <v>10335</v>
      </c>
    </row>
    <row r="6967" spans="1:6" ht="30" customHeight="1" x14ac:dyDescent="0.25">
      <c r="A6967" s="1" t="s">
        <v>13939</v>
      </c>
      <c r="B6967" s="1" t="str">
        <f>"9780833077219"</f>
        <v>9780833077219</v>
      </c>
      <c r="C6967" s="1" t="s">
        <v>516</v>
      </c>
      <c r="D6967" s="2">
        <v>41241</v>
      </c>
      <c r="E6967" s="1" t="s">
        <v>13940</v>
      </c>
      <c r="F6967" s="1" t="s">
        <v>2130</v>
      </c>
    </row>
    <row r="6968" spans="1:6" ht="30" customHeight="1" x14ac:dyDescent="0.25">
      <c r="A6968" s="1" t="s">
        <v>13941</v>
      </c>
      <c r="B6968" s="1" t="str">
        <f>"9780833078186"</f>
        <v>9780833078186</v>
      </c>
      <c r="C6968" s="1" t="s">
        <v>516</v>
      </c>
      <c r="D6968" s="2">
        <v>41191</v>
      </c>
      <c r="E6968" s="1" t="s">
        <v>13942</v>
      </c>
      <c r="F6968" s="1" t="s">
        <v>13</v>
      </c>
    </row>
    <row r="6969" spans="1:6" ht="30" customHeight="1" x14ac:dyDescent="0.25">
      <c r="A6969" s="1" t="s">
        <v>13943</v>
      </c>
      <c r="B6969" s="1" t="str">
        <f>"9780833079916"</f>
        <v>9780833079916</v>
      </c>
      <c r="C6969" s="1" t="s">
        <v>516</v>
      </c>
      <c r="D6969" s="2">
        <v>41320</v>
      </c>
      <c r="E6969" s="1" t="s">
        <v>13944</v>
      </c>
      <c r="F6969" s="1" t="s">
        <v>13945</v>
      </c>
    </row>
    <row r="6970" spans="1:6" ht="30" customHeight="1" x14ac:dyDescent="0.25">
      <c r="A6970" s="1" t="s">
        <v>13946</v>
      </c>
      <c r="B6970" s="1" t="str">
        <f>"9780833077974"</f>
        <v>9780833077974</v>
      </c>
      <c r="C6970" s="1" t="s">
        <v>516</v>
      </c>
      <c r="D6970" s="2">
        <v>41411</v>
      </c>
      <c r="E6970" s="1" t="s">
        <v>13947</v>
      </c>
      <c r="F6970" s="1" t="s">
        <v>13</v>
      </c>
    </row>
    <row r="6971" spans="1:6" ht="30" customHeight="1" x14ac:dyDescent="0.25">
      <c r="A6971" s="1" t="s">
        <v>13948</v>
      </c>
      <c r="B6971" s="1" t="str">
        <f>"9780833080806"</f>
        <v>9780833080806</v>
      </c>
      <c r="C6971" s="1" t="s">
        <v>516</v>
      </c>
      <c r="D6971" s="2">
        <v>41414</v>
      </c>
      <c r="E6971" s="1" t="s">
        <v>13949</v>
      </c>
      <c r="F6971" s="1" t="s">
        <v>30</v>
      </c>
    </row>
    <row r="6972" spans="1:6" ht="30" customHeight="1" x14ac:dyDescent="0.25">
      <c r="A6972" s="1" t="s">
        <v>13950</v>
      </c>
      <c r="B6972" s="1" t="str">
        <f>"9781118671344"</f>
        <v>9781118671344</v>
      </c>
      <c r="C6972" s="1" t="s">
        <v>11</v>
      </c>
      <c r="D6972" s="2">
        <v>41514</v>
      </c>
      <c r="E6972" s="1" t="s">
        <v>13951</v>
      </c>
      <c r="F6972" s="1" t="s">
        <v>137</v>
      </c>
    </row>
    <row r="6973" spans="1:6" ht="30" customHeight="1" x14ac:dyDescent="0.25">
      <c r="A6973" s="1" t="s">
        <v>7075</v>
      </c>
      <c r="B6973" s="1" t="str">
        <f>"9781118699171"</f>
        <v>9781118699171</v>
      </c>
      <c r="C6973" s="1" t="s">
        <v>65</v>
      </c>
      <c r="D6973" s="2">
        <v>41520</v>
      </c>
      <c r="E6973" s="1" t="s">
        <v>7076</v>
      </c>
      <c r="F6973" s="1" t="s">
        <v>13</v>
      </c>
    </row>
    <row r="6974" spans="1:6" ht="30" customHeight="1" x14ac:dyDescent="0.25">
      <c r="A6974" s="1" t="s">
        <v>13952</v>
      </c>
      <c r="B6974" s="1" t="str">
        <f>"9781118695036"</f>
        <v>9781118695036</v>
      </c>
      <c r="C6974" s="1" t="s">
        <v>65</v>
      </c>
      <c r="D6974" s="2">
        <v>41527</v>
      </c>
      <c r="E6974" s="1" t="s">
        <v>13953</v>
      </c>
      <c r="F6974" s="1" t="s">
        <v>268</v>
      </c>
    </row>
    <row r="6975" spans="1:6" ht="30" customHeight="1" x14ac:dyDescent="0.25">
      <c r="A6975" s="1" t="s">
        <v>13954</v>
      </c>
      <c r="B6975" s="1" t="str">
        <f>"9781118493762"</f>
        <v>9781118493762</v>
      </c>
      <c r="C6975" s="1" t="s">
        <v>65</v>
      </c>
      <c r="D6975" s="2">
        <v>41491</v>
      </c>
      <c r="E6975" s="1" t="s">
        <v>13955</v>
      </c>
      <c r="F6975" s="1" t="s">
        <v>13</v>
      </c>
    </row>
    <row r="6976" spans="1:6" ht="30" customHeight="1" x14ac:dyDescent="0.25">
      <c r="A6976" s="1" t="s">
        <v>13956</v>
      </c>
      <c r="B6976" s="1" t="str">
        <f>"9781118540503"</f>
        <v>9781118540503</v>
      </c>
      <c r="C6976" s="1" t="s">
        <v>65</v>
      </c>
      <c r="D6976" s="2">
        <v>41478</v>
      </c>
      <c r="E6976" s="1" t="s">
        <v>13957</v>
      </c>
      <c r="F6976" s="1" t="s">
        <v>13</v>
      </c>
    </row>
    <row r="6977" spans="1:6" ht="30" customHeight="1" x14ac:dyDescent="0.25">
      <c r="A6977" s="1" t="s">
        <v>13958</v>
      </c>
      <c r="B6977" s="1" t="str">
        <f>"9781118272114"</f>
        <v>9781118272114</v>
      </c>
      <c r="C6977" s="1" t="s">
        <v>65</v>
      </c>
      <c r="D6977" s="2">
        <v>41484</v>
      </c>
      <c r="E6977" s="1" t="s">
        <v>13959</v>
      </c>
      <c r="F6977" s="1" t="s">
        <v>1568</v>
      </c>
    </row>
    <row r="6978" spans="1:6" ht="30" customHeight="1" x14ac:dyDescent="0.25">
      <c r="A6978" s="1" t="s">
        <v>13960</v>
      </c>
      <c r="B6978" s="1" t="str">
        <f>"9781118473375"</f>
        <v>9781118473375</v>
      </c>
      <c r="C6978" s="1" t="s">
        <v>65</v>
      </c>
      <c r="D6978" s="2">
        <v>41520</v>
      </c>
      <c r="E6978" s="1" t="s">
        <v>13961</v>
      </c>
      <c r="F6978" s="1" t="s">
        <v>268</v>
      </c>
    </row>
    <row r="6979" spans="1:6" ht="30" customHeight="1" x14ac:dyDescent="0.25">
      <c r="A6979" s="1" t="s">
        <v>13962</v>
      </c>
      <c r="B6979" s="1" t="str">
        <f>"9781118751770"</f>
        <v>9781118751770</v>
      </c>
      <c r="C6979" s="1" t="s">
        <v>65</v>
      </c>
      <c r="D6979" s="2">
        <v>41520</v>
      </c>
      <c r="E6979" s="1" t="s">
        <v>13963</v>
      </c>
      <c r="F6979" s="1" t="s">
        <v>13</v>
      </c>
    </row>
    <row r="6980" spans="1:6" ht="30" customHeight="1" x14ac:dyDescent="0.25">
      <c r="A6980" s="1" t="s">
        <v>13964</v>
      </c>
      <c r="B6980" s="1" t="str">
        <f>"9780123948366"</f>
        <v>9780123948366</v>
      </c>
      <c r="C6980" s="1" t="s">
        <v>900</v>
      </c>
      <c r="D6980" s="2">
        <v>41522</v>
      </c>
      <c r="E6980" s="1" t="s">
        <v>13965</v>
      </c>
      <c r="F6980" s="1" t="s">
        <v>13</v>
      </c>
    </row>
    <row r="6981" spans="1:6" ht="30" customHeight="1" x14ac:dyDescent="0.25">
      <c r="A6981" s="1" t="s">
        <v>13966</v>
      </c>
      <c r="B6981" s="1" t="str">
        <f>"9781118786031"</f>
        <v>9781118786031</v>
      </c>
      <c r="C6981" s="1" t="s">
        <v>65</v>
      </c>
      <c r="D6981" s="2">
        <v>41521</v>
      </c>
      <c r="E6981" s="1" t="s">
        <v>13967</v>
      </c>
      <c r="F6981" s="1" t="s">
        <v>13</v>
      </c>
    </row>
    <row r="6982" spans="1:6" ht="30" customHeight="1" x14ac:dyDescent="0.25">
      <c r="A6982" s="1" t="s">
        <v>13968</v>
      </c>
      <c r="B6982" s="1" t="str">
        <f>"9781118829981"</f>
        <v>9781118829981</v>
      </c>
      <c r="C6982" s="1" t="s">
        <v>65</v>
      </c>
      <c r="D6982" s="2">
        <v>41520</v>
      </c>
      <c r="E6982" s="1" t="s">
        <v>13969</v>
      </c>
      <c r="F6982" s="1" t="s">
        <v>30</v>
      </c>
    </row>
    <row r="6983" spans="1:6" ht="30" customHeight="1" x14ac:dyDescent="0.25">
      <c r="A6983" s="1" t="s">
        <v>13970</v>
      </c>
      <c r="B6983" s="1" t="str">
        <f>"9781782411758"</f>
        <v>9781782411758</v>
      </c>
      <c r="C6983" s="1" t="s">
        <v>68</v>
      </c>
      <c r="D6983" s="2">
        <v>41537</v>
      </c>
      <c r="E6983" s="1" t="s">
        <v>13971</v>
      </c>
      <c r="F6983" s="1" t="s">
        <v>13</v>
      </c>
    </row>
    <row r="6984" spans="1:6" ht="30" customHeight="1" x14ac:dyDescent="0.25">
      <c r="A6984" s="1" t="s">
        <v>13972</v>
      </c>
      <c r="B6984" s="1" t="str">
        <f>"9781118553497"</f>
        <v>9781118553497</v>
      </c>
      <c r="C6984" s="1" t="s">
        <v>65</v>
      </c>
      <c r="D6984" s="2">
        <v>41521</v>
      </c>
      <c r="E6984" s="1" t="s">
        <v>13973</v>
      </c>
      <c r="F6984" s="1" t="s">
        <v>13</v>
      </c>
    </row>
    <row r="6985" spans="1:6" ht="30" customHeight="1" x14ac:dyDescent="0.25">
      <c r="A6985" s="1" t="s">
        <v>13974</v>
      </c>
      <c r="B6985" s="1" t="str">
        <f>"9783527659715"</f>
        <v>9783527659715</v>
      </c>
      <c r="C6985" s="1" t="s">
        <v>65</v>
      </c>
      <c r="D6985" s="2">
        <v>41521</v>
      </c>
      <c r="E6985" s="1" t="s">
        <v>13975</v>
      </c>
      <c r="F6985" s="1" t="s">
        <v>137</v>
      </c>
    </row>
    <row r="6986" spans="1:6" ht="30" customHeight="1" x14ac:dyDescent="0.25">
      <c r="A6986" s="1" t="s">
        <v>13976</v>
      </c>
      <c r="B6986" s="1" t="str">
        <f>"9781118419151"</f>
        <v>9781118419151</v>
      </c>
      <c r="C6986" s="1" t="s">
        <v>65</v>
      </c>
      <c r="D6986" s="2">
        <v>41488</v>
      </c>
      <c r="E6986" s="1" t="s">
        <v>13977</v>
      </c>
      <c r="F6986" s="1" t="s">
        <v>13</v>
      </c>
    </row>
    <row r="6987" spans="1:6" ht="30" customHeight="1" x14ac:dyDescent="0.25">
      <c r="A6987" s="1" t="s">
        <v>13978</v>
      </c>
      <c r="B6987" s="1" t="str">
        <f>"9780765709486"</f>
        <v>9780765709486</v>
      </c>
      <c r="C6987" s="1" t="s">
        <v>6903</v>
      </c>
      <c r="D6987" s="2">
        <v>41522</v>
      </c>
      <c r="E6987" s="1" t="s">
        <v>13979</v>
      </c>
      <c r="F6987" s="1" t="s">
        <v>13</v>
      </c>
    </row>
    <row r="6988" spans="1:6" ht="30" customHeight="1" x14ac:dyDescent="0.25">
      <c r="A6988" s="1" t="s">
        <v>13980</v>
      </c>
      <c r="B6988" s="1" t="str">
        <f>"9781118528730"</f>
        <v>9781118528730</v>
      </c>
      <c r="C6988" s="1" t="s">
        <v>11</v>
      </c>
      <c r="D6988" s="2">
        <v>41523</v>
      </c>
      <c r="E6988" s="1" t="s">
        <v>13981</v>
      </c>
      <c r="F6988" s="1" t="s">
        <v>2073</v>
      </c>
    </row>
    <row r="6989" spans="1:6" ht="30" customHeight="1" x14ac:dyDescent="0.25">
      <c r="A6989" s="1" t="s">
        <v>13982</v>
      </c>
      <c r="B6989" s="1" t="str">
        <f>"9789027271501"</f>
        <v>9789027271501</v>
      </c>
      <c r="C6989" s="1" t="s">
        <v>8479</v>
      </c>
      <c r="D6989" s="2">
        <v>41542</v>
      </c>
      <c r="E6989" s="1" t="s">
        <v>13983</v>
      </c>
      <c r="F6989" s="1" t="s">
        <v>70</v>
      </c>
    </row>
    <row r="6990" spans="1:6" ht="30" customHeight="1" x14ac:dyDescent="0.25">
      <c r="A6990" s="1" t="s">
        <v>13984</v>
      </c>
      <c r="B6990" s="1" t="str">
        <f>"9781118760000"</f>
        <v>9781118760000</v>
      </c>
      <c r="C6990" s="1" t="s">
        <v>65</v>
      </c>
      <c r="D6990" s="2">
        <v>41526</v>
      </c>
      <c r="E6990" s="1" t="s">
        <v>13985</v>
      </c>
      <c r="F6990" s="1" t="s">
        <v>13</v>
      </c>
    </row>
    <row r="6991" spans="1:6" ht="30" customHeight="1" x14ac:dyDescent="0.25">
      <c r="A6991" s="1" t="s">
        <v>13986</v>
      </c>
      <c r="B6991" s="1" t="str">
        <f>"9781925078077"</f>
        <v>9781925078077</v>
      </c>
      <c r="C6991" s="1" t="s">
        <v>13987</v>
      </c>
      <c r="D6991" s="2">
        <v>41091</v>
      </c>
      <c r="E6991" s="1" t="s">
        <v>13988</v>
      </c>
      <c r="F6991" s="1" t="s">
        <v>13989</v>
      </c>
    </row>
    <row r="6992" spans="1:6" ht="30" customHeight="1" x14ac:dyDescent="0.25">
      <c r="A6992" s="1" t="s">
        <v>13990</v>
      </c>
      <c r="B6992" s="1" t="str">
        <f>"9781925078084"</f>
        <v>9781925078084</v>
      </c>
      <c r="C6992" s="1" t="s">
        <v>13987</v>
      </c>
      <c r="D6992" s="2">
        <v>41395</v>
      </c>
      <c r="E6992" s="1" t="s">
        <v>13991</v>
      </c>
      <c r="F6992" s="1" t="s">
        <v>13992</v>
      </c>
    </row>
    <row r="6993" spans="1:6" ht="30" customHeight="1" x14ac:dyDescent="0.25">
      <c r="A6993" s="1" t="s">
        <v>13993</v>
      </c>
      <c r="B6993" s="1" t="str">
        <f>"9789240691735"</f>
        <v>9789240691735</v>
      </c>
      <c r="C6993" s="1" t="s">
        <v>1981</v>
      </c>
      <c r="D6993" s="2">
        <v>41485</v>
      </c>
      <c r="E6993" s="1" t="s">
        <v>13994</v>
      </c>
      <c r="F6993" s="1" t="s">
        <v>13</v>
      </c>
    </row>
    <row r="6994" spans="1:6" ht="30" customHeight="1" x14ac:dyDescent="0.25">
      <c r="A6994" s="1" t="s">
        <v>13995</v>
      </c>
      <c r="B6994" s="1" t="str">
        <f>"9781617051005"</f>
        <v>9781617051005</v>
      </c>
      <c r="C6994" s="1" t="s">
        <v>2342</v>
      </c>
      <c r="D6994" s="2">
        <v>41545</v>
      </c>
      <c r="E6994" s="1" t="s">
        <v>13996</v>
      </c>
      <c r="F6994" s="1" t="s">
        <v>13</v>
      </c>
    </row>
    <row r="6995" spans="1:6" ht="30" customHeight="1" x14ac:dyDescent="0.25">
      <c r="A6995" s="1" t="s">
        <v>13997</v>
      </c>
      <c r="B6995" s="1" t="str">
        <f>"9780809381067"</f>
        <v>9780809381067</v>
      </c>
      <c r="C6995" s="1" t="s">
        <v>13897</v>
      </c>
      <c r="D6995" s="2">
        <v>38147</v>
      </c>
      <c r="E6995" s="1" t="s">
        <v>13900</v>
      </c>
      <c r="F6995" s="1" t="s">
        <v>13</v>
      </c>
    </row>
    <row r="6996" spans="1:6" ht="30" customHeight="1" x14ac:dyDescent="0.25">
      <c r="A6996" s="1" t="s">
        <v>13998</v>
      </c>
      <c r="B6996" s="1" t="str">
        <f>"9781118226193"</f>
        <v>9781118226193</v>
      </c>
      <c r="C6996" s="1" t="s">
        <v>65</v>
      </c>
      <c r="D6996" s="2">
        <v>41527</v>
      </c>
      <c r="E6996" s="1" t="s">
        <v>13999</v>
      </c>
      <c r="F6996" s="1" t="s">
        <v>30</v>
      </c>
    </row>
    <row r="6997" spans="1:6" ht="30" customHeight="1" x14ac:dyDescent="0.25">
      <c r="A6997" s="1" t="s">
        <v>14000</v>
      </c>
      <c r="B6997" s="1" t="str">
        <f>"9781118426906"</f>
        <v>9781118426906</v>
      </c>
      <c r="C6997" s="1" t="s">
        <v>65</v>
      </c>
      <c r="D6997" s="2">
        <v>41527</v>
      </c>
      <c r="E6997" s="1" t="s">
        <v>14001</v>
      </c>
      <c r="F6997" s="1" t="s">
        <v>126</v>
      </c>
    </row>
    <row r="6998" spans="1:6" ht="30" customHeight="1" x14ac:dyDescent="0.25">
      <c r="A6998" s="1" t="s">
        <v>14002</v>
      </c>
      <c r="B6998" s="1" t="str">
        <f>"9781118690611"</f>
        <v>9781118690611</v>
      </c>
      <c r="C6998" s="1" t="s">
        <v>65</v>
      </c>
      <c r="D6998" s="2">
        <v>41527</v>
      </c>
      <c r="E6998" s="1" t="s">
        <v>14003</v>
      </c>
      <c r="F6998" s="1" t="s">
        <v>13</v>
      </c>
    </row>
    <row r="6999" spans="1:6" ht="30" customHeight="1" x14ac:dyDescent="0.25">
      <c r="A6999" s="1" t="s">
        <v>14004</v>
      </c>
      <c r="B6999" s="1" t="str">
        <f>"9780191029332"</f>
        <v>9780191029332</v>
      </c>
      <c r="C6999" s="1" t="s">
        <v>1117</v>
      </c>
      <c r="D6999" s="2">
        <v>40458</v>
      </c>
      <c r="E6999" s="1" t="s">
        <v>14005</v>
      </c>
      <c r="F6999" s="1" t="s">
        <v>13</v>
      </c>
    </row>
    <row r="7000" spans="1:6" ht="30" customHeight="1" x14ac:dyDescent="0.25">
      <c r="A7000" s="1" t="s">
        <v>14006</v>
      </c>
      <c r="B7000" s="1" t="str">
        <f>"9780520954915"</f>
        <v>9780520954915</v>
      </c>
      <c r="C7000" s="1" t="s">
        <v>818</v>
      </c>
      <c r="D7000" s="2">
        <v>41599</v>
      </c>
      <c r="E7000" s="1" t="s">
        <v>14007</v>
      </c>
      <c r="F7000" s="1" t="s">
        <v>541</v>
      </c>
    </row>
    <row r="7001" spans="1:6" ht="30" customHeight="1" x14ac:dyDescent="0.25">
      <c r="A7001" s="1" t="s">
        <v>14008</v>
      </c>
      <c r="B7001" s="1" t="str">
        <f>"9781118527832"</f>
        <v>9781118527832</v>
      </c>
      <c r="C7001" s="1" t="s">
        <v>65</v>
      </c>
      <c r="D7001" s="2">
        <v>41528</v>
      </c>
      <c r="E7001" s="1" t="s">
        <v>14009</v>
      </c>
      <c r="F7001" s="1" t="s">
        <v>13</v>
      </c>
    </row>
    <row r="7002" spans="1:6" ht="30" customHeight="1" x14ac:dyDescent="0.25">
      <c r="A7002" s="1" t="s">
        <v>14010</v>
      </c>
      <c r="B7002" s="1" t="str">
        <f>"9781118713747"</f>
        <v>9781118713747</v>
      </c>
      <c r="C7002" s="1" t="s">
        <v>65</v>
      </c>
      <c r="D7002" s="2">
        <v>41528</v>
      </c>
      <c r="E7002" s="1" t="s">
        <v>14011</v>
      </c>
      <c r="F7002" s="1" t="s">
        <v>13</v>
      </c>
    </row>
    <row r="7003" spans="1:6" ht="30" customHeight="1" x14ac:dyDescent="0.25">
      <c r="A7003" s="1" t="s">
        <v>14012</v>
      </c>
      <c r="B7003" s="1" t="str">
        <f>"9780702251139"</f>
        <v>9780702251139</v>
      </c>
      <c r="C7003" s="1" t="s">
        <v>14013</v>
      </c>
      <c r="D7003" s="2">
        <v>41548</v>
      </c>
      <c r="E7003" s="1" t="s">
        <v>14014</v>
      </c>
      <c r="F7003" s="1" t="s">
        <v>7940</v>
      </c>
    </row>
    <row r="7004" spans="1:6" ht="30" customHeight="1" x14ac:dyDescent="0.25">
      <c r="A7004" s="1" t="s">
        <v>14015</v>
      </c>
      <c r="B7004" s="1" t="str">
        <f>"9783110370577"</f>
        <v>9783110370577</v>
      </c>
      <c r="C7004" s="1" t="s">
        <v>1848</v>
      </c>
      <c r="D7004" s="2">
        <v>41730</v>
      </c>
      <c r="E7004" s="1" t="s">
        <v>14016</v>
      </c>
      <c r="F7004" s="1" t="s">
        <v>13</v>
      </c>
    </row>
    <row r="7005" spans="1:6" ht="30" customHeight="1" x14ac:dyDescent="0.25">
      <c r="A7005" s="1" t="s">
        <v>7967</v>
      </c>
      <c r="B7005" s="1" t="str">
        <f>"9783110328127"</f>
        <v>9783110328127</v>
      </c>
      <c r="C7005" s="1" t="s">
        <v>1848</v>
      </c>
      <c r="D7005" s="2">
        <v>41808</v>
      </c>
      <c r="E7005" s="1" t="s">
        <v>7968</v>
      </c>
      <c r="F7005" s="1" t="s">
        <v>13</v>
      </c>
    </row>
    <row r="7006" spans="1:6" ht="30" customHeight="1" x14ac:dyDescent="0.25">
      <c r="A7006" s="1" t="s">
        <v>14017</v>
      </c>
      <c r="B7006" s="1" t="str">
        <f>"9781781905883"</f>
        <v>9781781905883</v>
      </c>
      <c r="C7006" s="1" t="s">
        <v>971</v>
      </c>
      <c r="D7006" s="2">
        <v>41540</v>
      </c>
      <c r="E7006" s="1" t="s">
        <v>6549</v>
      </c>
      <c r="F7006" s="1" t="s">
        <v>95</v>
      </c>
    </row>
    <row r="7007" spans="1:6" ht="30" customHeight="1" x14ac:dyDescent="0.25">
      <c r="A7007" s="1" t="s">
        <v>14018</v>
      </c>
      <c r="B7007" s="1" t="str">
        <f>"9780826110183"</f>
        <v>9780826110183</v>
      </c>
      <c r="C7007" s="1" t="s">
        <v>2339</v>
      </c>
      <c r="D7007" s="2">
        <v>41544</v>
      </c>
      <c r="E7007" s="1" t="s">
        <v>14019</v>
      </c>
      <c r="F7007" s="1" t="s">
        <v>214</v>
      </c>
    </row>
    <row r="7008" spans="1:6" ht="30" customHeight="1" x14ac:dyDescent="0.25">
      <c r="A7008" s="1" t="s">
        <v>14020</v>
      </c>
      <c r="B7008" s="1" t="str">
        <f>"9780826169532"</f>
        <v>9780826169532</v>
      </c>
      <c r="C7008" s="1" t="s">
        <v>2339</v>
      </c>
      <c r="D7008" s="2">
        <v>41535</v>
      </c>
      <c r="E7008" s="1" t="s">
        <v>14021</v>
      </c>
      <c r="F7008" s="1" t="s">
        <v>126</v>
      </c>
    </row>
    <row r="7009" spans="1:6" ht="30" customHeight="1" x14ac:dyDescent="0.25">
      <c r="A7009" s="1" t="s">
        <v>14022</v>
      </c>
      <c r="B7009" s="1" t="str">
        <f>"9780826193865"</f>
        <v>9780826193865</v>
      </c>
      <c r="C7009" s="1" t="s">
        <v>2339</v>
      </c>
      <c r="D7009" s="2">
        <v>41544</v>
      </c>
      <c r="E7009" s="1" t="s">
        <v>14023</v>
      </c>
      <c r="F7009" s="1" t="s">
        <v>13</v>
      </c>
    </row>
    <row r="7010" spans="1:6" ht="30" customHeight="1" x14ac:dyDescent="0.25">
      <c r="A7010" s="1" t="s">
        <v>14024</v>
      </c>
      <c r="B7010" s="1" t="str">
        <f>"9780826199720"</f>
        <v>9780826199720</v>
      </c>
      <c r="C7010" s="1" t="s">
        <v>2339</v>
      </c>
      <c r="D7010" s="2">
        <v>41544</v>
      </c>
      <c r="E7010" s="1" t="s">
        <v>14025</v>
      </c>
      <c r="F7010" s="1" t="s">
        <v>13</v>
      </c>
    </row>
    <row r="7011" spans="1:6" ht="30" customHeight="1" x14ac:dyDescent="0.25">
      <c r="A7011" s="1" t="s">
        <v>14026</v>
      </c>
      <c r="B7011" s="1" t="str">
        <f>"9781608057450"</f>
        <v>9781608057450</v>
      </c>
      <c r="C7011" s="1" t="s">
        <v>11332</v>
      </c>
      <c r="D7011" s="2">
        <v>41492</v>
      </c>
      <c r="E7011" s="1" t="s">
        <v>14027</v>
      </c>
      <c r="F7011" s="1" t="s">
        <v>14028</v>
      </c>
    </row>
    <row r="7012" spans="1:6" ht="30" customHeight="1" x14ac:dyDescent="0.25">
      <c r="A7012" s="1" t="s">
        <v>14029</v>
      </c>
      <c r="B7012" s="1" t="str">
        <f>"9781135060336"</f>
        <v>9781135060336</v>
      </c>
      <c r="C7012" s="1" t="s">
        <v>68</v>
      </c>
      <c r="D7012" s="2">
        <v>38639</v>
      </c>
      <c r="E7012" s="1" t="s">
        <v>14030</v>
      </c>
      <c r="F7012" s="1" t="s">
        <v>13</v>
      </c>
    </row>
    <row r="7013" spans="1:6" ht="30" customHeight="1" x14ac:dyDescent="0.25">
      <c r="A7013" s="1" t="s">
        <v>14031</v>
      </c>
      <c r="B7013" s="1" t="str">
        <f>"9781574415377"</f>
        <v>9781574415377</v>
      </c>
      <c r="C7013" s="1" t="s">
        <v>3602</v>
      </c>
      <c r="D7013" s="2">
        <v>41470</v>
      </c>
      <c r="E7013" s="1" t="s">
        <v>14032</v>
      </c>
      <c r="F7013" s="1" t="s">
        <v>13</v>
      </c>
    </row>
    <row r="7014" spans="1:6" ht="30" customHeight="1" x14ac:dyDescent="0.25">
      <c r="A7014" s="1" t="s">
        <v>14033</v>
      </c>
      <c r="B7014" s="1" t="str">
        <f>"9781420044362"</f>
        <v>9781420044362</v>
      </c>
      <c r="C7014" s="1" t="s">
        <v>99</v>
      </c>
      <c r="D7014" s="2">
        <v>39596</v>
      </c>
      <c r="E7014" s="1" t="s">
        <v>14034</v>
      </c>
      <c r="F7014" s="1" t="s">
        <v>268</v>
      </c>
    </row>
    <row r="7015" spans="1:6" ht="30" customHeight="1" x14ac:dyDescent="0.25">
      <c r="A7015" s="1" t="s">
        <v>14035</v>
      </c>
      <c r="B7015" s="1" t="str">
        <f>"9781617050411"</f>
        <v>9781617050411</v>
      </c>
      <c r="C7015" s="1" t="s">
        <v>2342</v>
      </c>
      <c r="D7015" s="2">
        <v>41543</v>
      </c>
      <c r="E7015" s="1" t="s">
        <v>14036</v>
      </c>
      <c r="F7015" s="1" t="s">
        <v>13</v>
      </c>
    </row>
    <row r="7016" spans="1:6" ht="30" customHeight="1" x14ac:dyDescent="0.25">
      <c r="A7016" s="1" t="s">
        <v>14037</v>
      </c>
      <c r="B7016" s="1" t="str">
        <f>"9789004243712"</f>
        <v>9789004243712</v>
      </c>
      <c r="C7016" s="1" t="s">
        <v>906</v>
      </c>
      <c r="D7016" s="2">
        <v>41773</v>
      </c>
      <c r="E7016" s="1" t="s">
        <v>14038</v>
      </c>
      <c r="F7016" s="1" t="s">
        <v>95</v>
      </c>
    </row>
    <row r="7017" spans="1:6" ht="30" customHeight="1" x14ac:dyDescent="0.25">
      <c r="A7017" s="1" t="s">
        <v>14039</v>
      </c>
      <c r="B7017" s="1" t="str">
        <f>"9781118395295"</f>
        <v>9781118395295</v>
      </c>
      <c r="C7017" s="1" t="s">
        <v>11</v>
      </c>
      <c r="D7017" s="2">
        <v>41533</v>
      </c>
      <c r="E7017" s="1" t="s">
        <v>14040</v>
      </c>
      <c r="F7017" s="1" t="s">
        <v>13</v>
      </c>
    </row>
    <row r="7018" spans="1:6" ht="30" customHeight="1" x14ac:dyDescent="0.25">
      <c r="A7018" s="1" t="s">
        <v>14041</v>
      </c>
      <c r="B7018" s="1" t="str">
        <f>"9781135568214"</f>
        <v>9781135568214</v>
      </c>
      <c r="C7018" s="1" t="s">
        <v>99</v>
      </c>
      <c r="D7018" s="2">
        <v>36718</v>
      </c>
      <c r="E7018" s="1" t="s">
        <v>14042</v>
      </c>
      <c r="F7018" s="1" t="s">
        <v>13</v>
      </c>
    </row>
    <row r="7019" spans="1:6" ht="30" customHeight="1" x14ac:dyDescent="0.25">
      <c r="A7019" s="1" t="s">
        <v>14043</v>
      </c>
      <c r="B7019" s="1" t="str">
        <f>"9780824746803"</f>
        <v>9780824746803</v>
      </c>
      <c r="C7019" s="1" t="s">
        <v>99</v>
      </c>
      <c r="D7019" s="2">
        <v>42479</v>
      </c>
      <c r="E7019" s="1" t="s">
        <v>14044</v>
      </c>
      <c r="F7019" s="1" t="s">
        <v>13</v>
      </c>
    </row>
    <row r="7020" spans="1:6" ht="30" customHeight="1" x14ac:dyDescent="0.25">
      <c r="A7020" s="1" t="s">
        <v>14045</v>
      </c>
      <c r="B7020" s="1" t="str">
        <f>"9780824746445"</f>
        <v>9780824746445</v>
      </c>
      <c r="C7020" s="1" t="s">
        <v>99</v>
      </c>
      <c r="D7020" s="2">
        <v>36627</v>
      </c>
      <c r="E7020" s="1" t="s">
        <v>14046</v>
      </c>
      <c r="F7020" s="1" t="s">
        <v>13</v>
      </c>
    </row>
    <row r="7021" spans="1:6" ht="30" customHeight="1" x14ac:dyDescent="0.25">
      <c r="A7021" s="1" t="s">
        <v>14047</v>
      </c>
      <c r="B7021" s="1" t="str">
        <f>"9780824741877"</f>
        <v>9780824741877</v>
      </c>
      <c r="C7021" s="1" t="s">
        <v>99</v>
      </c>
      <c r="D7021" s="2">
        <v>36424</v>
      </c>
      <c r="E7021" s="1" t="s">
        <v>14048</v>
      </c>
      <c r="F7021" s="1" t="s">
        <v>13</v>
      </c>
    </row>
    <row r="7022" spans="1:6" ht="30" customHeight="1" x14ac:dyDescent="0.25">
      <c r="A7022" s="1" t="s">
        <v>14049</v>
      </c>
      <c r="B7022" s="1" t="str">
        <f>"9781420020298"</f>
        <v>9781420020298</v>
      </c>
      <c r="C7022" s="1" t="s">
        <v>99</v>
      </c>
      <c r="D7022" s="2">
        <v>39602</v>
      </c>
      <c r="E7022" s="1" t="s">
        <v>14050</v>
      </c>
      <c r="F7022" s="1" t="s">
        <v>137</v>
      </c>
    </row>
    <row r="7023" spans="1:6" ht="30" customHeight="1" x14ac:dyDescent="0.25">
      <c r="A7023" s="1" t="s">
        <v>14051</v>
      </c>
      <c r="B7023" s="1" t="str">
        <f>"9781420020281"</f>
        <v>9781420020281</v>
      </c>
      <c r="C7023" s="1" t="s">
        <v>99</v>
      </c>
      <c r="D7023" s="2">
        <v>39602</v>
      </c>
      <c r="E7023" s="1" t="s">
        <v>14050</v>
      </c>
      <c r="F7023" s="1" t="s">
        <v>268</v>
      </c>
    </row>
    <row r="7024" spans="1:6" ht="30" customHeight="1" x14ac:dyDescent="0.25">
      <c r="A7024" s="1" t="s">
        <v>14052</v>
      </c>
      <c r="B7024" s="1" t="str">
        <f>"9781420020304"</f>
        <v>9781420020304</v>
      </c>
      <c r="C7024" s="1" t="s">
        <v>99</v>
      </c>
      <c r="D7024" s="2">
        <v>39602</v>
      </c>
      <c r="E7024" s="1" t="s">
        <v>14053</v>
      </c>
      <c r="F7024" s="1" t="s">
        <v>137</v>
      </c>
    </row>
    <row r="7025" spans="1:6" ht="30" customHeight="1" x14ac:dyDescent="0.25">
      <c r="A7025" s="1" t="s">
        <v>14054</v>
      </c>
      <c r="B7025" s="1" t="str">
        <f>"9781420060799"</f>
        <v>9781420060799</v>
      </c>
      <c r="C7025" s="1" t="s">
        <v>99</v>
      </c>
      <c r="D7025" s="2">
        <v>39596</v>
      </c>
      <c r="E7025" s="1" t="s">
        <v>14055</v>
      </c>
      <c r="F7025" s="1" t="s">
        <v>13</v>
      </c>
    </row>
    <row r="7026" spans="1:6" ht="30" customHeight="1" x14ac:dyDescent="0.25">
      <c r="A7026" s="1" t="s">
        <v>14056</v>
      </c>
      <c r="B7026" s="1" t="str">
        <f>"9781420065985"</f>
        <v>9781420065985</v>
      </c>
      <c r="C7026" s="1" t="s">
        <v>99</v>
      </c>
      <c r="D7026" s="2">
        <v>39534</v>
      </c>
      <c r="E7026" s="1" t="s">
        <v>14057</v>
      </c>
      <c r="F7026" s="1" t="s">
        <v>13</v>
      </c>
    </row>
    <row r="7027" spans="1:6" ht="30" customHeight="1" x14ac:dyDescent="0.25">
      <c r="A7027" s="1" t="s">
        <v>14058</v>
      </c>
      <c r="B7027" s="1" t="str">
        <f>"9781118660379"</f>
        <v>9781118660379</v>
      </c>
      <c r="C7027" s="1" t="s">
        <v>11</v>
      </c>
      <c r="D7027" s="2">
        <v>41535</v>
      </c>
      <c r="E7027" s="1" t="s">
        <v>14059</v>
      </c>
      <c r="F7027" s="1" t="s">
        <v>137</v>
      </c>
    </row>
    <row r="7028" spans="1:6" ht="30" customHeight="1" x14ac:dyDescent="0.25">
      <c r="A7028" s="1" t="s">
        <v>14060</v>
      </c>
      <c r="B7028" s="1" t="str">
        <f>"9781400833719"</f>
        <v>9781400833719</v>
      </c>
      <c r="C7028" s="1" t="s">
        <v>6462</v>
      </c>
      <c r="D7028" s="2">
        <v>40847</v>
      </c>
      <c r="E7028" s="1" t="s">
        <v>14061</v>
      </c>
      <c r="F7028" s="1" t="s">
        <v>13</v>
      </c>
    </row>
    <row r="7029" spans="1:6" ht="30" customHeight="1" x14ac:dyDescent="0.25">
      <c r="A7029" s="1" t="s">
        <v>14062</v>
      </c>
      <c r="B7029" s="1" t="str">
        <f>"9781118593110"</f>
        <v>9781118593110</v>
      </c>
      <c r="C7029" s="1" t="s">
        <v>11</v>
      </c>
      <c r="D7029" s="2">
        <v>41536</v>
      </c>
      <c r="E7029" s="1" t="s">
        <v>14063</v>
      </c>
      <c r="F7029" s="1" t="s">
        <v>13</v>
      </c>
    </row>
    <row r="7030" spans="1:6" ht="30" customHeight="1" x14ac:dyDescent="0.25">
      <c r="A7030" s="1" t="s">
        <v>14064</v>
      </c>
      <c r="B7030" s="1" t="str">
        <f>"9781118692332"</f>
        <v>9781118692332</v>
      </c>
      <c r="C7030" s="1" t="s">
        <v>65</v>
      </c>
      <c r="D7030" s="2">
        <v>41530</v>
      </c>
      <c r="E7030" s="1" t="s">
        <v>14065</v>
      </c>
      <c r="F7030" s="1" t="s">
        <v>114</v>
      </c>
    </row>
    <row r="7031" spans="1:6" ht="30" customHeight="1" x14ac:dyDescent="0.25">
      <c r="A7031" s="1" t="s">
        <v>14066</v>
      </c>
      <c r="B7031" s="1" t="str">
        <f>"9781118419403"</f>
        <v>9781118419403</v>
      </c>
      <c r="C7031" s="1" t="s">
        <v>65</v>
      </c>
      <c r="D7031" s="2">
        <v>41537</v>
      </c>
      <c r="E7031" s="1" t="s">
        <v>14067</v>
      </c>
      <c r="F7031" s="1" t="s">
        <v>33</v>
      </c>
    </row>
    <row r="7032" spans="1:6" ht="30" customHeight="1" x14ac:dyDescent="0.25">
      <c r="A7032" s="1" t="s">
        <v>14068</v>
      </c>
      <c r="B7032" s="1" t="str">
        <f>"9781118450093"</f>
        <v>9781118450093</v>
      </c>
      <c r="C7032" s="1" t="s">
        <v>65</v>
      </c>
      <c r="D7032" s="2">
        <v>41537</v>
      </c>
      <c r="E7032" s="1" t="s">
        <v>14069</v>
      </c>
      <c r="F7032" s="1" t="s">
        <v>13</v>
      </c>
    </row>
    <row r="7033" spans="1:6" ht="30" customHeight="1" x14ac:dyDescent="0.25">
      <c r="A7033" s="1" t="s">
        <v>14070</v>
      </c>
      <c r="B7033" s="1" t="str">
        <f>"9781118766064"</f>
        <v>9781118766064</v>
      </c>
      <c r="C7033" s="1" t="s">
        <v>65</v>
      </c>
      <c r="D7033" s="2">
        <v>41535</v>
      </c>
      <c r="E7033" s="1" t="s">
        <v>14071</v>
      </c>
      <c r="F7033" s="1" t="s">
        <v>13</v>
      </c>
    </row>
    <row r="7034" spans="1:6" ht="30" customHeight="1" x14ac:dyDescent="0.25">
      <c r="A7034" s="1" t="s">
        <v>14072</v>
      </c>
      <c r="B7034" s="1" t="str">
        <f>"9781118629420"</f>
        <v>9781118629420</v>
      </c>
      <c r="C7034" s="1" t="s">
        <v>65</v>
      </c>
      <c r="D7034" s="2">
        <v>41537</v>
      </c>
      <c r="E7034" s="1" t="s">
        <v>14073</v>
      </c>
      <c r="F7034" s="1" t="s">
        <v>13</v>
      </c>
    </row>
    <row r="7035" spans="1:6" ht="30" customHeight="1" x14ac:dyDescent="0.25">
      <c r="A7035" s="1" t="s">
        <v>14074</v>
      </c>
      <c r="B7035" s="1" t="str">
        <f>"9781118484920"</f>
        <v>9781118484920</v>
      </c>
      <c r="C7035" s="1" t="s">
        <v>65</v>
      </c>
      <c r="D7035" s="2">
        <v>41500</v>
      </c>
      <c r="E7035" s="1" t="s">
        <v>14075</v>
      </c>
      <c r="F7035" s="1" t="s">
        <v>13</v>
      </c>
    </row>
    <row r="7036" spans="1:6" ht="30" customHeight="1" x14ac:dyDescent="0.25">
      <c r="A7036" s="1" t="s">
        <v>14076</v>
      </c>
      <c r="B7036" s="1" t="str">
        <f>"9781936959785"</f>
        <v>9781936959785</v>
      </c>
      <c r="C7036" s="1" t="s">
        <v>3583</v>
      </c>
      <c r="D7036" s="2">
        <v>41075</v>
      </c>
      <c r="E7036" s="1" t="s">
        <v>14077</v>
      </c>
      <c r="F7036" s="1" t="s">
        <v>158</v>
      </c>
    </row>
    <row r="7037" spans="1:6" ht="30" customHeight="1" x14ac:dyDescent="0.25">
      <c r="A7037" s="1" t="s">
        <v>14078</v>
      </c>
      <c r="B7037" s="1" t="str">
        <f>"9780759122314"</f>
        <v>9780759122314</v>
      </c>
      <c r="C7037" s="1" t="s">
        <v>7466</v>
      </c>
      <c r="D7037" s="2">
        <v>41543</v>
      </c>
      <c r="E7037" s="1" t="s">
        <v>14079</v>
      </c>
      <c r="F7037" s="1" t="s">
        <v>8798</v>
      </c>
    </row>
    <row r="7038" spans="1:6" ht="30" customHeight="1" x14ac:dyDescent="0.25">
      <c r="A7038" s="1" t="s">
        <v>14080</v>
      </c>
      <c r="B7038" s="1" t="str">
        <f>"9780080983431"</f>
        <v>9780080983431</v>
      </c>
      <c r="C7038" s="1" t="s">
        <v>12510</v>
      </c>
      <c r="D7038" s="2">
        <v>41507</v>
      </c>
      <c r="E7038" s="1" t="s">
        <v>14081</v>
      </c>
      <c r="F7038" s="1" t="s">
        <v>268</v>
      </c>
    </row>
    <row r="7039" spans="1:6" ht="30" customHeight="1" x14ac:dyDescent="0.25">
      <c r="A7039" s="1" t="s">
        <v>14082</v>
      </c>
      <c r="B7039" s="1" t="str">
        <f>"9783527656011"</f>
        <v>9783527656011</v>
      </c>
      <c r="C7039" s="1" t="s">
        <v>65</v>
      </c>
      <c r="D7039" s="2">
        <v>41540</v>
      </c>
      <c r="E7039" s="1" t="s">
        <v>14083</v>
      </c>
      <c r="F7039" s="1" t="s">
        <v>268</v>
      </c>
    </row>
    <row r="7040" spans="1:6" ht="30" customHeight="1" x14ac:dyDescent="0.25">
      <c r="A7040" s="1" t="s">
        <v>14084</v>
      </c>
      <c r="B7040" s="1" t="str">
        <f>"9781442220607"</f>
        <v>9781442220607</v>
      </c>
      <c r="C7040" s="1" t="s">
        <v>8723</v>
      </c>
      <c r="D7040" s="2">
        <v>41460</v>
      </c>
      <c r="E7040" s="1" t="s">
        <v>14085</v>
      </c>
      <c r="F7040" s="1" t="s">
        <v>2916</v>
      </c>
    </row>
    <row r="7041" spans="1:6" ht="30" customHeight="1" x14ac:dyDescent="0.25">
      <c r="A7041" s="1" t="s">
        <v>14086</v>
      </c>
      <c r="B7041" s="1" t="str">
        <f>"9781118743058"</f>
        <v>9781118743058</v>
      </c>
      <c r="C7041" s="1" t="s">
        <v>11</v>
      </c>
      <c r="D7041" s="2">
        <v>41591</v>
      </c>
      <c r="E7041" s="1" t="s">
        <v>14087</v>
      </c>
      <c r="F7041" s="1" t="s">
        <v>268</v>
      </c>
    </row>
    <row r="7042" spans="1:6" ht="30" customHeight="1" x14ac:dyDescent="0.25">
      <c r="A7042" s="1" t="s">
        <v>14088</v>
      </c>
      <c r="B7042" s="1" t="str">
        <f>"9781782411437"</f>
        <v>9781782411437</v>
      </c>
      <c r="C7042" s="1" t="s">
        <v>8994</v>
      </c>
      <c r="D7042" s="2">
        <v>41565</v>
      </c>
      <c r="E7042" s="1" t="s">
        <v>14089</v>
      </c>
      <c r="F7042" s="1" t="s">
        <v>13</v>
      </c>
    </row>
    <row r="7043" spans="1:6" ht="30" customHeight="1" x14ac:dyDescent="0.25">
      <c r="A7043" s="1" t="s">
        <v>14090</v>
      </c>
      <c r="B7043" s="1" t="str">
        <f>"9781118764589"</f>
        <v>9781118764589</v>
      </c>
      <c r="C7043" s="1" t="s">
        <v>65</v>
      </c>
      <c r="D7043" s="2">
        <v>41544</v>
      </c>
      <c r="E7043" s="1" t="s">
        <v>14091</v>
      </c>
      <c r="F7043" s="1" t="s">
        <v>13</v>
      </c>
    </row>
    <row r="7044" spans="1:6" ht="30" customHeight="1" x14ac:dyDescent="0.25">
      <c r="A7044" s="1" t="s">
        <v>14092</v>
      </c>
      <c r="B7044" s="1" t="str">
        <f>"9780199974719"</f>
        <v>9780199974719</v>
      </c>
      <c r="C7044" s="1" t="s">
        <v>1120</v>
      </c>
      <c r="D7044" s="2">
        <v>41530</v>
      </c>
      <c r="E7044" s="1" t="s">
        <v>14093</v>
      </c>
      <c r="F7044" s="1" t="s">
        <v>95</v>
      </c>
    </row>
    <row r="7045" spans="1:6" ht="30" customHeight="1" x14ac:dyDescent="0.25">
      <c r="A7045" s="1" t="s">
        <v>14094</v>
      </c>
      <c r="B7045" s="1" t="str">
        <f>"9781118764190"</f>
        <v>9781118764190</v>
      </c>
      <c r="C7045" s="1" t="s">
        <v>65</v>
      </c>
      <c r="D7045" s="2">
        <v>41544</v>
      </c>
      <c r="E7045" s="1" t="s">
        <v>14095</v>
      </c>
      <c r="F7045" s="1" t="s">
        <v>13</v>
      </c>
    </row>
    <row r="7046" spans="1:6" ht="30" customHeight="1" x14ac:dyDescent="0.25">
      <c r="A7046" s="1" t="s">
        <v>14096</v>
      </c>
      <c r="B7046" s="1" t="str">
        <f>"9781135061012"</f>
        <v>9781135061012</v>
      </c>
      <c r="C7046" s="1" t="s">
        <v>68</v>
      </c>
      <c r="D7046" s="2">
        <v>38181</v>
      </c>
      <c r="E7046" s="1" t="s">
        <v>14097</v>
      </c>
      <c r="F7046" s="1" t="s">
        <v>13</v>
      </c>
    </row>
    <row r="7047" spans="1:6" ht="30" customHeight="1" x14ac:dyDescent="0.25">
      <c r="A7047" s="1" t="s">
        <v>14098</v>
      </c>
      <c r="B7047" s="1" t="str">
        <f>"9781135060497"</f>
        <v>9781135060497</v>
      </c>
      <c r="C7047" s="1" t="s">
        <v>68</v>
      </c>
      <c r="D7047" s="2">
        <v>38303</v>
      </c>
      <c r="E7047" s="1" t="s">
        <v>14099</v>
      </c>
      <c r="F7047" s="1" t="s">
        <v>13</v>
      </c>
    </row>
    <row r="7048" spans="1:6" ht="30" customHeight="1" x14ac:dyDescent="0.25">
      <c r="A7048" s="1" t="s">
        <v>14100</v>
      </c>
      <c r="B7048" s="1" t="str">
        <f>"9781118628331"</f>
        <v>9781118628331</v>
      </c>
      <c r="C7048" s="1" t="s">
        <v>65</v>
      </c>
      <c r="D7048" s="2">
        <v>41502</v>
      </c>
      <c r="E7048" s="1" t="s">
        <v>14101</v>
      </c>
      <c r="F7048" s="1" t="s">
        <v>137</v>
      </c>
    </row>
    <row r="7049" spans="1:6" ht="30" customHeight="1" x14ac:dyDescent="0.25">
      <c r="A7049" s="1" t="s">
        <v>14102</v>
      </c>
      <c r="B7049" s="1" t="str">
        <f>"9781118298091"</f>
        <v>9781118298091</v>
      </c>
      <c r="C7049" s="1" t="s">
        <v>65</v>
      </c>
      <c r="D7049" s="2">
        <v>41547</v>
      </c>
      <c r="E7049" s="1" t="s">
        <v>14103</v>
      </c>
      <c r="F7049" s="1" t="s">
        <v>158</v>
      </c>
    </row>
    <row r="7050" spans="1:6" ht="30" customHeight="1" x14ac:dyDescent="0.25">
      <c r="A7050" s="1" t="s">
        <v>14104</v>
      </c>
      <c r="B7050" s="1" t="str">
        <f>"9781118412862"</f>
        <v>9781118412862</v>
      </c>
      <c r="C7050" s="1" t="s">
        <v>11</v>
      </c>
      <c r="D7050" s="2">
        <v>41547</v>
      </c>
      <c r="E7050" s="1" t="s">
        <v>14105</v>
      </c>
      <c r="F7050" s="1" t="s">
        <v>137</v>
      </c>
    </row>
    <row r="7051" spans="1:6" ht="30" customHeight="1" x14ac:dyDescent="0.25">
      <c r="A7051" s="1" t="s">
        <v>14106</v>
      </c>
      <c r="B7051" s="1" t="str">
        <f>"9781118420201"</f>
        <v>9781118420201</v>
      </c>
      <c r="C7051" s="1" t="s">
        <v>65</v>
      </c>
      <c r="D7051" s="2">
        <v>41500</v>
      </c>
      <c r="E7051" s="1" t="s">
        <v>14107</v>
      </c>
      <c r="F7051" s="1" t="s">
        <v>13</v>
      </c>
    </row>
    <row r="7052" spans="1:6" ht="30" customHeight="1" x14ac:dyDescent="0.25">
      <c r="A7052" s="1" t="s">
        <v>14108</v>
      </c>
      <c r="B7052" s="1" t="str">
        <f>"9789814525350"</f>
        <v>9789814525350</v>
      </c>
      <c r="C7052" s="1" t="s">
        <v>881</v>
      </c>
      <c r="D7052" s="2">
        <v>41773</v>
      </c>
      <c r="E7052" s="1" t="s">
        <v>14109</v>
      </c>
      <c r="F7052" s="1" t="s">
        <v>13</v>
      </c>
    </row>
    <row r="7053" spans="1:6" ht="30" customHeight="1" x14ac:dyDescent="0.25">
      <c r="A7053" s="1" t="s">
        <v>14110</v>
      </c>
      <c r="B7053" s="1" t="str">
        <f>"9789814436328"</f>
        <v>9789814436328</v>
      </c>
      <c r="C7053" s="1" t="s">
        <v>881</v>
      </c>
      <c r="D7053" s="2">
        <v>41479</v>
      </c>
      <c r="E7053" s="1" t="s">
        <v>14111</v>
      </c>
      <c r="F7053" s="1" t="s">
        <v>13</v>
      </c>
    </row>
    <row r="7054" spans="1:6" ht="30" customHeight="1" x14ac:dyDescent="0.25">
      <c r="A7054" s="1" t="s">
        <v>14112</v>
      </c>
      <c r="B7054" s="1" t="str">
        <f>"9781938134296"</f>
        <v>9781938134296</v>
      </c>
      <c r="C7054" s="1" t="s">
        <v>13844</v>
      </c>
      <c r="D7054" s="2">
        <v>41773</v>
      </c>
      <c r="E7054" s="1" t="s">
        <v>14113</v>
      </c>
      <c r="F7054" s="1" t="s">
        <v>13</v>
      </c>
    </row>
    <row r="7055" spans="1:6" ht="30" customHeight="1" x14ac:dyDescent="0.25">
      <c r="A7055" s="1" t="s">
        <v>14114</v>
      </c>
      <c r="B7055" s="1" t="str">
        <f>"9781938134173"</f>
        <v>9781938134173</v>
      </c>
      <c r="C7055" s="1" t="s">
        <v>13844</v>
      </c>
      <c r="D7055" s="2">
        <v>41773</v>
      </c>
      <c r="E7055" s="1" t="s">
        <v>14115</v>
      </c>
      <c r="F7055" s="1" t="s">
        <v>13</v>
      </c>
    </row>
    <row r="7056" spans="1:6" ht="30" customHeight="1" x14ac:dyDescent="0.25">
      <c r="A7056" s="1" t="s">
        <v>14116</v>
      </c>
      <c r="B7056" s="1" t="str">
        <f>"9789814425674"</f>
        <v>9789814425674</v>
      </c>
      <c r="C7056" s="1" t="s">
        <v>881</v>
      </c>
      <c r="D7056" s="2">
        <v>41505</v>
      </c>
      <c r="E7056" s="1" t="s">
        <v>14117</v>
      </c>
      <c r="F7056" s="1" t="s">
        <v>30</v>
      </c>
    </row>
    <row r="7057" spans="1:6" ht="30" customHeight="1" x14ac:dyDescent="0.25">
      <c r="A7057" s="1" t="s">
        <v>14118</v>
      </c>
      <c r="B7057" s="1" t="str">
        <f>"9780826199836"</f>
        <v>9780826199836</v>
      </c>
      <c r="C7057" s="1" t="s">
        <v>2339</v>
      </c>
      <c r="D7057" s="2">
        <v>41550</v>
      </c>
      <c r="E7057" s="1" t="s">
        <v>14119</v>
      </c>
      <c r="F7057" s="1" t="s">
        <v>13</v>
      </c>
    </row>
    <row r="7058" spans="1:6" ht="30" customHeight="1" x14ac:dyDescent="0.25">
      <c r="A7058" s="1" t="s">
        <v>14120</v>
      </c>
      <c r="B7058" s="1" t="str">
        <f>"9780826137265"</f>
        <v>9780826137265</v>
      </c>
      <c r="C7058" s="1" t="s">
        <v>2339</v>
      </c>
      <c r="D7058" s="2">
        <v>41575</v>
      </c>
      <c r="E7058" s="1" t="s">
        <v>14121</v>
      </c>
      <c r="F7058" s="1" t="s">
        <v>126</v>
      </c>
    </row>
    <row r="7059" spans="1:6" ht="30" customHeight="1" x14ac:dyDescent="0.25">
      <c r="A7059" s="1" t="s">
        <v>14122</v>
      </c>
      <c r="B7059" s="1" t="str">
        <f>"9781940308203"</f>
        <v>9781940308203</v>
      </c>
      <c r="C7059" s="1" t="s">
        <v>14123</v>
      </c>
      <c r="D7059" s="2">
        <v>41289</v>
      </c>
      <c r="E7059" s="1" t="s">
        <v>14124</v>
      </c>
      <c r="F7059" s="1" t="s">
        <v>14125</v>
      </c>
    </row>
    <row r="7060" spans="1:6" ht="30" customHeight="1" x14ac:dyDescent="0.25">
      <c r="A7060" s="1" t="s">
        <v>14126</v>
      </c>
      <c r="B7060" s="1" t="str">
        <f>"9781614992684"</f>
        <v>9781614992684</v>
      </c>
      <c r="C7060" s="1" t="s">
        <v>1390</v>
      </c>
      <c r="D7060" s="2">
        <v>41437</v>
      </c>
      <c r="E7060" s="1" t="s">
        <v>14127</v>
      </c>
      <c r="F7060" s="1" t="s">
        <v>13</v>
      </c>
    </row>
    <row r="7061" spans="1:6" ht="30" customHeight="1" x14ac:dyDescent="0.25">
      <c r="A7061" s="1" t="s">
        <v>14128</v>
      </c>
      <c r="B7061" s="1" t="str">
        <f>"9780765709363"</f>
        <v>9780765709363</v>
      </c>
      <c r="C7061" s="1" t="s">
        <v>6903</v>
      </c>
      <c r="D7061" s="2">
        <v>41543</v>
      </c>
      <c r="E7061" s="1" t="s">
        <v>14129</v>
      </c>
      <c r="F7061" s="1" t="s">
        <v>158</v>
      </c>
    </row>
    <row r="7062" spans="1:6" ht="30" customHeight="1" x14ac:dyDescent="0.25">
      <c r="A7062" s="1" t="s">
        <v>14130</v>
      </c>
      <c r="B7062" s="1" t="str">
        <f>"9781118761373"</f>
        <v>9781118761373</v>
      </c>
      <c r="C7062" s="1" t="s">
        <v>65</v>
      </c>
      <c r="D7062" s="2">
        <v>41549</v>
      </c>
      <c r="E7062" s="1" t="s">
        <v>14131</v>
      </c>
      <c r="F7062" s="1" t="s">
        <v>13</v>
      </c>
    </row>
    <row r="7063" spans="1:6" ht="30" customHeight="1" x14ac:dyDescent="0.25">
      <c r="A7063" s="1" t="s">
        <v>14132</v>
      </c>
      <c r="B7063" s="1" t="str">
        <f>"9781118458136"</f>
        <v>9781118458136</v>
      </c>
      <c r="C7063" s="1" t="s">
        <v>11</v>
      </c>
      <c r="D7063" s="2">
        <v>41584</v>
      </c>
      <c r="E7063" s="1" t="s">
        <v>14133</v>
      </c>
      <c r="F7063" s="1" t="s">
        <v>13</v>
      </c>
    </row>
    <row r="7064" spans="1:6" ht="30" customHeight="1" x14ac:dyDescent="0.25">
      <c r="A7064" s="1" t="s">
        <v>14134</v>
      </c>
      <c r="B7064" s="1" t="str">
        <f>"9781118419120"</f>
        <v>9781118419120</v>
      </c>
      <c r="C7064" s="1" t="s">
        <v>65</v>
      </c>
      <c r="D7064" s="2">
        <v>41550</v>
      </c>
      <c r="E7064" s="1" t="s">
        <v>14135</v>
      </c>
      <c r="F7064" s="1" t="s">
        <v>176</v>
      </c>
    </row>
    <row r="7065" spans="1:6" ht="30" customHeight="1" x14ac:dyDescent="0.25">
      <c r="A7065" s="1" t="s">
        <v>14136</v>
      </c>
      <c r="B7065" s="1" t="str">
        <f>"9781118536858"</f>
        <v>9781118536858</v>
      </c>
      <c r="C7065" s="1" t="s">
        <v>11</v>
      </c>
      <c r="D7065" s="2">
        <v>41549</v>
      </c>
      <c r="E7065" s="1" t="s">
        <v>14137</v>
      </c>
      <c r="F7065" s="1" t="s">
        <v>13</v>
      </c>
    </row>
    <row r="7066" spans="1:6" ht="30" customHeight="1" x14ac:dyDescent="0.25">
      <c r="A7066" s="1" t="s">
        <v>14138</v>
      </c>
      <c r="B7066" s="1" t="str">
        <f>"9781782410911"</f>
        <v>9781782410911</v>
      </c>
      <c r="C7066" s="1" t="s">
        <v>68</v>
      </c>
      <c r="D7066" s="2">
        <v>41579</v>
      </c>
      <c r="E7066" s="1" t="s">
        <v>14139</v>
      </c>
      <c r="F7066" s="1" t="s">
        <v>104</v>
      </c>
    </row>
    <row r="7067" spans="1:6" ht="30" customHeight="1" x14ac:dyDescent="0.25">
      <c r="A7067" s="1" t="s">
        <v>14140</v>
      </c>
      <c r="B7067" s="1" t="str">
        <f>"9781118760178"</f>
        <v>9781118760178</v>
      </c>
      <c r="C7067" s="1" t="s">
        <v>11</v>
      </c>
      <c r="D7067" s="2">
        <v>41561</v>
      </c>
      <c r="E7067" s="1" t="s">
        <v>14141</v>
      </c>
      <c r="F7067" s="1" t="s">
        <v>95</v>
      </c>
    </row>
    <row r="7068" spans="1:6" ht="30" customHeight="1" x14ac:dyDescent="0.25">
      <c r="A7068" s="1" t="s">
        <v>14142</v>
      </c>
      <c r="B7068" s="1" t="str">
        <f>"9781118356821"</f>
        <v>9781118356821</v>
      </c>
      <c r="C7068" s="1" t="s">
        <v>11</v>
      </c>
      <c r="D7068" s="2">
        <v>41551</v>
      </c>
      <c r="E7068" s="1" t="s">
        <v>14143</v>
      </c>
      <c r="F7068" s="1" t="s">
        <v>268</v>
      </c>
    </row>
    <row r="7069" spans="1:6" ht="30" customHeight="1" x14ac:dyDescent="0.25">
      <c r="A7069" s="1" t="s">
        <v>14144</v>
      </c>
      <c r="B7069" s="1" t="str">
        <f>"9781845908867"</f>
        <v>9781845908867</v>
      </c>
      <c r="C7069" s="1" t="s">
        <v>14145</v>
      </c>
      <c r="D7069" s="2">
        <v>41641</v>
      </c>
      <c r="E7069" s="1" t="s">
        <v>14146</v>
      </c>
      <c r="F7069" s="1" t="s">
        <v>13</v>
      </c>
    </row>
    <row r="7070" spans="1:6" ht="30" customHeight="1" x14ac:dyDescent="0.25">
      <c r="A7070" s="1" t="s">
        <v>14147</v>
      </c>
      <c r="B7070" s="1" t="str">
        <f>"9781400835423"</f>
        <v>9781400835423</v>
      </c>
      <c r="C7070" s="1" t="s">
        <v>6462</v>
      </c>
      <c r="D7070" s="2">
        <v>39020</v>
      </c>
      <c r="E7070" s="1" t="s">
        <v>14148</v>
      </c>
      <c r="F7070" s="1" t="s">
        <v>13</v>
      </c>
    </row>
    <row r="7071" spans="1:6" ht="30" customHeight="1" x14ac:dyDescent="0.25">
      <c r="A7071" s="1" t="s">
        <v>14149</v>
      </c>
      <c r="B7071" s="1" t="str">
        <f>"9781781903247"</f>
        <v>9781781903247</v>
      </c>
      <c r="C7071" s="1" t="s">
        <v>971</v>
      </c>
      <c r="D7071" s="2">
        <v>41528</v>
      </c>
      <c r="E7071" s="1" t="s">
        <v>14150</v>
      </c>
      <c r="F7071" s="1" t="s">
        <v>95</v>
      </c>
    </row>
    <row r="7072" spans="1:6" ht="30" customHeight="1" x14ac:dyDescent="0.25">
      <c r="A7072" s="1" t="s">
        <v>14151</v>
      </c>
      <c r="B7072" s="1" t="str">
        <f>"9780520957152"</f>
        <v>9780520957152</v>
      </c>
      <c r="C7072" s="1" t="s">
        <v>818</v>
      </c>
      <c r="D7072" s="2">
        <v>41580</v>
      </c>
      <c r="E7072" s="1" t="s">
        <v>14152</v>
      </c>
      <c r="F7072" s="1" t="s">
        <v>599</v>
      </c>
    </row>
    <row r="7073" spans="1:6" ht="30" customHeight="1" x14ac:dyDescent="0.25">
      <c r="A7073" s="1" t="s">
        <v>14153</v>
      </c>
      <c r="B7073" s="1" t="str">
        <f>"9781118514634"</f>
        <v>9781118514634</v>
      </c>
      <c r="C7073" s="1" t="s">
        <v>65</v>
      </c>
      <c r="D7073" s="2">
        <v>41557</v>
      </c>
      <c r="E7073" s="1" t="s">
        <v>14154</v>
      </c>
      <c r="F7073" s="1" t="s">
        <v>13</v>
      </c>
    </row>
    <row r="7074" spans="1:6" ht="30" customHeight="1" x14ac:dyDescent="0.25">
      <c r="A7074" s="1" t="s">
        <v>14155</v>
      </c>
      <c r="B7074" s="1" t="str">
        <f>"9780826199614"</f>
        <v>9780826199614</v>
      </c>
      <c r="C7074" s="1" t="s">
        <v>2339</v>
      </c>
      <c r="D7074" s="2">
        <v>41562</v>
      </c>
      <c r="E7074" s="1" t="s">
        <v>14156</v>
      </c>
      <c r="F7074" s="1" t="s">
        <v>13</v>
      </c>
    </row>
    <row r="7075" spans="1:6" ht="30" customHeight="1" x14ac:dyDescent="0.25">
      <c r="A7075" s="1" t="s">
        <v>14157</v>
      </c>
      <c r="B7075" s="1" t="str">
        <f>"9781464800429"</f>
        <v>9781464800429</v>
      </c>
      <c r="C7075" s="1" t="s">
        <v>6702</v>
      </c>
      <c r="D7075" s="2">
        <v>41275</v>
      </c>
      <c r="E7075" s="1" t="s">
        <v>14158</v>
      </c>
      <c r="F7075" s="1" t="s">
        <v>95</v>
      </c>
    </row>
    <row r="7076" spans="1:6" ht="30" customHeight="1" x14ac:dyDescent="0.25">
      <c r="A7076" s="1" t="s">
        <v>14159</v>
      </c>
      <c r="B7076" s="1" t="str">
        <f>"9780821399217"</f>
        <v>9780821399217</v>
      </c>
      <c r="C7076" s="1" t="s">
        <v>6702</v>
      </c>
      <c r="D7076" s="2">
        <v>41275</v>
      </c>
      <c r="E7076" s="1" t="s">
        <v>14160</v>
      </c>
      <c r="F7076" s="1" t="s">
        <v>95</v>
      </c>
    </row>
    <row r="7077" spans="1:6" ht="30" customHeight="1" x14ac:dyDescent="0.25">
      <c r="A7077" s="1" t="s">
        <v>14161</v>
      </c>
      <c r="B7077" s="1" t="str">
        <f>"9781118657379"</f>
        <v>9781118657379</v>
      </c>
      <c r="C7077" s="1" t="s">
        <v>65</v>
      </c>
      <c r="D7077" s="2">
        <v>41550</v>
      </c>
      <c r="E7077" s="1" t="s">
        <v>13032</v>
      </c>
      <c r="F7077" s="1" t="s">
        <v>126</v>
      </c>
    </row>
    <row r="7078" spans="1:6" ht="30" customHeight="1" x14ac:dyDescent="0.25">
      <c r="A7078" s="1" t="s">
        <v>14162</v>
      </c>
      <c r="B7078" s="1" t="str">
        <f>"9781118762240"</f>
        <v>9781118762240</v>
      </c>
      <c r="C7078" s="1" t="s">
        <v>65</v>
      </c>
      <c r="D7078" s="2">
        <v>41565</v>
      </c>
      <c r="E7078" s="1" t="s">
        <v>14163</v>
      </c>
      <c r="F7078" s="1" t="s">
        <v>13</v>
      </c>
    </row>
    <row r="7079" spans="1:6" ht="30" customHeight="1" x14ac:dyDescent="0.25">
      <c r="A7079" s="1" t="s">
        <v>14164</v>
      </c>
      <c r="B7079" s="1" t="str">
        <f>"9780765708830"</f>
        <v>9780765708830</v>
      </c>
      <c r="C7079" s="1" t="s">
        <v>6903</v>
      </c>
      <c r="D7079" s="2">
        <v>41270</v>
      </c>
      <c r="E7079" s="1" t="s">
        <v>14165</v>
      </c>
      <c r="F7079" s="1" t="s">
        <v>291</v>
      </c>
    </row>
    <row r="7080" spans="1:6" ht="30" customHeight="1" x14ac:dyDescent="0.25">
      <c r="A7080" s="1" t="s">
        <v>14166</v>
      </c>
      <c r="B7080" s="1" t="str">
        <f>"9781118670934"</f>
        <v>9781118670934</v>
      </c>
      <c r="C7080" s="1" t="s">
        <v>65</v>
      </c>
      <c r="D7080" s="2">
        <v>41556</v>
      </c>
      <c r="E7080" s="1" t="s">
        <v>14167</v>
      </c>
      <c r="F7080" s="1" t="s">
        <v>13</v>
      </c>
    </row>
    <row r="7081" spans="1:6" ht="30" customHeight="1" x14ac:dyDescent="0.25">
      <c r="A7081" s="1" t="s">
        <v>14168</v>
      </c>
      <c r="B7081" s="1" t="str">
        <f>"9781118769164"</f>
        <v>9781118769164</v>
      </c>
      <c r="C7081" s="1" t="s">
        <v>11</v>
      </c>
      <c r="D7081" s="2">
        <v>41556</v>
      </c>
      <c r="E7081" s="1" t="s">
        <v>14169</v>
      </c>
      <c r="F7081" s="1" t="s">
        <v>13</v>
      </c>
    </row>
    <row r="7082" spans="1:6" ht="30" customHeight="1" x14ac:dyDescent="0.25">
      <c r="A7082" s="1" t="s">
        <v>14170</v>
      </c>
      <c r="B7082" s="1" t="str">
        <f>"9781118653395"</f>
        <v>9781118653395</v>
      </c>
      <c r="C7082" s="1" t="s">
        <v>65</v>
      </c>
      <c r="D7082" s="2">
        <v>41491</v>
      </c>
      <c r="E7082" s="1" t="s">
        <v>14171</v>
      </c>
      <c r="F7082" s="1" t="s">
        <v>13</v>
      </c>
    </row>
    <row r="7083" spans="1:6" ht="30" customHeight="1" x14ac:dyDescent="0.25">
      <c r="A7083" s="1" t="s">
        <v>14172</v>
      </c>
      <c r="B7083" s="1" t="str">
        <f>"9781118485569"</f>
        <v>9781118485569</v>
      </c>
      <c r="C7083" s="1" t="s">
        <v>65</v>
      </c>
      <c r="D7083" s="2">
        <v>41557</v>
      </c>
      <c r="E7083" s="1" t="s">
        <v>14173</v>
      </c>
      <c r="F7083" s="1" t="s">
        <v>13</v>
      </c>
    </row>
    <row r="7084" spans="1:6" ht="30" customHeight="1" x14ac:dyDescent="0.25">
      <c r="A7084" s="1" t="s">
        <v>14174</v>
      </c>
      <c r="B7084" s="1" t="str">
        <f>"9781446265840"</f>
        <v>9781446265840</v>
      </c>
      <c r="C7084" s="1" t="s">
        <v>1228</v>
      </c>
      <c r="D7084" s="2">
        <v>34878</v>
      </c>
      <c r="E7084" s="1" t="s">
        <v>12417</v>
      </c>
      <c r="F7084" s="1" t="s">
        <v>30</v>
      </c>
    </row>
    <row r="7085" spans="1:6" ht="30" customHeight="1" x14ac:dyDescent="0.25">
      <c r="A7085" s="1" t="s">
        <v>14175</v>
      </c>
      <c r="B7085" s="1" t="str">
        <f>"9781614991892"</f>
        <v>9781614991892</v>
      </c>
      <c r="C7085" s="1" t="s">
        <v>1390</v>
      </c>
      <c r="D7085" s="2">
        <v>41526</v>
      </c>
      <c r="E7085" s="1" t="s">
        <v>10944</v>
      </c>
      <c r="F7085" s="1" t="s">
        <v>13</v>
      </c>
    </row>
    <row r="7086" spans="1:6" ht="30" customHeight="1" x14ac:dyDescent="0.25">
      <c r="A7086" s="1" t="s">
        <v>14176</v>
      </c>
      <c r="B7086" s="1" t="str">
        <f>"9781614992561"</f>
        <v>9781614992561</v>
      </c>
      <c r="C7086" s="1" t="s">
        <v>1390</v>
      </c>
      <c r="D7086" s="2">
        <v>41472</v>
      </c>
      <c r="E7086" s="1" t="s">
        <v>14177</v>
      </c>
      <c r="F7086" s="1" t="s">
        <v>148</v>
      </c>
    </row>
    <row r="7087" spans="1:6" ht="30" customHeight="1" x14ac:dyDescent="0.25">
      <c r="A7087" s="1" t="s">
        <v>14178</v>
      </c>
      <c r="B7087" s="1" t="str">
        <f>"9781614992660"</f>
        <v>9781614992660</v>
      </c>
      <c r="C7087" s="1" t="s">
        <v>1390</v>
      </c>
      <c r="D7087" s="2">
        <v>41452</v>
      </c>
      <c r="E7087" s="1" t="s">
        <v>14179</v>
      </c>
      <c r="F7087" s="1" t="s">
        <v>13</v>
      </c>
    </row>
    <row r="7088" spans="1:6" ht="30" customHeight="1" x14ac:dyDescent="0.25">
      <c r="A7088" s="1" t="s">
        <v>14180</v>
      </c>
      <c r="B7088" s="1" t="str">
        <f>"9781614992769"</f>
        <v>9781614992769</v>
      </c>
      <c r="C7088" s="1" t="s">
        <v>1390</v>
      </c>
      <c r="D7088" s="2">
        <v>41450</v>
      </c>
      <c r="E7088" s="1" t="s">
        <v>14181</v>
      </c>
      <c r="F7088" s="1" t="s">
        <v>13</v>
      </c>
    </row>
    <row r="7089" spans="1:6" ht="30" customHeight="1" x14ac:dyDescent="0.25">
      <c r="A7089" s="1" t="s">
        <v>14182</v>
      </c>
      <c r="B7089" s="1" t="str">
        <f>"9781614992912"</f>
        <v>9781614992912</v>
      </c>
      <c r="C7089" s="1" t="s">
        <v>1390</v>
      </c>
      <c r="D7089" s="2">
        <v>41529</v>
      </c>
      <c r="E7089" s="1" t="s">
        <v>14183</v>
      </c>
      <c r="F7089" s="1" t="s">
        <v>13</v>
      </c>
    </row>
    <row r="7090" spans="1:6" ht="30" customHeight="1" x14ac:dyDescent="0.25">
      <c r="A7090" s="1" t="s">
        <v>14184</v>
      </c>
      <c r="B7090" s="1" t="str">
        <f>"9781443853224"</f>
        <v>9781443853224</v>
      </c>
      <c r="C7090" s="1" t="s">
        <v>12699</v>
      </c>
      <c r="D7090" s="2">
        <v>41487</v>
      </c>
      <c r="E7090" s="1" t="s">
        <v>14185</v>
      </c>
      <c r="F7090" s="1" t="s">
        <v>6200</v>
      </c>
    </row>
    <row r="7091" spans="1:6" ht="30" customHeight="1" x14ac:dyDescent="0.25">
      <c r="A7091" s="1" t="s">
        <v>14186</v>
      </c>
      <c r="B7091" s="1" t="str">
        <f>"9781614992820"</f>
        <v>9781614992820</v>
      </c>
      <c r="C7091" s="1" t="s">
        <v>1390</v>
      </c>
      <c r="D7091" s="2">
        <v>41478</v>
      </c>
      <c r="E7091" s="1" t="s">
        <v>7132</v>
      </c>
      <c r="F7091" s="1" t="s">
        <v>13</v>
      </c>
    </row>
    <row r="7092" spans="1:6" ht="30" customHeight="1" x14ac:dyDescent="0.25">
      <c r="A7092" s="1" t="s">
        <v>14187</v>
      </c>
      <c r="B7092" s="1" t="str">
        <f>"9781118749074"</f>
        <v>9781118749074</v>
      </c>
      <c r="C7092" s="1" t="s">
        <v>65</v>
      </c>
      <c r="D7092" s="2">
        <v>41635</v>
      </c>
      <c r="E7092" s="1" t="s">
        <v>14188</v>
      </c>
      <c r="F7092" s="1" t="s">
        <v>13</v>
      </c>
    </row>
    <row r="7093" spans="1:6" ht="30" customHeight="1" x14ac:dyDescent="0.25">
      <c r="A7093" s="1" t="s">
        <v>12266</v>
      </c>
      <c r="B7093" s="1" t="str">
        <f>"9781118656228"</f>
        <v>9781118656228</v>
      </c>
      <c r="C7093" s="1" t="s">
        <v>65</v>
      </c>
      <c r="D7093" s="2">
        <v>41561</v>
      </c>
      <c r="E7093" s="1" t="s">
        <v>14189</v>
      </c>
      <c r="F7093" s="1" t="s">
        <v>13</v>
      </c>
    </row>
    <row r="7094" spans="1:6" ht="30" customHeight="1" x14ac:dyDescent="0.25">
      <c r="A7094" s="1" t="s">
        <v>14190</v>
      </c>
      <c r="B7094" s="1" t="str">
        <f>"9780199933860"</f>
        <v>9780199933860</v>
      </c>
      <c r="C7094" s="1" t="s">
        <v>1123</v>
      </c>
      <c r="D7094" s="2">
        <v>41243</v>
      </c>
      <c r="E7094" s="1" t="s">
        <v>14191</v>
      </c>
      <c r="F7094" s="1" t="s">
        <v>268</v>
      </c>
    </row>
    <row r="7095" spans="1:6" ht="30" customHeight="1" x14ac:dyDescent="0.25">
      <c r="A7095" s="1" t="s">
        <v>14192</v>
      </c>
      <c r="B7095" s="1" t="str">
        <f>"9781617051890"</f>
        <v>9781617051890</v>
      </c>
      <c r="C7095" s="1" t="s">
        <v>2339</v>
      </c>
      <c r="D7095" s="2">
        <v>41542</v>
      </c>
      <c r="E7095" s="1" t="s">
        <v>14193</v>
      </c>
      <c r="F7095" s="1" t="s">
        <v>13</v>
      </c>
    </row>
    <row r="7096" spans="1:6" ht="30" customHeight="1" x14ac:dyDescent="0.25">
      <c r="A7096" s="1" t="s">
        <v>14194</v>
      </c>
      <c r="B7096" s="1" t="str">
        <f>"9781935281979"</f>
        <v>9781935281979</v>
      </c>
      <c r="C7096" s="1" t="s">
        <v>2342</v>
      </c>
      <c r="D7096" s="2">
        <v>41575</v>
      </c>
      <c r="E7096" s="1" t="s">
        <v>14195</v>
      </c>
      <c r="F7096" s="1" t="s">
        <v>13</v>
      </c>
    </row>
    <row r="7097" spans="1:6" ht="30" customHeight="1" x14ac:dyDescent="0.25">
      <c r="A7097" s="1" t="s">
        <v>14196</v>
      </c>
      <c r="B7097" s="1" t="str">
        <f>"9781617051050"</f>
        <v>9781617051050</v>
      </c>
      <c r="C7097" s="1" t="s">
        <v>2342</v>
      </c>
      <c r="D7097" s="2">
        <v>41550</v>
      </c>
      <c r="E7097" s="1" t="s">
        <v>14197</v>
      </c>
      <c r="F7097" s="1" t="s">
        <v>13</v>
      </c>
    </row>
    <row r="7098" spans="1:6" ht="30" customHeight="1" x14ac:dyDescent="0.25">
      <c r="A7098" s="1" t="s">
        <v>14198</v>
      </c>
      <c r="B7098" s="1" t="str">
        <f>"9781617051517"</f>
        <v>9781617051517</v>
      </c>
      <c r="C7098" s="1" t="s">
        <v>2339</v>
      </c>
      <c r="D7098" s="2">
        <v>41556</v>
      </c>
      <c r="E7098" s="1" t="s">
        <v>14199</v>
      </c>
      <c r="F7098" s="1" t="s">
        <v>13</v>
      </c>
    </row>
    <row r="7099" spans="1:6" ht="30" customHeight="1" x14ac:dyDescent="0.25">
      <c r="A7099" s="1" t="s">
        <v>14200</v>
      </c>
      <c r="B7099" s="1" t="str">
        <f>"9781847357243"</f>
        <v>9781847357243</v>
      </c>
      <c r="C7099" s="1" t="s">
        <v>7299</v>
      </c>
      <c r="D7099" s="2">
        <v>41000</v>
      </c>
      <c r="E7099" s="1" t="s">
        <v>14202</v>
      </c>
      <c r="F7099" s="1" t="s">
        <v>367</v>
      </c>
    </row>
    <row r="7100" spans="1:6" ht="30" customHeight="1" x14ac:dyDescent="0.25">
      <c r="A7100" s="1" t="s">
        <v>14203</v>
      </c>
      <c r="B7100" s="1" t="str">
        <f>"9781847356246"</f>
        <v>9781847356246</v>
      </c>
      <c r="C7100" s="1" t="s">
        <v>7299</v>
      </c>
      <c r="D7100" s="2">
        <v>40634</v>
      </c>
      <c r="E7100" s="1" t="s">
        <v>14202</v>
      </c>
      <c r="F7100" s="1" t="s">
        <v>14204</v>
      </c>
    </row>
    <row r="7101" spans="1:6" ht="30" customHeight="1" x14ac:dyDescent="0.25">
      <c r="A7101" s="1" t="s">
        <v>14205</v>
      </c>
      <c r="B7101" s="1" t="str">
        <f>"9789004256460"</f>
        <v>9789004256460</v>
      </c>
      <c r="C7101" s="1" t="s">
        <v>906</v>
      </c>
      <c r="D7101" s="2">
        <v>41557</v>
      </c>
      <c r="E7101" s="1" t="s">
        <v>14206</v>
      </c>
      <c r="F7101" s="1" t="s">
        <v>95</v>
      </c>
    </row>
    <row r="7102" spans="1:6" ht="30" customHeight="1" x14ac:dyDescent="0.25">
      <c r="A7102" s="1" t="s">
        <v>14207</v>
      </c>
      <c r="B7102" s="1" t="str">
        <f>"9781118378229"</f>
        <v>9781118378229</v>
      </c>
      <c r="C7102" s="1" t="s">
        <v>65</v>
      </c>
      <c r="D7102" s="2">
        <v>41561</v>
      </c>
      <c r="E7102" s="1" t="s">
        <v>14208</v>
      </c>
      <c r="F7102" s="1" t="s">
        <v>13</v>
      </c>
    </row>
    <row r="7103" spans="1:6" ht="30" customHeight="1" x14ac:dyDescent="0.25">
      <c r="A7103" s="1" t="s">
        <v>14209</v>
      </c>
      <c r="B7103" s="1" t="str">
        <f>"9781118512821"</f>
        <v>9781118512821</v>
      </c>
      <c r="C7103" s="1" t="s">
        <v>65</v>
      </c>
      <c r="D7103" s="2">
        <v>41564</v>
      </c>
      <c r="E7103" s="1" t="s">
        <v>14210</v>
      </c>
      <c r="F7103" s="1" t="s">
        <v>13</v>
      </c>
    </row>
    <row r="7104" spans="1:6" ht="30" customHeight="1" x14ac:dyDescent="0.25">
      <c r="A7104" s="1" t="s">
        <v>14211</v>
      </c>
      <c r="B7104" s="1" t="str">
        <f>"9781782840275"</f>
        <v>9781782840275</v>
      </c>
      <c r="C7104" s="1" t="s">
        <v>14212</v>
      </c>
      <c r="D7104" s="2">
        <v>41548</v>
      </c>
      <c r="E7104" s="1" t="s">
        <v>14213</v>
      </c>
      <c r="F7104" s="1" t="s">
        <v>13</v>
      </c>
    </row>
    <row r="7105" spans="1:6" ht="30" customHeight="1" x14ac:dyDescent="0.25">
      <c r="A7105" s="1" t="s">
        <v>14214</v>
      </c>
      <c r="B7105" s="1" t="str">
        <f>"9781555709440"</f>
        <v>9781555709440</v>
      </c>
      <c r="C7105" s="1" t="s">
        <v>14215</v>
      </c>
      <c r="D7105" s="2">
        <v>41275</v>
      </c>
      <c r="E7105" s="1" t="s">
        <v>14216</v>
      </c>
      <c r="F7105" s="1" t="s">
        <v>978</v>
      </c>
    </row>
    <row r="7106" spans="1:6" ht="30" customHeight="1" x14ac:dyDescent="0.25">
      <c r="A7106" s="1" t="s">
        <v>14217</v>
      </c>
      <c r="B7106" s="1" t="str">
        <f>"9781118709436"</f>
        <v>9781118709436</v>
      </c>
      <c r="C7106" s="1" t="s">
        <v>65</v>
      </c>
      <c r="D7106" s="2">
        <v>41568</v>
      </c>
      <c r="E7106" s="1" t="s">
        <v>14218</v>
      </c>
      <c r="F7106" s="1" t="s">
        <v>13</v>
      </c>
    </row>
    <row r="7107" spans="1:6" ht="30" customHeight="1" x14ac:dyDescent="0.25">
      <c r="A7107" s="1" t="s">
        <v>14219</v>
      </c>
      <c r="B7107" s="1" t="str">
        <f>"9781118775448"</f>
        <v>9781118775448</v>
      </c>
      <c r="C7107" s="1" t="s">
        <v>65</v>
      </c>
      <c r="D7107" s="2">
        <v>41568</v>
      </c>
      <c r="E7107" s="1" t="s">
        <v>14220</v>
      </c>
      <c r="F7107" s="1" t="s">
        <v>13</v>
      </c>
    </row>
    <row r="7108" spans="1:6" ht="30" customHeight="1" x14ac:dyDescent="0.25">
      <c r="A7108" s="1" t="s">
        <v>14221</v>
      </c>
      <c r="B7108" s="1" t="str">
        <f>"9781118354094"</f>
        <v>9781118354094</v>
      </c>
      <c r="C7108" s="1" t="s">
        <v>65</v>
      </c>
      <c r="D7108" s="2">
        <v>41568</v>
      </c>
      <c r="E7108" s="1" t="s">
        <v>14222</v>
      </c>
      <c r="F7108" s="1" t="s">
        <v>1338</v>
      </c>
    </row>
    <row r="7109" spans="1:6" ht="30" customHeight="1" x14ac:dyDescent="0.25">
      <c r="A7109" s="1" t="s">
        <v>4546</v>
      </c>
      <c r="B7109" s="1" t="str">
        <f>"9781118299050"</f>
        <v>9781118299050</v>
      </c>
      <c r="C7109" s="1" t="s">
        <v>65</v>
      </c>
      <c r="D7109" s="2">
        <v>41568</v>
      </c>
      <c r="E7109" s="1" t="s">
        <v>14223</v>
      </c>
      <c r="F7109" s="1" t="s">
        <v>13</v>
      </c>
    </row>
    <row r="7110" spans="1:6" ht="30" customHeight="1" x14ac:dyDescent="0.25">
      <c r="A7110" s="1" t="s">
        <v>14224</v>
      </c>
      <c r="B7110" s="1" t="str">
        <f>"9781118697870"</f>
        <v>9781118697870</v>
      </c>
      <c r="C7110" s="1" t="s">
        <v>65</v>
      </c>
      <c r="D7110" s="2">
        <v>41564</v>
      </c>
      <c r="E7110" s="1" t="s">
        <v>14225</v>
      </c>
      <c r="F7110" s="1" t="s">
        <v>13</v>
      </c>
    </row>
    <row r="7111" spans="1:6" ht="30" customHeight="1" x14ac:dyDescent="0.25">
      <c r="A7111" s="1" t="s">
        <v>14226</v>
      </c>
      <c r="B7111" s="1" t="str">
        <f>"9781118733769"</f>
        <v>9781118733769</v>
      </c>
      <c r="C7111" s="1" t="s">
        <v>11</v>
      </c>
      <c r="D7111" s="2">
        <v>41603</v>
      </c>
      <c r="E7111" s="1" t="s">
        <v>14227</v>
      </c>
      <c r="F7111" s="1" t="s">
        <v>137</v>
      </c>
    </row>
    <row r="7112" spans="1:6" ht="30" customHeight="1" x14ac:dyDescent="0.25">
      <c r="A7112" s="1" t="s">
        <v>14228</v>
      </c>
      <c r="B7112" s="1" t="str">
        <f>"9781118749326"</f>
        <v>9781118749326</v>
      </c>
      <c r="C7112" s="1" t="s">
        <v>65</v>
      </c>
      <c r="D7112" s="2">
        <v>41583</v>
      </c>
      <c r="E7112" s="1" t="s">
        <v>14229</v>
      </c>
      <c r="F7112" s="1" t="s">
        <v>13</v>
      </c>
    </row>
    <row r="7113" spans="1:6" ht="30" customHeight="1" x14ac:dyDescent="0.25">
      <c r="A7113" s="1" t="s">
        <v>14230</v>
      </c>
      <c r="B7113" s="1" t="str">
        <f>"9781452940236"</f>
        <v>9781452940236</v>
      </c>
      <c r="C7113" s="1" t="s">
        <v>3458</v>
      </c>
      <c r="D7113" s="2">
        <v>41579</v>
      </c>
      <c r="E7113" s="1" t="s">
        <v>14231</v>
      </c>
      <c r="F7113" s="1" t="s">
        <v>13</v>
      </c>
    </row>
    <row r="7114" spans="1:6" ht="30" customHeight="1" x14ac:dyDescent="0.25">
      <c r="A7114" s="1" t="s">
        <v>14232</v>
      </c>
      <c r="B7114" s="1" t="str">
        <f>"9781134134984"</f>
        <v>9781134134984</v>
      </c>
      <c r="C7114" s="1" t="s">
        <v>14233</v>
      </c>
      <c r="D7114" s="2">
        <v>37253</v>
      </c>
      <c r="E7114" s="1" t="s">
        <v>14234</v>
      </c>
      <c r="F7114" s="1" t="s">
        <v>14235</v>
      </c>
    </row>
    <row r="7115" spans="1:6" ht="30" customHeight="1" x14ac:dyDescent="0.25">
      <c r="A7115" s="1" t="s">
        <v>14236</v>
      </c>
      <c r="B7115" s="1" t="str">
        <f>"9781118744161"</f>
        <v>9781118744161</v>
      </c>
      <c r="C7115" s="1" t="s">
        <v>65</v>
      </c>
      <c r="D7115" s="2">
        <v>41568</v>
      </c>
      <c r="E7115" s="1" t="s">
        <v>14237</v>
      </c>
      <c r="F7115" s="1" t="s">
        <v>13</v>
      </c>
    </row>
    <row r="7116" spans="1:6" ht="30" customHeight="1" x14ac:dyDescent="0.25">
      <c r="A7116" s="1" t="s">
        <v>14238</v>
      </c>
      <c r="B7116" s="1" t="str">
        <f>"9780765709882"</f>
        <v>9780765709882</v>
      </c>
      <c r="C7116" s="1" t="s">
        <v>6903</v>
      </c>
      <c r="D7116" s="2">
        <v>41569</v>
      </c>
      <c r="E7116" s="1" t="s">
        <v>14239</v>
      </c>
      <c r="F7116" s="1" t="s">
        <v>13</v>
      </c>
    </row>
    <row r="7117" spans="1:6" ht="30" customHeight="1" x14ac:dyDescent="0.25">
      <c r="A7117" s="1" t="s">
        <v>14240</v>
      </c>
      <c r="B7117" s="1" t="str">
        <f>"9781118523414"</f>
        <v>9781118523414</v>
      </c>
      <c r="C7117" s="1" t="s">
        <v>65</v>
      </c>
      <c r="D7117" s="2">
        <v>41585</v>
      </c>
      <c r="E7117" s="1" t="s">
        <v>14241</v>
      </c>
      <c r="F7117" s="1" t="s">
        <v>13</v>
      </c>
    </row>
    <row r="7118" spans="1:6" ht="30" customHeight="1" x14ac:dyDescent="0.25">
      <c r="A7118" s="1" t="s">
        <v>14242</v>
      </c>
      <c r="B7118" s="1" t="str">
        <f>"9781118336007"</f>
        <v>9781118336007</v>
      </c>
      <c r="C7118" s="1" t="s">
        <v>65</v>
      </c>
      <c r="D7118" s="2">
        <v>41576</v>
      </c>
      <c r="E7118" s="1" t="s">
        <v>14243</v>
      </c>
      <c r="F7118" s="1" t="s">
        <v>13</v>
      </c>
    </row>
    <row r="7119" spans="1:6" ht="30" customHeight="1" x14ac:dyDescent="0.25">
      <c r="A7119" s="1" t="s">
        <v>14244</v>
      </c>
      <c r="B7119" s="1" t="str">
        <f>"9781118684078"</f>
        <v>9781118684078</v>
      </c>
      <c r="C7119" s="1" t="s">
        <v>65</v>
      </c>
      <c r="D7119" s="2">
        <v>41579</v>
      </c>
      <c r="E7119" s="1" t="s">
        <v>14245</v>
      </c>
      <c r="F7119" s="1" t="s">
        <v>30</v>
      </c>
    </row>
    <row r="7120" spans="1:6" ht="30" customHeight="1" x14ac:dyDescent="0.25">
      <c r="A7120" s="1" t="s">
        <v>14246</v>
      </c>
      <c r="B7120" s="1" t="str">
        <f>"9780739176627"</f>
        <v>9780739176627</v>
      </c>
      <c r="C7120" s="1" t="s">
        <v>9841</v>
      </c>
      <c r="D7120" s="2">
        <v>41576</v>
      </c>
      <c r="E7120" s="1" t="s">
        <v>14247</v>
      </c>
      <c r="F7120" s="1" t="s">
        <v>14248</v>
      </c>
    </row>
    <row r="7121" spans="1:6" ht="30" customHeight="1" x14ac:dyDescent="0.25">
      <c r="A7121" s="1" t="s">
        <v>14249</v>
      </c>
      <c r="B7121" s="1" t="str">
        <f>"9780313399466"</f>
        <v>9780313399466</v>
      </c>
      <c r="C7121" s="1" t="s">
        <v>7550</v>
      </c>
      <c r="D7121" s="2">
        <v>41575</v>
      </c>
      <c r="E7121" s="1" t="s">
        <v>14250</v>
      </c>
      <c r="F7121" s="1" t="s">
        <v>95</v>
      </c>
    </row>
    <row r="7122" spans="1:6" ht="30" customHeight="1" x14ac:dyDescent="0.25">
      <c r="A7122" s="1" t="s">
        <v>14251</v>
      </c>
      <c r="B7122" s="1" t="str">
        <f>"9781118490938"</f>
        <v>9781118490938</v>
      </c>
      <c r="C7122" s="1" t="s">
        <v>65</v>
      </c>
      <c r="D7122" s="2">
        <v>41278</v>
      </c>
      <c r="E7122" s="1" t="s">
        <v>14252</v>
      </c>
      <c r="F7122" s="1" t="s">
        <v>13</v>
      </c>
    </row>
    <row r="7123" spans="1:6" ht="30" customHeight="1" x14ac:dyDescent="0.25">
      <c r="A7123" s="1" t="s">
        <v>14253</v>
      </c>
      <c r="B7123" s="1" t="str">
        <f>"9781118410738"</f>
        <v>9781118410738</v>
      </c>
      <c r="C7123" s="1" t="s">
        <v>65</v>
      </c>
      <c r="D7123" s="2">
        <v>41577</v>
      </c>
      <c r="E7123" s="1" t="s">
        <v>4466</v>
      </c>
      <c r="F7123" s="1" t="s">
        <v>13</v>
      </c>
    </row>
    <row r="7124" spans="1:6" ht="30" customHeight="1" x14ac:dyDescent="0.25">
      <c r="A7124" s="1" t="s">
        <v>14254</v>
      </c>
      <c r="B7124" s="1" t="str">
        <f>"9781782410874"</f>
        <v>9781782410874</v>
      </c>
      <c r="C7124" s="1" t="s">
        <v>68</v>
      </c>
      <c r="D7124" s="2">
        <v>41585</v>
      </c>
      <c r="E7124" s="1" t="s">
        <v>14255</v>
      </c>
      <c r="F7124" s="1" t="s">
        <v>104</v>
      </c>
    </row>
    <row r="7125" spans="1:6" ht="30" customHeight="1" x14ac:dyDescent="0.25">
      <c r="A7125" s="1" t="s">
        <v>14256</v>
      </c>
      <c r="B7125" s="1" t="str">
        <f>"9781118712399"</f>
        <v>9781118712399</v>
      </c>
      <c r="C7125" s="1" t="s">
        <v>65</v>
      </c>
      <c r="D7125" s="2">
        <v>41577</v>
      </c>
      <c r="E7125" s="1" t="s">
        <v>14257</v>
      </c>
      <c r="F7125" s="1" t="s">
        <v>13</v>
      </c>
    </row>
    <row r="7126" spans="1:6" ht="30" customHeight="1" x14ac:dyDescent="0.25">
      <c r="A7126" s="1" t="s">
        <v>14258</v>
      </c>
      <c r="B7126" s="1" t="str">
        <f>"9781118415894"</f>
        <v>9781118415894</v>
      </c>
      <c r="C7126" s="1" t="s">
        <v>65</v>
      </c>
      <c r="D7126" s="2">
        <v>41285</v>
      </c>
      <c r="E7126" s="1" t="s">
        <v>14259</v>
      </c>
      <c r="F7126" s="1" t="s">
        <v>13</v>
      </c>
    </row>
    <row r="7127" spans="1:6" ht="30" customHeight="1" x14ac:dyDescent="0.25">
      <c r="A7127" s="1" t="s">
        <v>14260</v>
      </c>
      <c r="B7127" s="1" t="str">
        <f>"9781775586470"</f>
        <v>9781775586470</v>
      </c>
      <c r="C7127" s="1" t="s">
        <v>14261</v>
      </c>
      <c r="D7127" s="2">
        <v>41183</v>
      </c>
      <c r="E7127" s="1" t="s">
        <v>14262</v>
      </c>
      <c r="F7127" s="1" t="s">
        <v>6200</v>
      </c>
    </row>
    <row r="7128" spans="1:6" ht="30" customHeight="1" x14ac:dyDescent="0.25">
      <c r="A7128" s="1" t="s">
        <v>14263</v>
      </c>
      <c r="B7128" s="1" t="str">
        <f>"9781845908836"</f>
        <v>9781845908836</v>
      </c>
      <c r="C7128" s="1" t="s">
        <v>14145</v>
      </c>
      <c r="D7128" s="2">
        <v>41655</v>
      </c>
      <c r="E7128" s="1" t="s">
        <v>14264</v>
      </c>
      <c r="F7128" s="1" t="s">
        <v>13</v>
      </c>
    </row>
    <row r="7129" spans="1:6" ht="30" customHeight="1" x14ac:dyDescent="0.25">
      <c r="A7129" s="1" t="s">
        <v>14265</v>
      </c>
      <c r="B7129" s="1" t="str">
        <f>"9781617050947"</f>
        <v>9781617050947</v>
      </c>
      <c r="C7129" s="1" t="s">
        <v>2342</v>
      </c>
      <c r="D7129" s="2">
        <v>41606</v>
      </c>
      <c r="E7129" s="1" t="s">
        <v>14266</v>
      </c>
      <c r="F7129" s="1" t="s">
        <v>13</v>
      </c>
    </row>
    <row r="7130" spans="1:6" ht="30" customHeight="1" x14ac:dyDescent="0.25">
      <c r="A7130" s="1" t="s">
        <v>14267</v>
      </c>
      <c r="B7130" s="1" t="str">
        <f>"9781608057351"</f>
        <v>9781608057351</v>
      </c>
      <c r="C7130" s="1" t="s">
        <v>11332</v>
      </c>
      <c r="D7130" s="2">
        <v>41554</v>
      </c>
      <c r="E7130" s="1" t="s">
        <v>14268</v>
      </c>
      <c r="F7130" s="1" t="s">
        <v>176</v>
      </c>
    </row>
    <row r="7131" spans="1:6" ht="30" customHeight="1" x14ac:dyDescent="0.25">
      <c r="A7131" s="1" t="s">
        <v>14269</v>
      </c>
      <c r="B7131" s="1" t="str">
        <f>"9780857280800"</f>
        <v>9780857280800</v>
      </c>
      <c r="C7131" s="1" t="s">
        <v>11036</v>
      </c>
      <c r="D7131" s="2">
        <v>41562</v>
      </c>
      <c r="E7131" s="1" t="s">
        <v>11037</v>
      </c>
      <c r="F7131" s="1" t="s">
        <v>95</v>
      </c>
    </row>
    <row r="7132" spans="1:6" ht="30" customHeight="1" x14ac:dyDescent="0.25">
      <c r="A7132" s="1" t="s">
        <v>14270</v>
      </c>
      <c r="B7132" s="1" t="str">
        <f>"9780123815057"</f>
        <v>9780123815057</v>
      </c>
      <c r="C7132" s="1" t="s">
        <v>900</v>
      </c>
      <c r="D7132" s="2">
        <v>41579</v>
      </c>
      <c r="E7132" s="1" t="s">
        <v>14271</v>
      </c>
      <c r="F7132" s="1" t="s">
        <v>95</v>
      </c>
    </row>
    <row r="7133" spans="1:6" ht="30" customHeight="1" x14ac:dyDescent="0.25">
      <c r="A7133" s="1" t="s">
        <v>14272</v>
      </c>
      <c r="B7133" s="1" t="str">
        <f>"9780826106117"</f>
        <v>9780826106117</v>
      </c>
      <c r="C7133" s="1" t="s">
        <v>2339</v>
      </c>
      <c r="D7133" s="2">
        <v>41570</v>
      </c>
      <c r="E7133" s="1" t="s">
        <v>14273</v>
      </c>
      <c r="F7133" s="1" t="s">
        <v>13</v>
      </c>
    </row>
    <row r="7134" spans="1:6" ht="30" customHeight="1" x14ac:dyDescent="0.25">
      <c r="A7134" s="1" t="s">
        <v>14274</v>
      </c>
      <c r="B7134" s="1" t="str">
        <f>"9780826195920"</f>
        <v>9780826195920</v>
      </c>
      <c r="C7134" s="1" t="s">
        <v>2339</v>
      </c>
      <c r="D7134" s="2">
        <v>41570</v>
      </c>
      <c r="E7134" s="1" t="s">
        <v>14275</v>
      </c>
      <c r="F7134" s="1" t="s">
        <v>13</v>
      </c>
    </row>
    <row r="7135" spans="1:6" ht="30" customHeight="1" x14ac:dyDescent="0.25">
      <c r="A7135" s="1" t="s">
        <v>14276</v>
      </c>
      <c r="B7135" s="1" t="str">
        <f>"9781886624719"</f>
        <v>9781886624719</v>
      </c>
      <c r="C7135" s="1" t="s">
        <v>14277</v>
      </c>
      <c r="D7135" s="2">
        <v>41527</v>
      </c>
      <c r="E7135" s="1" t="s">
        <v>14278</v>
      </c>
      <c r="F7135" s="1" t="s">
        <v>13</v>
      </c>
    </row>
    <row r="7136" spans="1:6" ht="30" customHeight="1" x14ac:dyDescent="0.25">
      <c r="A7136" s="1" t="s">
        <v>14279</v>
      </c>
      <c r="B7136" s="1" t="str">
        <f>"9781581108057"</f>
        <v>9781581108057</v>
      </c>
      <c r="C7136" s="1" t="s">
        <v>9624</v>
      </c>
      <c r="D7136" s="2">
        <v>41787</v>
      </c>
      <c r="E7136" s="1" t="s">
        <v>14280</v>
      </c>
      <c r="F7136" s="1" t="s">
        <v>904</v>
      </c>
    </row>
    <row r="7137" spans="1:6" ht="30" customHeight="1" x14ac:dyDescent="0.25">
      <c r="A7137" s="1" t="s">
        <v>14281</v>
      </c>
      <c r="B7137" s="1" t="str">
        <f>"9781118398883"</f>
        <v>9781118398883</v>
      </c>
      <c r="C7137" s="1" t="s">
        <v>11</v>
      </c>
      <c r="D7137" s="2">
        <v>41582</v>
      </c>
      <c r="E7137" s="1" t="s">
        <v>14282</v>
      </c>
      <c r="F7137" s="1" t="s">
        <v>13</v>
      </c>
    </row>
    <row r="7138" spans="1:6" ht="30" customHeight="1" x14ac:dyDescent="0.25">
      <c r="A7138" s="1" t="s">
        <v>14283</v>
      </c>
      <c r="B7138" s="1" t="str">
        <f>"9781118418901"</f>
        <v>9781118418901</v>
      </c>
      <c r="C7138" s="1" t="s">
        <v>65</v>
      </c>
      <c r="D7138" s="2">
        <v>41582</v>
      </c>
      <c r="E7138" s="1" t="s">
        <v>14284</v>
      </c>
      <c r="F7138" s="1" t="s">
        <v>95</v>
      </c>
    </row>
    <row r="7139" spans="1:6" ht="30" customHeight="1" x14ac:dyDescent="0.25">
      <c r="A7139" s="1" t="s">
        <v>14285</v>
      </c>
      <c r="B7139" s="1" t="str">
        <f>"9783131468130"</f>
        <v>9783131468130</v>
      </c>
      <c r="C7139" s="1" t="s">
        <v>1671</v>
      </c>
      <c r="D7139" s="2">
        <v>41255</v>
      </c>
      <c r="E7139" s="1" t="s">
        <v>14286</v>
      </c>
      <c r="F7139" s="1" t="s">
        <v>13</v>
      </c>
    </row>
    <row r="7140" spans="1:6" ht="30" customHeight="1" x14ac:dyDescent="0.25">
      <c r="A7140" s="1" t="s">
        <v>14287</v>
      </c>
      <c r="B7140" s="1" t="str">
        <f>"9781118472392"</f>
        <v>9781118472392</v>
      </c>
      <c r="C7140" s="1" t="s">
        <v>65</v>
      </c>
      <c r="D7140" s="2">
        <v>41575</v>
      </c>
      <c r="E7140" s="1" t="s">
        <v>8283</v>
      </c>
      <c r="F7140" s="1" t="s">
        <v>13</v>
      </c>
    </row>
    <row r="7141" spans="1:6" ht="30" customHeight="1" x14ac:dyDescent="0.25">
      <c r="A7141" s="1" t="s">
        <v>14288</v>
      </c>
      <c r="B7141" s="1" t="str">
        <f>"9780124055223"</f>
        <v>9780124055223</v>
      </c>
      <c r="C7141" s="1" t="s">
        <v>900</v>
      </c>
      <c r="D7141" s="2">
        <v>41576</v>
      </c>
      <c r="E7141" s="1" t="s">
        <v>12488</v>
      </c>
      <c r="F7141" s="1" t="s">
        <v>13</v>
      </c>
    </row>
    <row r="7142" spans="1:6" ht="30" customHeight="1" x14ac:dyDescent="0.25">
      <c r="A7142" s="1" t="s">
        <v>14289</v>
      </c>
      <c r="B7142" s="1" t="str">
        <f>"9781782411048"</f>
        <v>9781782411048</v>
      </c>
      <c r="C7142" s="1" t="s">
        <v>68</v>
      </c>
      <c r="D7142" s="2">
        <v>41579</v>
      </c>
      <c r="E7142" s="1" t="s">
        <v>14290</v>
      </c>
      <c r="F7142" s="1" t="s">
        <v>13</v>
      </c>
    </row>
    <row r="7143" spans="1:6" ht="30" customHeight="1" x14ac:dyDescent="0.25">
      <c r="A7143" s="1" t="s">
        <v>14291</v>
      </c>
      <c r="B7143" s="1" t="str">
        <f>"9781782411840"</f>
        <v>9781782411840</v>
      </c>
      <c r="C7143" s="1" t="s">
        <v>68</v>
      </c>
      <c r="D7143" s="2">
        <v>41597</v>
      </c>
      <c r="E7143" s="1" t="s">
        <v>14292</v>
      </c>
      <c r="F7143" s="1" t="s">
        <v>104</v>
      </c>
    </row>
    <row r="7144" spans="1:6" ht="30" customHeight="1" x14ac:dyDescent="0.25">
      <c r="A7144" s="1" t="s">
        <v>14293</v>
      </c>
      <c r="B7144" s="1" t="str">
        <f>"9781118463123"</f>
        <v>9781118463123</v>
      </c>
      <c r="C7144" s="1" t="s">
        <v>65</v>
      </c>
      <c r="D7144" s="2">
        <v>41585</v>
      </c>
      <c r="E7144" s="1" t="s">
        <v>14294</v>
      </c>
      <c r="F7144" s="1" t="s">
        <v>13</v>
      </c>
    </row>
    <row r="7145" spans="1:6" ht="30" customHeight="1" x14ac:dyDescent="0.25">
      <c r="A7145" s="1" t="s">
        <v>14295</v>
      </c>
      <c r="B7145" s="1" t="str">
        <f>"9781118384794"</f>
        <v>9781118384794</v>
      </c>
      <c r="C7145" s="1" t="s">
        <v>65</v>
      </c>
      <c r="D7145" s="2">
        <v>41585</v>
      </c>
      <c r="E7145" s="1" t="s">
        <v>14296</v>
      </c>
      <c r="F7145" s="1" t="s">
        <v>356</v>
      </c>
    </row>
    <row r="7146" spans="1:6" ht="30" customHeight="1" x14ac:dyDescent="0.25">
      <c r="A7146" s="1" t="s">
        <v>14297</v>
      </c>
      <c r="B7146" s="1" t="str">
        <f>"9781118763179"</f>
        <v>9781118763179</v>
      </c>
      <c r="C7146" s="1" t="s">
        <v>65</v>
      </c>
      <c r="D7146" s="2">
        <v>41585</v>
      </c>
      <c r="E7146" s="1" t="s">
        <v>14298</v>
      </c>
      <c r="F7146" s="1" t="s">
        <v>30</v>
      </c>
    </row>
    <row r="7147" spans="1:6" ht="30" customHeight="1" x14ac:dyDescent="0.25">
      <c r="A7147" s="1" t="s">
        <v>14299</v>
      </c>
      <c r="B7147" s="1" t="str">
        <f>"9781938134203"</f>
        <v>9781938134203</v>
      </c>
      <c r="C7147" s="1" t="s">
        <v>13844</v>
      </c>
      <c r="D7147" s="2">
        <v>41773</v>
      </c>
      <c r="E7147" s="1" t="s">
        <v>14300</v>
      </c>
      <c r="F7147" s="1" t="s">
        <v>13</v>
      </c>
    </row>
    <row r="7148" spans="1:6" ht="30" customHeight="1" x14ac:dyDescent="0.25">
      <c r="A7148" s="1" t="s">
        <v>14301</v>
      </c>
      <c r="B7148" s="1" t="str">
        <f>"9781938134265"</f>
        <v>9781938134265</v>
      </c>
      <c r="C7148" s="1" t="s">
        <v>13844</v>
      </c>
      <c r="D7148" s="2">
        <v>41773</v>
      </c>
      <c r="E7148" s="1" t="s">
        <v>14302</v>
      </c>
      <c r="F7148" s="1" t="s">
        <v>13</v>
      </c>
    </row>
    <row r="7149" spans="1:6" ht="30" customHeight="1" x14ac:dyDescent="0.25">
      <c r="A7149" s="1" t="s">
        <v>14303</v>
      </c>
      <c r="B7149" s="1" t="str">
        <f>"9781938134234"</f>
        <v>9781938134234</v>
      </c>
      <c r="C7149" s="1" t="s">
        <v>13844</v>
      </c>
      <c r="D7149" s="2">
        <v>41773</v>
      </c>
      <c r="E7149" s="1" t="s">
        <v>14304</v>
      </c>
      <c r="F7149" s="1" t="s">
        <v>13</v>
      </c>
    </row>
    <row r="7150" spans="1:6" ht="30" customHeight="1" x14ac:dyDescent="0.25">
      <c r="A7150" s="1" t="s">
        <v>14305</v>
      </c>
      <c r="B7150" s="1" t="str">
        <f>"9780826109439"</f>
        <v>9780826109439</v>
      </c>
      <c r="C7150" s="1" t="s">
        <v>2339</v>
      </c>
      <c r="D7150" s="2">
        <v>41605</v>
      </c>
      <c r="E7150" s="1" t="s">
        <v>14306</v>
      </c>
      <c r="F7150" s="1" t="s">
        <v>13</v>
      </c>
    </row>
    <row r="7151" spans="1:6" ht="30" customHeight="1" x14ac:dyDescent="0.25">
      <c r="A7151" s="1" t="s">
        <v>14307</v>
      </c>
      <c r="B7151" s="1" t="str">
        <f>"9780124159761"</f>
        <v>9780124159761</v>
      </c>
      <c r="C7151" s="1" t="s">
        <v>900</v>
      </c>
      <c r="D7151" s="2">
        <v>41586</v>
      </c>
      <c r="E7151" s="1" t="s">
        <v>14308</v>
      </c>
      <c r="F7151" s="1" t="s">
        <v>33</v>
      </c>
    </row>
    <row r="7152" spans="1:6" ht="30" customHeight="1" x14ac:dyDescent="0.25">
      <c r="A7152" s="1" t="s">
        <v>14309</v>
      </c>
      <c r="B7152" s="1" t="str">
        <f>"9781118526163"</f>
        <v>9781118526163</v>
      </c>
      <c r="C7152" s="1" t="s">
        <v>65</v>
      </c>
      <c r="D7152" s="2">
        <v>41589</v>
      </c>
      <c r="E7152" s="1" t="s">
        <v>14310</v>
      </c>
      <c r="F7152" s="1" t="s">
        <v>70</v>
      </c>
    </row>
    <row r="7153" spans="1:6" ht="30" customHeight="1" x14ac:dyDescent="0.25">
      <c r="A7153" s="1" t="s">
        <v>14311</v>
      </c>
      <c r="B7153" s="1" t="str">
        <f>"9780813561226"</f>
        <v>9780813561226</v>
      </c>
      <c r="C7153" s="1" t="s">
        <v>3656</v>
      </c>
      <c r="D7153" s="2">
        <v>41457</v>
      </c>
      <c r="E7153" s="1" t="s">
        <v>14312</v>
      </c>
      <c r="F7153" s="1" t="s">
        <v>30</v>
      </c>
    </row>
    <row r="7154" spans="1:6" ht="30" customHeight="1" x14ac:dyDescent="0.25">
      <c r="A7154" s="1" t="s">
        <v>14313</v>
      </c>
      <c r="B7154" s="1" t="str">
        <f>"9780813561387"</f>
        <v>9780813561387</v>
      </c>
      <c r="C7154" s="1" t="s">
        <v>3656</v>
      </c>
      <c r="D7154" s="2">
        <v>41498</v>
      </c>
      <c r="E7154" s="1" t="s">
        <v>14314</v>
      </c>
      <c r="F7154" s="1" t="s">
        <v>95</v>
      </c>
    </row>
    <row r="7155" spans="1:6" ht="30" customHeight="1" x14ac:dyDescent="0.25">
      <c r="A7155" s="1" t="s">
        <v>14315</v>
      </c>
      <c r="B7155" s="1" t="str">
        <f>"9780813565408"</f>
        <v>9780813565408</v>
      </c>
      <c r="C7155" s="1" t="s">
        <v>3656</v>
      </c>
      <c r="D7155" s="2">
        <v>41585</v>
      </c>
      <c r="E7155" s="1" t="s">
        <v>14316</v>
      </c>
      <c r="F7155" s="1" t="s">
        <v>148</v>
      </c>
    </row>
    <row r="7156" spans="1:6" ht="30" customHeight="1" x14ac:dyDescent="0.25">
      <c r="A7156" s="1" t="s">
        <v>14317</v>
      </c>
      <c r="B7156" s="1" t="str">
        <f>"9781610487931"</f>
        <v>9781610487931</v>
      </c>
      <c r="C7156" s="1" t="s">
        <v>14318</v>
      </c>
      <c r="D7156" s="2">
        <v>41590</v>
      </c>
      <c r="E7156" s="1" t="s">
        <v>14319</v>
      </c>
      <c r="F7156" s="1" t="s">
        <v>2537</v>
      </c>
    </row>
    <row r="7157" spans="1:6" ht="30" customHeight="1" x14ac:dyDescent="0.25">
      <c r="A7157" s="1" t="s">
        <v>14320</v>
      </c>
      <c r="B7157" s="1" t="str">
        <f>"9788376560236"</f>
        <v>9788376560236</v>
      </c>
      <c r="C7157" s="1" t="s">
        <v>13524</v>
      </c>
      <c r="D7157" s="2">
        <v>41619</v>
      </c>
      <c r="E7157" s="1" t="s">
        <v>7548</v>
      </c>
      <c r="F7157" s="1" t="s">
        <v>137</v>
      </c>
    </row>
    <row r="7158" spans="1:6" ht="30" customHeight="1" x14ac:dyDescent="0.25">
      <c r="A7158" s="1" t="s">
        <v>14321</v>
      </c>
      <c r="B7158" s="1" t="str">
        <f>"9781118620908"</f>
        <v>9781118620908</v>
      </c>
      <c r="C7158" s="1" t="s">
        <v>65</v>
      </c>
      <c r="D7158" s="2">
        <v>41592</v>
      </c>
      <c r="E7158" s="1" t="s">
        <v>14322</v>
      </c>
      <c r="F7158" s="1" t="s">
        <v>13</v>
      </c>
    </row>
    <row r="7159" spans="1:6" ht="30" customHeight="1" x14ac:dyDescent="0.25">
      <c r="A7159" s="1" t="s">
        <v>14323</v>
      </c>
      <c r="B7159" s="1" t="str">
        <f>"9781118765296"</f>
        <v>9781118765296</v>
      </c>
      <c r="C7159" s="1" t="s">
        <v>65</v>
      </c>
      <c r="D7159" s="2">
        <v>41591</v>
      </c>
      <c r="E7159" s="1" t="s">
        <v>14324</v>
      </c>
      <c r="F7159" s="1" t="s">
        <v>13</v>
      </c>
    </row>
    <row r="7160" spans="1:6" ht="30" customHeight="1" x14ac:dyDescent="0.25">
      <c r="A7160" s="1" t="s">
        <v>14325</v>
      </c>
      <c r="B7160" s="1" t="str">
        <f>"9781118846131"</f>
        <v>9781118846131</v>
      </c>
      <c r="C7160" s="1" t="s">
        <v>65</v>
      </c>
      <c r="D7160" s="2">
        <v>41591</v>
      </c>
      <c r="E7160" s="1" t="s">
        <v>14326</v>
      </c>
      <c r="F7160" s="1" t="s">
        <v>13</v>
      </c>
    </row>
    <row r="7161" spans="1:6" ht="30" customHeight="1" x14ac:dyDescent="0.25">
      <c r="A7161" s="1" t="s">
        <v>4614</v>
      </c>
      <c r="B7161" s="1" t="str">
        <f>"9781118689950"</f>
        <v>9781118689950</v>
      </c>
      <c r="C7161" s="1" t="s">
        <v>65</v>
      </c>
      <c r="D7161" s="2">
        <v>41592</v>
      </c>
      <c r="E7161" s="1" t="s">
        <v>4615</v>
      </c>
      <c r="F7161" s="1" t="s">
        <v>268</v>
      </c>
    </row>
    <row r="7162" spans="1:6" ht="30" customHeight="1" x14ac:dyDescent="0.25">
      <c r="A7162" s="1" t="s">
        <v>14327</v>
      </c>
      <c r="B7162" s="1" t="str">
        <f>"9780826196781"</f>
        <v>9780826196781</v>
      </c>
      <c r="C7162" s="1" t="s">
        <v>2339</v>
      </c>
      <c r="D7162" s="2">
        <v>41586</v>
      </c>
      <c r="E7162" s="1" t="s">
        <v>14328</v>
      </c>
      <c r="F7162" s="1" t="s">
        <v>13</v>
      </c>
    </row>
    <row r="7163" spans="1:6" ht="30" customHeight="1" x14ac:dyDescent="0.25">
      <c r="A7163" s="1" t="s">
        <v>14329</v>
      </c>
      <c r="B7163" s="1" t="str">
        <f>"9780826199362"</f>
        <v>9780826199362</v>
      </c>
      <c r="C7163" s="1" t="s">
        <v>2339</v>
      </c>
      <c r="D7163" s="2">
        <v>41586</v>
      </c>
      <c r="E7163" s="1" t="s">
        <v>14330</v>
      </c>
      <c r="F7163" s="1" t="s">
        <v>30</v>
      </c>
    </row>
    <row r="7164" spans="1:6" ht="30" customHeight="1" x14ac:dyDescent="0.25">
      <c r="A7164" s="1" t="s">
        <v>14331</v>
      </c>
      <c r="B7164" s="1" t="str">
        <f>"9780765708632"</f>
        <v>9780765708632</v>
      </c>
      <c r="C7164" s="1" t="s">
        <v>6903</v>
      </c>
      <c r="D7164" s="2">
        <v>41592</v>
      </c>
      <c r="E7164" s="1" t="s">
        <v>14332</v>
      </c>
      <c r="F7164" s="1" t="s">
        <v>13</v>
      </c>
    </row>
    <row r="7165" spans="1:6" ht="30" customHeight="1" x14ac:dyDescent="0.25">
      <c r="A7165" s="1" t="s">
        <v>14333</v>
      </c>
      <c r="B7165" s="1" t="str">
        <f>"9781444114638"</f>
        <v>9781444114638</v>
      </c>
      <c r="C7165" s="1" t="s">
        <v>172</v>
      </c>
      <c r="D7165" s="2">
        <v>38625</v>
      </c>
      <c r="E7165" s="1" t="s">
        <v>14334</v>
      </c>
      <c r="F7165" s="1" t="s">
        <v>13</v>
      </c>
    </row>
    <row r="7166" spans="1:6" ht="30" customHeight="1" x14ac:dyDescent="0.25">
      <c r="A7166" s="1" t="s">
        <v>14335</v>
      </c>
      <c r="B7166" s="1" t="str">
        <f>"9781118734711"</f>
        <v>9781118734711</v>
      </c>
      <c r="C7166" s="1" t="s">
        <v>65</v>
      </c>
      <c r="D7166" s="2">
        <v>41596</v>
      </c>
      <c r="E7166" s="1" t="s">
        <v>14336</v>
      </c>
      <c r="F7166" s="1" t="s">
        <v>33</v>
      </c>
    </row>
    <row r="7167" spans="1:6" ht="30" customHeight="1" x14ac:dyDescent="0.25">
      <c r="A7167" s="1" t="s">
        <v>14337</v>
      </c>
      <c r="B7167" s="1" t="str">
        <f>"9781118795835"</f>
        <v>9781118795835</v>
      </c>
      <c r="C7167" s="1" t="s">
        <v>65</v>
      </c>
      <c r="D7167" s="2">
        <v>41596</v>
      </c>
      <c r="E7167" s="1" t="s">
        <v>14338</v>
      </c>
      <c r="F7167" s="1" t="s">
        <v>95</v>
      </c>
    </row>
    <row r="7168" spans="1:6" ht="30" customHeight="1" x14ac:dyDescent="0.25">
      <c r="A7168" s="1" t="s">
        <v>14339</v>
      </c>
      <c r="B7168" s="1" t="str">
        <f>"9781409434801"</f>
        <v>9781409434801</v>
      </c>
      <c r="C7168" s="1" t="s">
        <v>68</v>
      </c>
      <c r="D7168" s="2">
        <v>41636</v>
      </c>
      <c r="E7168" s="1" t="s">
        <v>14340</v>
      </c>
      <c r="F7168" s="1" t="s">
        <v>30</v>
      </c>
    </row>
    <row r="7169" spans="1:6" ht="30" customHeight="1" x14ac:dyDescent="0.25">
      <c r="A7169" s="1" t="s">
        <v>14341</v>
      </c>
      <c r="B7169" s="1" t="str">
        <f>"9781118261217"</f>
        <v>9781118261217</v>
      </c>
      <c r="C7169" s="1" t="s">
        <v>65</v>
      </c>
      <c r="D7169" s="2">
        <v>41726</v>
      </c>
      <c r="E7169" s="1" t="s">
        <v>14342</v>
      </c>
      <c r="F7169" s="1" t="s">
        <v>13</v>
      </c>
    </row>
    <row r="7170" spans="1:6" ht="30" customHeight="1" x14ac:dyDescent="0.25">
      <c r="A7170" s="1" t="s">
        <v>14343</v>
      </c>
      <c r="B7170" s="1" t="str">
        <f>"9781118636671"</f>
        <v>9781118636671</v>
      </c>
      <c r="C7170" s="1" t="s">
        <v>65</v>
      </c>
      <c r="D7170" s="2">
        <v>41598</v>
      </c>
      <c r="E7170" s="1" t="s">
        <v>14344</v>
      </c>
      <c r="F7170" s="1" t="s">
        <v>13</v>
      </c>
    </row>
    <row r="7171" spans="1:6" ht="30" customHeight="1" x14ac:dyDescent="0.25">
      <c r="A7171" s="1" t="s">
        <v>14345</v>
      </c>
      <c r="B7171" s="1" t="str">
        <f>"9781118648360"</f>
        <v>9781118648360</v>
      </c>
      <c r="C7171" s="1" t="s">
        <v>65</v>
      </c>
      <c r="D7171" s="2">
        <v>41558</v>
      </c>
      <c r="E7171" s="1" t="s">
        <v>14346</v>
      </c>
      <c r="F7171" s="1" t="s">
        <v>137</v>
      </c>
    </row>
    <row r="7172" spans="1:6" ht="30" customHeight="1" x14ac:dyDescent="0.25">
      <c r="A7172" s="1" t="s">
        <v>14347</v>
      </c>
      <c r="B7172" s="1" t="str">
        <f>"9781118403044"</f>
        <v>9781118403044</v>
      </c>
      <c r="C7172" s="1" t="s">
        <v>11</v>
      </c>
      <c r="D7172" s="2">
        <v>41599</v>
      </c>
      <c r="E7172" s="1" t="s">
        <v>14348</v>
      </c>
      <c r="F7172" s="1" t="s">
        <v>158</v>
      </c>
    </row>
    <row r="7173" spans="1:6" ht="30" customHeight="1" x14ac:dyDescent="0.25">
      <c r="A7173" s="1" t="s">
        <v>14349</v>
      </c>
      <c r="B7173" s="1" t="str">
        <f>"9783527677283"</f>
        <v>9783527677283</v>
      </c>
      <c r="C7173" s="1" t="s">
        <v>65</v>
      </c>
      <c r="D7173" s="2">
        <v>41599</v>
      </c>
      <c r="E7173" s="1" t="s">
        <v>14350</v>
      </c>
      <c r="F7173" s="1" t="s">
        <v>137</v>
      </c>
    </row>
    <row r="7174" spans="1:6" ht="30" customHeight="1" x14ac:dyDescent="0.25">
      <c r="A7174" s="1" t="s">
        <v>14351</v>
      </c>
      <c r="B7174" s="1" t="str">
        <f>"9780826198280"</f>
        <v>9780826198280</v>
      </c>
      <c r="C7174" s="1" t="s">
        <v>2339</v>
      </c>
      <c r="D7174" s="2">
        <v>41603</v>
      </c>
      <c r="E7174" s="1" t="s">
        <v>14352</v>
      </c>
      <c r="F7174" s="1" t="s">
        <v>13</v>
      </c>
    </row>
    <row r="7175" spans="1:6" ht="30" customHeight="1" x14ac:dyDescent="0.25">
      <c r="A7175" s="1" t="s">
        <v>14353</v>
      </c>
      <c r="B7175" s="1" t="str">
        <f>"9780826199225"</f>
        <v>9780826199225</v>
      </c>
      <c r="C7175" s="1" t="s">
        <v>2339</v>
      </c>
      <c r="D7175" s="2">
        <v>41603</v>
      </c>
      <c r="E7175" s="1" t="s">
        <v>14354</v>
      </c>
      <c r="F7175" s="1" t="s">
        <v>13</v>
      </c>
    </row>
    <row r="7176" spans="1:6" ht="30" customHeight="1" x14ac:dyDescent="0.25">
      <c r="A7176" s="1" t="s">
        <v>14355</v>
      </c>
      <c r="B7176" s="1" t="str">
        <f>"9781464800610"</f>
        <v>9781464800610</v>
      </c>
      <c r="C7176" s="1" t="s">
        <v>6702</v>
      </c>
      <c r="D7176" s="2">
        <v>41275</v>
      </c>
      <c r="E7176" s="1" t="s">
        <v>14356</v>
      </c>
      <c r="F7176" s="1" t="s">
        <v>95</v>
      </c>
    </row>
    <row r="7177" spans="1:6" ht="30" customHeight="1" x14ac:dyDescent="0.25">
      <c r="A7177" s="1" t="s">
        <v>14357</v>
      </c>
      <c r="B7177" s="1" t="str">
        <f>"9781617050060"</f>
        <v>9781617050060</v>
      </c>
      <c r="C7177" s="1" t="s">
        <v>2342</v>
      </c>
      <c r="D7177" s="2">
        <v>41628</v>
      </c>
      <c r="E7177" s="1" t="s">
        <v>14358</v>
      </c>
      <c r="F7177" s="1" t="s">
        <v>221</v>
      </c>
    </row>
    <row r="7178" spans="1:6" ht="30" customHeight="1" x14ac:dyDescent="0.25">
      <c r="A7178" s="1" t="s">
        <v>14359</v>
      </c>
      <c r="B7178" s="1" t="str">
        <f>"9780817999087"</f>
        <v>9780817999087</v>
      </c>
      <c r="C7178" s="1" t="s">
        <v>14360</v>
      </c>
      <c r="D7178" s="2">
        <v>39416</v>
      </c>
      <c r="E7178" s="1" t="s">
        <v>14361</v>
      </c>
      <c r="F7178" s="1" t="s">
        <v>3399</v>
      </c>
    </row>
    <row r="7179" spans="1:6" ht="30" customHeight="1" x14ac:dyDescent="0.25">
      <c r="A7179" s="1" t="s">
        <v>14362</v>
      </c>
      <c r="B7179" s="1" t="str">
        <f>"9780826129826"</f>
        <v>9780826129826</v>
      </c>
      <c r="C7179" s="1" t="s">
        <v>2339</v>
      </c>
      <c r="D7179" s="2">
        <v>41614</v>
      </c>
      <c r="E7179" s="1" t="s">
        <v>14363</v>
      </c>
      <c r="F7179" s="1" t="s">
        <v>30</v>
      </c>
    </row>
    <row r="7180" spans="1:6" ht="30" customHeight="1" x14ac:dyDescent="0.25">
      <c r="A7180" s="1" t="s">
        <v>14364</v>
      </c>
      <c r="B7180" s="1" t="str">
        <f>"9780199749768"</f>
        <v>9780199749768</v>
      </c>
      <c r="C7180" s="1" t="s">
        <v>1120</v>
      </c>
      <c r="D7180" s="2">
        <v>40391</v>
      </c>
      <c r="E7180" s="1" t="s">
        <v>14365</v>
      </c>
      <c r="F7180" s="1" t="s">
        <v>13</v>
      </c>
    </row>
    <row r="7181" spans="1:6" ht="30" customHeight="1" x14ac:dyDescent="0.25">
      <c r="A7181" s="1" t="s">
        <v>14366</v>
      </c>
      <c r="B7181" s="1" t="str">
        <f>"9781118475942"</f>
        <v>9781118475942</v>
      </c>
      <c r="C7181" s="1" t="s">
        <v>11</v>
      </c>
      <c r="D7181" s="2">
        <v>41603</v>
      </c>
      <c r="E7181" s="1" t="s">
        <v>14367</v>
      </c>
      <c r="F7181" s="1" t="s">
        <v>13</v>
      </c>
    </row>
    <row r="7182" spans="1:6" ht="30" customHeight="1" x14ac:dyDescent="0.25">
      <c r="A7182" s="1" t="s">
        <v>14368</v>
      </c>
      <c r="B7182" s="1" t="str">
        <f>"9781118590614"</f>
        <v>9781118590614</v>
      </c>
      <c r="C7182" s="1" t="s">
        <v>11</v>
      </c>
      <c r="D7182" s="2">
        <v>41604</v>
      </c>
      <c r="E7182" s="1" t="s">
        <v>14369</v>
      </c>
      <c r="F7182" s="1" t="s">
        <v>13</v>
      </c>
    </row>
    <row r="7183" spans="1:6" ht="30" customHeight="1" x14ac:dyDescent="0.25">
      <c r="A7183" s="1" t="s">
        <v>14370</v>
      </c>
      <c r="B7183" s="1" t="str">
        <f>"9781118770320"</f>
        <v>9781118770320</v>
      </c>
      <c r="C7183" s="1" t="s">
        <v>65</v>
      </c>
      <c r="D7183" s="2">
        <v>41603</v>
      </c>
      <c r="E7183" s="1" t="s">
        <v>14371</v>
      </c>
      <c r="F7183" s="1" t="s">
        <v>137</v>
      </c>
    </row>
    <row r="7184" spans="1:6" ht="30" customHeight="1" x14ac:dyDescent="0.25">
      <c r="A7184" s="1" t="s">
        <v>14372</v>
      </c>
      <c r="B7184" s="1" t="str">
        <f>"9781118865637"</f>
        <v>9781118865637</v>
      </c>
      <c r="C7184" s="1" t="s">
        <v>65</v>
      </c>
      <c r="D7184" s="2">
        <v>41625</v>
      </c>
      <c r="E7184" s="1" t="s">
        <v>14373</v>
      </c>
      <c r="F7184" s="1" t="s">
        <v>4314</v>
      </c>
    </row>
    <row r="7185" spans="1:6" ht="30" customHeight="1" x14ac:dyDescent="0.25">
      <c r="A7185" s="1" t="s">
        <v>14374</v>
      </c>
      <c r="B7185" s="1" t="str">
        <f>"9783527648993"</f>
        <v>9783527648993</v>
      </c>
      <c r="C7185" s="1" t="s">
        <v>65</v>
      </c>
      <c r="D7185" s="2">
        <v>41603</v>
      </c>
      <c r="E7185" s="1" t="s">
        <v>14375</v>
      </c>
      <c r="F7185" s="1" t="s">
        <v>13</v>
      </c>
    </row>
    <row r="7186" spans="1:6" ht="30" customHeight="1" x14ac:dyDescent="0.25">
      <c r="A7186" s="1" t="s">
        <v>14376</v>
      </c>
      <c r="B7186" s="1" t="str">
        <f>"9780759124141"</f>
        <v>9780759124141</v>
      </c>
      <c r="C7186" s="1" t="s">
        <v>7466</v>
      </c>
      <c r="D7186" s="2">
        <v>41604</v>
      </c>
      <c r="E7186" s="1" t="s">
        <v>14377</v>
      </c>
      <c r="F7186" s="1" t="s">
        <v>8798</v>
      </c>
    </row>
    <row r="7187" spans="1:6" ht="30" customHeight="1" x14ac:dyDescent="0.25">
      <c r="A7187" s="1" t="s">
        <v>14378</v>
      </c>
      <c r="B7187" s="1" t="str">
        <f>"9781611494679"</f>
        <v>9781611494679</v>
      </c>
      <c r="C7187" s="1" t="s">
        <v>14379</v>
      </c>
      <c r="D7187" s="2">
        <v>41604</v>
      </c>
      <c r="E7187" s="1" t="s">
        <v>14380</v>
      </c>
      <c r="F7187" s="1" t="s">
        <v>13</v>
      </c>
    </row>
    <row r="7188" spans="1:6" ht="30" customHeight="1" x14ac:dyDescent="0.25">
      <c r="A7188" s="1" t="s">
        <v>14381</v>
      </c>
      <c r="B7188" s="1" t="str">
        <f>"9781118434512"</f>
        <v>9781118434512</v>
      </c>
      <c r="C7188" s="1" t="s">
        <v>65</v>
      </c>
      <c r="D7188" s="2">
        <v>41603</v>
      </c>
      <c r="E7188" s="1" t="s">
        <v>14382</v>
      </c>
      <c r="F7188" s="1" t="s">
        <v>13</v>
      </c>
    </row>
    <row r="7189" spans="1:6" ht="30" customHeight="1" x14ac:dyDescent="0.25">
      <c r="A7189" s="1" t="s">
        <v>14383</v>
      </c>
      <c r="B7189" s="1" t="str">
        <f>"9781118442043"</f>
        <v>9781118442043</v>
      </c>
      <c r="C7189" s="1" t="s">
        <v>65</v>
      </c>
      <c r="D7189" s="2">
        <v>41605</v>
      </c>
      <c r="E7189" s="1" t="s">
        <v>14384</v>
      </c>
      <c r="F7189" s="1" t="s">
        <v>5958</v>
      </c>
    </row>
    <row r="7190" spans="1:6" ht="30" customHeight="1" x14ac:dyDescent="0.25">
      <c r="A7190" s="1" t="s">
        <v>7043</v>
      </c>
      <c r="B7190" s="1" t="str">
        <f>"9781118708279"</f>
        <v>9781118708279</v>
      </c>
      <c r="C7190" s="1" t="s">
        <v>65</v>
      </c>
      <c r="D7190" s="2">
        <v>41604</v>
      </c>
      <c r="E7190" s="1" t="s">
        <v>14385</v>
      </c>
      <c r="F7190" s="1" t="s">
        <v>13</v>
      </c>
    </row>
    <row r="7191" spans="1:6" ht="30" customHeight="1" x14ac:dyDescent="0.25">
      <c r="A7191" s="1" t="s">
        <v>14386</v>
      </c>
      <c r="B7191" s="1" t="str">
        <f>"9780231536097"</f>
        <v>9780231536097</v>
      </c>
      <c r="C7191" s="1" t="s">
        <v>11751</v>
      </c>
      <c r="D7191" s="2">
        <v>41611</v>
      </c>
      <c r="E7191" s="1" t="s">
        <v>14387</v>
      </c>
      <c r="F7191" s="1" t="s">
        <v>13</v>
      </c>
    </row>
    <row r="7192" spans="1:6" ht="30" customHeight="1" x14ac:dyDescent="0.25">
      <c r="A7192" s="1" t="s">
        <v>14388</v>
      </c>
      <c r="B7192" s="1" t="str">
        <f>"9780857097231"</f>
        <v>9780857097231</v>
      </c>
      <c r="C7192" s="1" t="s">
        <v>900</v>
      </c>
      <c r="D7192" s="2">
        <v>41486</v>
      </c>
      <c r="E7192" s="1" t="s">
        <v>14390</v>
      </c>
      <c r="F7192" s="1" t="s">
        <v>3429</v>
      </c>
    </row>
    <row r="7193" spans="1:6" ht="30" customHeight="1" x14ac:dyDescent="0.25">
      <c r="A7193" s="1" t="s">
        <v>14391</v>
      </c>
      <c r="B7193" s="1" t="str">
        <f>"9780857098672"</f>
        <v>9780857098672</v>
      </c>
      <c r="C7193" s="1" t="s">
        <v>900</v>
      </c>
      <c r="D7193" s="2">
        <v>41517</v>
      </c>
      <c r="E7193" s="1" t="s">
        <v>14392</v>
      </c>
      <c r="F7193" s="1" t="s">
        <v>3875</v>
      </c>
    </row>
    <row r="7194" spans="1:6" ht="30" customHeight="1" x14ac:dyDescent="0.25">
      <c r="A7194" s="1" t="s">
        <v>14393</v>
      </c>
      <c r="B7194" s="1" t="str">
        <f>"9781608828791"</f>
        <v>9781608828791</v>
      </c>
      <c r="C7194" s="1" t="s">
        <v>10294</v>
      </c>
      <c r="D7194" s="2">
        <v>41609</v>
      </c>
      <c r="E7194" s="1" t="s">
        <v>14394</v>
      </c>
      <c r="F7194" s="1" t="s">
        <v>13</v>
      </c>
    </row>
    <row r="7195" spans="1:6" ht="30" customHeight="1" x14ac:dyDescent="0.25">
      <c r="A7195" s="1" t="s">
        <v>14395</v>
      </c>
      <c r="B7195" s="1" t="str">
        <f>"9783110336337"</f>
        <v>9783110336337</v>
      </c>
      <c r="C7195" s="1" t="s">
        <v>1848</v>
      </c>
      <c r="D7195" s="2">
        <v>42093</v>
      </c>
      <c r="E7195" s="1" t="s">
        <v>14396</v>
      </c>
      <c r="F7195" s="1" t="s">
        <v>3145</v>
      </c>
    </row>
    <row r="7196" spans="1:6" ht="30" customHeight="1" x14ac:dyDescent="0.25">
      <c r="A7196" s="1" t="s">
        <v>14397</v>
      </c>
      <c r="B7196" s="1" t="str">
        <f>"9783110316704"</f>
        <v>9783110316704</v>
      </c>
      <c r="C7196" s="1" t="s">
        <v>1848</v>
      </c>
      <c r="D7196" s="2">
        <v>42143</v>
      </c>
      <c r="E7196" s="1" t="s">
        <v>14398</v>
      </c>
      <c r="F7196" s="1" t="s">
        <v>13</v>
      </c>
    </row>
    <row r="7197" spans="1:6" ht="30" customHeight="1" x14ac:dyDescent="0.25">
      <c r="A7197" s="1" t="s">
        <v>14399</v>
      </c>
      <c r="B7197" s="1" t="str">
        <f>"9780123849304"</f>
        <v>9780123849304</v>
      </c>
      <c r="C7197" s="1" t="s">
        <v>900</v>
      </c>
      <c r="D7197" s="2">
        <v>41611</v>
      </c>
      <c r="E7197" s="1" t="s">
        <v>14400</v>
      </c>
      <c r="F7197" s="1" t="s">
        <v>13</v>
      </c>
    </row>
    <row r="7198" spans="1:6" ht="30" customHeight="1" x14ac:dyDescent="0.25">
      <c r="A7198" s="1" t="s">
        <v>14401</v>
      </c>
      <c r="B7198" s="1" t="str">
        <f>"9781118406441"</f>
        <v>9781118406441</v>
      </c>
      <c r="C7198" s="1" t="s">
        <v>65</v>
      </c>
      <c r="D7198" s="2">
        <v>41610</v>
      </c>
      <c r="E7198" s="1" t="s">
        <v>14402</v>
      </c>
      <c r="F7198" s="1" t="s">
        <v>13</v>
      </c>
    </row>
    <row r="7199" spans="1:6" ht="30" customHeight="1" x14ac:dyDescent="0.25">
      <c r="A7199" s="1" t="s">
        <v>14403</v>
      </c>
      <c r="B7199" s="1" t="str">
        <f>"9781118778661"</f>
        <v>9781118778661</v>
      </c>
      <c r="C7199" s="1" t="s">
        <v>65</v>
      </c>
      <c r="D7199" s="2">
        <v>41610</v>
      </c>
      <c r="E7199" s="1" t="s">
        <v>14404</v>
      </c>
      <c r="F7199" s="1" t="s">
        <v>13</v>
      </c>
    </row>
    <row r="7200" spans="1:6" ht="30" customHeight="1" x14ac:dyDescent="0.25">
      <c r="A7200" s="1" t="s">
        <v>14405</v>
      </c>
      <c r="B7200" s="1" t="str">
        <f>"9780813561769"</f>
        <v>9780813561769</v>
      </c>
      <c r="C7200" s="1" t="s">
        <v>3656</v>
      </c>
      <c r="D7200" s="2">
        <v>41634</v>
      </c>
      <c r="E7200" s="1" t="s">
        <v>14406</v>
      </c>
      <c r="F7200" s="1" t="s">
        <v>13</v>
      </c>
    </row>
    <row r="7201" spans="1:6" ht="30" customHeight="1" x14ac:dyDescent="0.25">
      <c r="A7201" s="1" t="s">
        <v>14407</v>
      </c>
      <c r="B7201" s="1" t="str">
        <f>"9781455776764"</f>
        <v>9781455776764</v>
      </c>
      <c r="C7201" s="1" t="s">
        <v>10526</v>
      </c>
      <c r="D7201" s="2">
        <v>41611</v>
      </c>
      <c r="E7201" s="1" t="s">
        <v>14408</v>
      </c>
      <c r="F7201" s="1" t="s">
        <v>13</v>
      </c>
    </row>
    <row r="7202" spans="1:6" ht="30" customHeight="1" x14ac:dyDescent="0.25">
      <c r="A7202" s="1" t="s">
        <v>14409</v>
      </c>
      <c r="B7202" s="1" t="str">
        <f>"9780323265638"</f>
        <v>9780323265638</v>
      </c>
      <c r="C7202" s="1" t="s">
        <v>10526</v>
      </c>
      <c r="D7202" s="2">
        <v>41605</v>
      </c>
      <c r="E7202" s="1" t="s">
        <v>14410</v>
      </c>
      <c r="F7202" s="1" t="s">
        <v>13</v>
      </c>
    </row>
    <row r="7203" spans="1:6" ht="30" customHeight="1" x14ac:dyDescent="0.25">
      <c r="A7203" s="1" t="s">
        <v>14411</v>
      </c>
      <c r="B7203" s="1" t="str">
        <f>"9781782411338"</f>
        <v>9781782411338</v>
      </c>
      <c r="C7203" s="1" t="s">
        <v>68</v>
      </c>
      <c r="D7203" s="2">
        <v>41619</v>
      </c>
      <c r="E7203" s="1" t="s">
        <v>14412</v>
      </c>
      <c r="F7203" s="1" t="s">
        <v>13</v>
      </c>
    </row>
    <row r="7204" spans="1:6" ht="30" customHeight="1" x14ac:dyDescent="0.25">
      <c r="A7204" s="1" t="s">
        <v>14413</v>
      </c>
      <c r="B7204" s="1" t="str">
        <f>"9781782412038"</f>
        <v>9781782412038</v>
      </c>
      <c r="C7204" s="1" t="s">
        <v>8994</v>
      </c>
      <c r="D7204" s="2">
        <v>41639</v>
      </c>
      <c r="E7204" s="1" t="s">
        <v>14414</v>
      </c>
      <c r="F7204" s="1" t="s">
        <v>13</v>
      </c>
    </row>
    <row r="7205" spans="1:6" ht="30" customHeight="1" x14ac:dyDescent="0.25">
      <c r="A7205" s="1" t="s">
        <v>14415</v>
      </c>
      <c r="B7205" s="1" t="str">
        <f>"9781118650936"</f>
        <v>9781118650936</v>
      </c>
      <c r="C7205" s="1" t="s">
        <v>65</v>
      </c>
      <c r="D7205" s="2">
        <v>41612</v>
      </c>
      <c r="E7205" s="1" t="s">
        <v>14416</v>
      </c>
      <c r="F7205" s="1" t="s">
        <v>13</v>
      </c>
    </row>
    <row r="7206" spans="1:6" ht="30" customHeight="1" x14ac:dyDescent="0.25">
      <c r="A7206" s="1" t="s">
        <v>14417</v>
      </c>
      <c r="B7206" s="1" t="str">
        <f>"9781118725528"</f>
        <v>9781118725528</v>
      </c>
      <c r="C7206" s="1" t="s">
        <v>65</v>
      </c>
      <c r="D7206" s="2">
        <v>41613</v>
      </c>
      <c r="E7206" s="1" t="s">
        <v>14418</v>
      </c>
      <c r="F7206" s="1" t="s">
        <v>13</v>
      </c>
    </row>
    <row r="7207" spans="1:6" ht="30" customHeight="1" x14ac:dyDescent="0.25">
      <c r="A7207" s="1" t="s">
        <v>14419</v>
      </c>
      <c r="B7207" s="1" t="str">
        <f>"9781845908805"</f>
        <v>9781845908805</v>
      </c>
      <c r="C7207" s="1" t="s">
        <v>14145</v>
      </c>
      <c r="D7207" s="2">
        <v>41655</v>
      </c>
      <c r="E7207" s="1" t="s">
        <v>14420</v>
      </c>
      <c r="F7207" s="1" t="s">
        <v>13</v>
      </c>
    </row>
    <row r="7208" spans="1:6" ht="30" customHeight="1" x14ac:dyDescent="0.25">
      <c r="A7208" s="1" t="s">
        <v>14421</v>
      </c>
      <c r="B7208" s="1" t="str">
        <f>"9780191029349"</f>
        <v>9780191029349</v>
      </c>
      <c r="C7208" s="1" t="s">
        <v>1117</v>
      </c>
      <c r="D7208" s="2">
        <v>40948</v>
      </c>
      <c r="E7208" s="1" t="s">
        <v>14422</v>
      </c>
      <c r="F7208" s="1" t="s">
        <v>13</v>
      </c>
    </row>
    <row r="7209" spans="1:6" ht="30" customHeight="1" x14ac:dyDescent="0.25">
      <c r="A7209" s="1" t="s">
        <v>14423</v>
      </c>
      <c r="B7209" s="1" t="str">
        <f>"9780826195616"</f>
        <v>9780826195616</v>
      </c>
      <c r="C7209" s="1" t="s">
        <v>2339</v>
      </c>
      <c r="D7209" s="2">
        <v>41614</v>
      </c>
      <c r="E7209" s="1" t="s">
        <v>14424</v>
      </c>
      <c r="F7209" s="1" t="s">
        <v>126</v>
      </c>
    </row>
    <row r="7210" spans="1:6" ht="30" customHeight="1" x14ac:dyDescent="0.25">
      <c r="A7210" s="1" t="s">
        <v>14425</v>
      </c>
      <c r="B7210" s="1" t="str">
        <f>"9780826169433"</f>
        <v>9780826169433</v>
      </c>
      <c r="C7210" s="1" t="s">
        <v>2339</v>
      </c>
      <c r="D7210" s="2">
        <v>41619</v>
      </c>
      <c r="E7210" s="1" t="s">
        <v>14426</v>
      </c>
      <c r="F7210" s="1" t="s">
        <v>283</v>
      </c>
    </row>
    <row r="7211" spans="1:6" ht="30" customHeight="1" x14ac:dyDescent="0.25">
      <c r="A7211" s="1" t="s">
        <v>14427</v>
      </c>
      <c r="B7211" s="1" t="str">
        <f>"9780826171078"</f>
        <v>9780826171078</v>
      </c>
      <c r="C7211" s="1" t="s">
        <v>2339</v>
      </c>
      <c r="D7211" s="2">
        <v>41614</v>
      </c>
      <c r="E7211" s="1" t="s">
        <v>14428</v>
      </c>
      <c r="F7211" s="1" t="s">
        <v>13</v>
      </c>
    </row>
    <row r="7212" spans="1:6" ht="30" customHeight="1" x14ac:dyDescent="0.25">
      <c r="A7212" s="1" t="s">
        <v>14429</v>
      </c>
      <c r="B7212" s="1" t="str">
        <f>"9780123965424"</f>
        <v>9780123965424</v>
      </c>
      <c r="C7212" s="1" t="s">
        <v>900</v>
      </c>
      <c r="D7212" s="2">
        <v>41613</v>
      </c>
      <c r="E7212" s="1" t="s">
        <v>901</v>
      </c>
      <c r="F7212" s="1" t="s">
        <v>13</v>
      </c>
    </row>
    <row r="7213" spans="1:6" ht="30" customHeight="1" x14ac:dyDescent="0.25">
      <c r="A7213" s="1" t="s">
        <v>14430</v>
      </c>
      <c r="B7213" s="1" t="str">
        <f>"9780323221696"</f>
        <v>9780323221696</v>
      </c>
      <c r="C7213" s="1" t="s">
        <v>10526</v>
      </c>
      <c r="D7213" s="2">
        <v>41613</v>
      </c>
      <c r="E7213" s="1" t="s">
        <v>14431</v>
      </c>
      <c r="F7213" s="1" t="s">
        <v>13</v>
      </c>
    </row>
    <row r="7214" spans="1:6" ht="30" customHeight="1" x14ac:dyDescent="0.25">
      <c r="A7214" s="1" t="s">
        <v>14432</v>
      </c>
      <c r="B7214" s="1" t="str">
        <f>"9781118727089"</f>
        <v>9781118727089</v>
      </c>
      <c r="C7214" s="1" t="s">
        <v>65</v>
      </c>
      <c r="D7214" s="2">
        <v>41619</v>
      </c>
      <c r="E7214" s="1" t="s">
        <v>14433</v>
      </c>
      <c r="F7214" s="1" t="s">
        <v>13</v>
      </c>
    </row>
    <row r="7215" spans="1:6" ht="30" customHeight="1" x14ac:dyDescent="0.25">
      <c r="A7215" s="1" t="s">
        <v>14434</v>
      </c>
      <c r="B7215" s="1" t="str">
        <f>"9781118827161"</f>
        <v>9781118827161</v>
      </c>
      <c r="C7215" s="1" t="s">
        <v>65</v>
      </c>
      <c r="D7215" s="2">
        <v>41619</v>
      </c>
      <c r="E7215" s="1" t="s">
        <v>14435</v>
      </c>
      <c r="F7215" s="1" t="s">
        <v>14436</v>
      </c>
    </row>
    <row r="7216" spans="1:6" ht="30" customHeight="1" x14ac:dyDescent="0.25">
      <c r="A7216" s="1" t="s">
        <v>14437</v>
      </c>
      <c r="B7216" s="1" t="str">
        <f>"9781782411970"</f>
        <v>9781782411970</v>
      </c>
      <c r="C7216" s="1" t="s">
        <v>68</v>
      </c>
      <c r="D7216" s="2">
        <v>41626</v>
      </c>
      <c r="E7216" s="1" t="s">
        <v>14438</v>
      </c>
      <c r="F7216" s="1" t="s">
        <v>104</v>
      </c>
    </row>
    <row r="7217" spans="1:6" ht="30" customHeight="1" x14ac:dyDescent="0.25">
      <c r="A7217" s="1" t="s">
        <v>14439</v>
      </c>
      <c r="B7217" s="1" t="str">
        <f>"9781118603642"</f>
        <v>9781118603642</v>
      </c>
      <c r="C7217" s="1" t="s">
        <v>65</v>
      </c>
      <c r="D7217" s="2">
        <v>41620</v>
      </c>
      <c r="E7217" s="1" t="s">
        <v>14440</v>
      </c>
      <c r="F7217" s="1" t="s">
        <v>30</v>
      </c>
    </row>
    <row r="7218" spans="1:6" ht="30" customHeight="1" x14ac:dyDescent="0.25">
      <c r="A7218" s="1" t="s">
        <v>14441</v>
      </c>
      <c r="B7218" s="1" t="str">
        <f>"9781118816790"</f>
        <v>9781118816790</v>
      </c>
      <c r="C7218" s="1" t="s">
        <v>65</v>
      </c>
      <c r="D7218" s="2">
        <v>41621</v>
      </c>
      <c r="E7218" s="1" t="s">
        <v>14442</v>
      </c>
      <c r="F7218" s="1" t="s">
        <v>13</v>
      </c>
    </row>
    <row r="7219" spans="1:6" ht="30" customHeight="1" x14ac:dyDescent="0.25">
      <c r="A7219" s="1" t="s">
        <v>14443</v>
      </c>
      <c r="B7219" s="1" t="str">
        <f>"9781617051906"</f>
        <v>9781617051906</v>
      </c>
      <c r="C7219" s="1" t="s">
        <v>2342</v>
      </c>
      <c r="D7219" s="2">
        <v>41628</v>
      </c>
      <c r="E7219" s="1" t="s">
        <v>14444</v>
      </c>
      <c r="F7219" s="1" t="s">
        <v>158</v>
      </c>
    </row>
    <row r="7220" spans="1:6" ht="30" customHeight="1" x14ac:dyDescent="0.25">
      <c r="A7220" s="1" t="s">
        <v>14445</v>
      </c>
      <c r="B7220" s="1" t="str">
        <f>"9780826171054"</f>
        <v>9780826171054</v>
      </c>
      <c r="C7220" s="1" t="s">
        <v>2339</v>
      </c>
      <c r="D7220" s="2">
        <v>41613</v>
      </c>
      <c r="E7220" s="1" t="s">
        <v>14446</v>
      </c>
      <c r="F7220" s="1" t="s">
        <v>13</v>
      </c>
    </row>
    <row r="7221" spans="1:6" ht="30" customHeight="1" x14ac:dyDescent="0.25">
      <c r="A7221" s="1" t="s">
        <v>14447</v>
      </c>
      <c r="B7221" s="1" t="str">
        <f>"9780826193889"</f>
        <v>9780826193889</v>
      </c>
      <c r="C7221" s="1" t="s">
        <v>2339</v>
      </c>
      <c r="D7221" s="2">
        <v>41613</v>
      </c>
      <c r="E7221" s="1" t="s">
        <v>14448</v>
      </c>
      <c r="F7221" s="1" t="s">
        <v>126</v>
      </c>
    </row>
    <row r="7222" spans="1:6" ht="30" customHeight="1" x14ac:dyDescent="0.25">
      <c r="A7222" s="1" t="s">
        <v>14449</v>
      </c>
      <c r="B7222" s="1" t="str">
        <f>"9780826110084"</f>
        <v>9780826110084</v>
      </c>
      <c r="C7222" s="1" t="s">
        <v>2339</v>
      </c>
      <c r="D7222" s="2">
        <v>41698</v>
      </c>
      <c r="E7222" s="1" t="s">
        <v>14450</v>
      </c>
      <c r="F7222" s="1" t="s">
        <v>13</v>
      </c>
    </row>
    <row r="7223" spans="1:6" ht="30" customHeight="1" x14ac:dyDescent="0.25">
      <c r="A7223" s="1" t="s">
        <v>14451</v>
      </c>
      <c r="B7223" s="1" t="str">
        <f>"9780857095749"</f>
        <v>9780857095749</v>
      </c>
      <c r="C7223" s="1" t="s">
        <v>900</v>
      </c>
      <c r="D7223" s="2">
        <v>41547</v>
      </c>
      <c r="E7223" s="1" t="s">
        <v>14452</v>
      </c>
      <c r="F7223" s="1" t="s">
        <v>95</v>
      </c>
    </row>
    <row r="7224" spans="1:6" ht="30" customHeight="1" x14ac:dyDescent="0.25">
      <c r="A7224" s="1" t="s">
        <v>14453</v>
      </c>
      <c r="B7224" s="1" t="str">
        <f>"9781118495162"</f>
        <v>9781118495162</v>
      </c>
      <c r="C7224" s="1" t="s">
        <v>11</v>
      </c>
      <c r="D7224" s="2">
        <v>41620</v>
      </c>
      <c r="E7224" s="1" t="s">
        <v>14454</v>
      </c>
      <c r="F7224" s="1" t="s">
        <v>13</v>
      </c>
    </row>
    <row r="7225" spans="1:6" ht="30" customHeight="1" x14ac:dyDescent="0.25">
      <c r="A7225" s="1" t="s">
        <v>14455</v>
      </c>
      <c r="B7225" s="1" t="str">
        <f>"9781608823352"</f>
        <v>9781608823352</v>
      </c>
      <c r="C7225" s="1" t="s">
        <v>10289</v>
      </c>
      <c r="D7225" s="2">
        <v>41609</v>
      </c>
      <c r="E7225" s="1" t="s">
        <v>14456</v>
      </c>
      <c r="F7225" s="1" t="s">
        <v>13</v>
      </c>
    </row>
    <row r="7226" spans="1:6" ht="30" customHeight="1" x14ac:dyDescent="0.25">
      <c r="A7226" s="1" t="s">
        <v>14457</v>
      </c>
      <c r="B7226" s="1" t="str">
        <f>"9789401209434"</f>
        <v>9789401209434</v>
      </c>
      <c r="C7226" s="1" t="s">
        <v>906</v>
      </c>
      <c r="D7226" s="2">
        <v>41522</v>
      </c>
      <c r="E7226" s="1" t="s">
        <v>14458</v>
      </c>
      <c r="F7226" s="1" t="s">
        <v>70</v>
      </c>
    </row>
    <row r="7227" spans="1:6" ht="30" customHeight="1" x14ac:dyDescent="0.25">
      <c r="A7227" s="1" t="s">
        <v>14459</v>
      </c>
      <c r="B7227" s="1" t="str">
        <f>"9789401209472"</f>
        <v>9789401209472</v>
      </c>
      <c r="C7227" s="1" t="s">
        <v>906</v>
      </c>
      <c r="D7227" s="2">
        <v>41557</v>
      </c>
      <c r="E7227" s="1" t="s">
        <v>14460</v>
      </c>
      <c r="F7227" s="1" t="s">
        <v>13</v>
      </c>
    </row>
    <row r="7228" spans="1:6" ht="30" customHeight="1" x14ac:dyDescent="0.25">
      <c r="A7228" s="1" t="s">
        <v>14461</v>
      </c>
      <c r="B7228" s="1" t="str">
        <f>"9789401209618"</f>
        <v>9789401209618</v>
      </c>
      <c r="C7228" s="1" t="s">
        <v>906</v>
      </c>
      <c r="D7228" s="2">
        <v>41557</v>
      </c>
      <c r="E7228" s="1" t="s">
        <v>14462</v>
      </c>
      <c r="F7228" s="1" t="s">
        <v>13</v>
      </c>
    </row>
    <row r="7229" spans="1:6" ht="30" customHeight="1" x14ac:dyDescent="0.25">
      <c r="A7229" s="1" t="s">
        <v>14463</v>
      </c>
      <c r="B7229" s="1" t="str">
        <f>"9789401209830"</f>
        <v>9789401209830</v>
      </c>
      <c r="C7229" s="1" t="s">
        <v>7988</v>
      </c>
      <c r="D7229" s="2">
        <v>41548</v>
      </c>
      <c r="E7229" s="1" t="s">
        <v>14464</v>
      </c>
      <c r="F7229" s="1" t="s">
        <v>205</v>
      </c>
    </row>
    <row r="7230" spans="1:6" ht="30" customHeight="1" x14ac:dyDescent="0.25">
      <c r="A7230" s="1" t="s">
        <v>14465</v>
      </c>
      <c r="B7230" s="1" t="str">
        <f>"9781107780194"</f>
        <v>9781107780194</v>
      </c>
      <c r="C7230" s="1" t="s">
        <v>14466</v>
      </c>
      <c r="D7230" s="2">
        <v>40391</v>
      </c>
      <c r="E7230" s="1" t="s">
        <v>14467</v>
      </c>
      <c r="F7230" s="1" t="s">
        <v>13</v>
      </c>
    </row>
    <row r="7231" spans="1:6" ht="30" customHeight="1" x14ac:dyDescent="0.25">
      <c r="A7231" s="1" t="s">
        <v>6940</v>
      </c>
      <c r="B7231" s="1" t="str">
        <f>"9781118466599"</f>
        <v>9781118466599</v>
      </c>
      <c r="C7231" s="1" t="s">
        <v>65</v>
      </c>
      <c r="D7231" s="2">
        <v>41625</v>
      </c>
      <c r="E7231" s="1" t="s">
        <v>14468</v>
      </c>
      <c r="F7231" s="1" t="s">
        <v>30</v>
      </c>
    </row>
    <row r="7232" spans="1:6" ht="30" customHeight="1" x14ac:dyDescent="0.25">
      <c r="A7232" s="1" t="s">
        <v>14469</v>
      </c>
      <c r="B7232" s="1" t="str">
        <f>"9781617050756"</f>
        <v>9781617050756</v>
      </c>
      <c r="C7232" s="1" t="s">
        <v>2342</v>
      </c>
      <c r="D7232" s="2">
        <v>41618</v>
      </c>
      <c r="E7232" s="1" t="s">
        <v>14470</v>
      </c>
      <c r="F7232" s="1" t="s">
        <v>13</v>
      </c>
    </row>
    <row r="7233" spans="1:6" ht="30" customHeight="1" x14ac:dyDescent="0.25">
      <c r="A7233" s="1" t="s">
        <v>11214</v>
      </c>
      <c r="B7233" s="1" t="str">
        <f>"9781907830785"</f>
        <v>9781907830785</v>
      </c>
      <c r="C7233" s="1" t="s">
        <v>11198</v>
      </c>
      <c r="D7233" s="2">
        <v>41646</v>
      </c>
      <c r="E7233" s="1" t="s">
        <v>14471</v>
      </c>
      <c r="F7233" s="1" t="s">
        <v>268</v>
      </c>
    </row>
    <row r="7234" spans="1:6" ht="30" customHeight="1" x14ac:dyDescent="0.25">
      <c r="A7234" s="1" t="s">
        <v>14472</v>
      </c>
      <c r="B7234" s="1" t="str">
        <f>"9781118762806"</f>
        <v>9781118762806</v>
      </c>
      <c r="C7234" s="1" t="s">
        <v>65</v>
      </c>
      <c r="D7234" s="2">
        <v>41625</v>
      </c>
      <c r="E7234" s="1" t="s">
        <v>14473</v>
      </c>
      <c r="F7234" s="1" t="s">
        <v>176</v>
      </c>
    </row>
    <row r="7235" spans="1:6" ht="30" customHeight="1" x14ac:dyDescent="0.25">
      <c r="A7235" s="1" t="s">
        <v>14474</v>
      </c>
      <c r="B7235" s="1" t="str">
        <f>"9783527675296"</f>
        <v>9783527675296</v>
      </c>
      <c r="C7235" s="1" t="s">
        <v>65</v>
      </c>
      <c r="D7235" s="2">
        <v>41626</v>
      </c>
      <c r="E7235" s="1" t="s">
        <v>14475</v>
      </c>
      <c r="F7235" s="1" t="s">
        <v>8901</v>
      </c>
    </row>
    <row r="7236" spans="1:6" ht="30" customHeight="1" x14ac:dyDescent="0.25">
      <c r="A7236" s="1" t="s">
        <v>14476</v>
      </c>
      <c r="B7236" s="1" t="str">
        <f>"9781118517130"</f>
        <v>9781118517130</v>
      </c>
      <c r="C7236" s="1" t="s">
        <v>65</v>
      </c>
      <c r="D7236" s="2">
        <v>41719</v>
      </c>
      <c r="E7236" s="1" t="s">
        <v>14477</v>
      </c>
      <c r="F7236" s="1" t="s">
        <v>1568</v>
      </c>
    </row>
    <row r="7237" spans="1:6" ht="30" customHeight="1" x14ac:dyDescent="0.25">
      <c r="A7237" s="1" t="s">
        <v>14478</v>
      </c>
      <c r="B7237" s="1" t="str">
        <f>"9781118696569"</f>
        <v>9781118696569</v>
      </c>
      <c r="C7237" s="1" t="s">
        <v>65</v>
      </c>
      <c r="D7237" s="2">
        <v>41684</v>
      </c>
      <c r="E7237" s="1" t="s">
        <v>14479</v>
      </c>
      <c r="F7237" s="1" t="s">
        <v>137</v>
      </c>
    </row>
    <row r="7238" spans="1:6" ht="30" customHeight="1" x14ac:dyDescent="0.25">
      <c r="A7238" s="1" t="s">
        <v>14480</v>
      </c>
      <c r="B7238" s="1" t="str">
        <f>"9781118737965"</f>
        <v>9781118737965</v>
      </c>
      <c r="C7238" s="1" t="s">
        <v>11</v>
      </c>
      <c r="D7238" s="2">
        <v>41627</v>
      </c>
      <c r="E7238" s="1" t="s">
        <v>14481</v>
      </c>
      <c r="F7238" s="1" t="s">
        <v>13</v>
      </c>
    </row>
    <row r="7239" spans="1:6" ht="30" customHeight="1" x14ac:dyDescent="0.25">
      <c r="A7239" s="1" t="s">
        <v>14482</v>
      </c>
      <c r="B7239" s="1" t="str">
        <f>"9781118360972"</f>
        <v>9781118360972</v>
      </c>
      <c r="C7239" s="1" t="s">
        <v>65</v>
      </c>
      <c r="D7239" s="2">
        <v>41627</v>
      </c>
      <c r="E7239" s="1" t="s">
        <v>14483</v>
      </c>
      <c r="F7239" s="1" t="s">
        <v>13</v>
      </c>
    </row>
    <row r="7240" spans="1:6" ht="30" customHeight="1" x14ac:dyDescent="0.25">
      <c r="A7240" s="1" t="s">
        <v>14484</v>
      </c>
      <c r="B7240" s="1" t="str">
        <f>"9780857096449"</f>
        <v>9780857096449</v>
      </c>
      <c r="C7240" s="1" t="s">
        <v>900</v>
      </c>
      <c r="D7240" s="2">
        <v>41201</v>
      </c>
      <c r="E7240" s="1" t="s">
        <v>14485</v>
      </c>
      <c r="F7240" s="1" t="s">
        <v>13</v>
      </c>
    </row>
    <row r="7241" spans="1:6" ht="30" customHeight="1" x14ac:dyDescent="0.25">
      <c r="A7241" s="1" t="s">
        <v>14486</v>
      </c>
      <c r="B7241" s="1" t="str">
        <f>"9780857090348"</f>
        <v>9780857090348</v>
      </c>
      <c r="C7241" s="1" t="s">
        <v>900</v>
      </c>
      <c r="D7241" s="2">
        <v>40374</v>
      </c>
      <c r="E7241" s="1" t="s">
        <v>14487</v>
      </c>
      <c r="F7241" s="1" t="s">
        <v>13</v>
      </c>
    </row>
    <row r="7242" spans="1:6" ht="30" customHeight="1" x14ac:dyDescent="0.25">
      <c r="A7242" s="1" t="s">
        <v>14488</v>
      </c>
      <c r="B7242" s="1" t="str">
        <f>"9781118347386"</f>
        <v>9781118347386</v>
      </c>
      <c r="C7242" s="1" t="s">
        <v>65</v>
      </c>
      <c r="D7242" s="2">
        <v>41631</v>
      </c>
      <c r="E7242" s="1" t="s">
        <v>14489</v>
      </c>
      <c r="F7242" s="1" t="s">
        <v>13</v>
      </c>
    </row>
    <row r="7243" spans="1:6" ht="30" customHeight="1" x14ac:dyDescent="0.25">
      <c r="A7243" s="1" t="s">
        <v>415</v>
      </c>
      <c r="B7243" s="1" t="str">
        <f>"9781118456958"</f>
        <v>9781118456958</v>
      </c>
      <c r="C7243" s="1" t="s">
        <v>65</v>
      </c>
      <c r="D7243" s="2">
        <v>41632</v>
      </c>
      <c r="E7243" s="1" t="s">
        <v>14490</v>
      </c>
      <c r="F7243" s="1" t="s">
        <v>13</v>
      </c>
    </row>
    <row r="7244" spans="1:6" ht="30" customHeight="1" x14ac:dyDescent="0.25">
      <c r="A7244" s="1" t="s">
        <v>14491</v>
      </c>
      <c r="B7244" s="1" t="str">
        <f>"9781118519233"</f>
        <v>9781118519233</v>
      </c>
      <c r="C7244" s="1" t="s">
        <v>11</v>
      </c>
      <c r="D7244" s="2">
        <v>41632</v>
      </c>
      <c r="E7244" s="1" t="s">
        <v>14492</v>
      </c>
      <c r="F7244" s="1" t="s">
        <v>13</v>
      </c>
    </row>
    <row r="7245" spans="1:6" ht="30" customHeight="1" x14ac:dyDescent="0.25">
      <c r="A7245" s="1" t="s">
        <v>14493</v>
      </c>
      <c r="B7245" s="1" t="str">
        <f>"9781608827992"</f>
        <v>9781608827992</v>
      </c>
      <c r="C7245" s="1" t="s">
        <v>10294</v>
      </c>
      <c r="D7245" s="2">
        <v>41641</v>
      </c>
      <c r="E7245" s="1" t="s">
        <v>14494</v>
      </c>
      <c r="F7245" s="1" t="s">
        <v>13</v>
      </c>
    </row>
    <row r="7246" spans="1:6" ht="30" customHeight="1" x14ac:dyDescent="0.25">
      <c r="A7246" s="1" t="s">
        <v>14495</v>
      </c>
      <c r="B7246" s="1" t="str">
        <f>"9780739188897"</f>
        <v>9780739188897</v>
      </c>
      <c r="C7246" s="1" t="s">
        <v>9841</v>
      </c>
      <c r="D7246" s="2">
        <v>41634</v>
      </c>
      <c r="E7246" s="1" t="s">
        <v>14496</v>
      </c>
      <c r="F7246" s="1" t="s">
        <v>30</v>
      </c>
    </row>
    <row r="7247" spans="1:6" ht="30" customHeight="1" x14ac:dyDescent="0.25">
      <c r="A7247" s="1" t="s">
        <v>14497</v>
      </c>
      <c r="B7247" s="1" t="str">
        <f>"9781118434567"</f>
        <v>9781118434567</v>
      </c>
      <c r="C7247" s="1" t="s">
        <v>11</v>
      </c>
      <c r="D7247" s="2">
        <v>41632</v>
      </c>
      <c r="E7247" s="1" t="s">
        <v>14498</v>
      </c>
      <c r="F7247" s="1" t="s">
        <v>7666</v>
      </c>
    </row>
    <row r="7248" spans="1:6" ht="30" customHeight="1" x14ac:dyDescent="0.25">
      <c r="A7248" s="1" t="s">
        <v>14499</v>
      </c>
      <c r="B7248" s="1" t="str">
        <f>"9781118674321"</f>
        <v>9781118674321</v>
      </c>
      <c r="C7248" s="1" t="s">
        <v>65</v>
      </c>
      <c r="D7248" s="2">
        <v>41582</v>
      </c>
      <c r="E7248" s="1" t="s">
        <v>14500</v>
      </c>
      <c r="F7248" s="1" t="s">
        <v>13</v>
      </c>
    </row>
    <row r="7249" spans="1:6" ht="30" customHeight="1" x14ac:dyDescent="0.25">
      <c r="A7249" s="1" t="s">
        <v>14501</v>
      </c>
      <c r="B7249" s="1" t="str">
        <f>"9781118899229"</f>
        <v>9781118899229</v>
      </c>
      <c r="C7249" s="1" t="s">
        <v>65</v>
      </c>
      <c r="D7249" s="2">
        <v>41632</v>
      </c>
      <c r="E7249" s="1" t="s">
        <v>14502</v>
      </c>
      <c r="F7249" s="1" t="s">
        <v>30</v>
      </c>
    </row>
    <row r="7250" spans="1:6" ht="30" customHeight="1" x14ac:dyDescent="0.25">
      <c r="A7250" s="1" t="s">
        <v>14503</v>
      </c>
      <c r="B7250" s="1" t="str">
        <f>"9781611323672"</f>
        <v>9781611323672</v>
      </c>
      <c r="C7250" s="1" t="s">
        <v>68</v>
      </c>
      <c r="D7250" s="2">
        <v>41623</v>
      </c>
      <c r="E7250" s="1" t="s">
        <v>14504</v>
      </c>
      <c r="F7250" s="1" t="s">
        <v>13</v>
      </c>
    </row>
    <row r="7251" spans="1:6" ht="30" customHeight="1" x14ac:dyDescent="0.25">
      <c r="A7251" s="1" t="s">
        <v>14505</v>
      </c>
      <c r="B7251" s="1" t="str">
        <f>"9780765708700"</f>
        <v>9780765708700</v>
      </c>
      <c r="C7251" s="1" t="s">
        <v>6903</v>
      </c>
      <c r="D7251" s="2">
        <v>40802</v>
      </c>
      <c r="E7251" s="1" t="s">
        <v>14506</v>
      </c>
      <c r="F7251" s="1" t="s">
        <v>13</v>
      </c>
    </row>
    <row r="7252" spans="1:6" ht="30" customHeight="1" x14ac:dyDescent="0.25">
      <c r="A7252" s="1" t="s">
        <v>14507</v>
      </c>
      <c r="B7252" s="1" t="str">
        <f>"9781118814482"</f>
        <v>9781118814482</v>
      </c>
      <c r="C7252" s="1" t="s">
        <v>65</v>
      </c>
      <c r="D7252" s="2">
        <v>41646</v>
      </c>
      <c r="E7252" s="1" t="s">
        <v>14508</v>
      </c>
      <c r="F7252" s="1" t="s">
        <v>13</v>
      </c>
    </row>
    <row r="7253" spans="1:6" ht="30" customHeight="1" x14ac:dyDescent="0.25">
      <c r="A7253" s="1" t="s">
        <v>14509</v>
      </c>
      <c r="B7253" s="1" t="str">
        <f>"9781317788393"</f>
        <v>9781317788393</v>
      </c>
      <c r="C7253" s="1" t="s">
        <v>68</v>
      </c>
      <c r="D7253" s="2">
        <v>38217</v>
      </c>
      <c r="E7253" s="1" t="s">
        <v>14510</v>
      </c>
      <c r="F7253" s="1" t="s">
        <v>214</v>
      </c>
    </row>
    <row r="7254" spans="1:6" ht="30" customHeight="1" x14ac:dyDescent="0.25">
      <c r="A7254" s="1" t="s">
        <v>14511</v>
      </c>
      <c r="B7254" s="1" t="str">
        <f>"9781782411673"</f>
        <v>9781782411673</v>
      </c>
      <c r="C7254" s="1" t="s">
        <v>68</v>
      </c>
      <c r="D7254" s="2">
        <v>41649</v>
      </c>
      <c r="E7254" s="1" t="s">
        <v>14512</v>
      </c>
      <c r="F7254" s="1" t="s">
        <v>104</v>
      </c>
    </row>
    <row r="7255" spans="1:6" ht="30" customHeight="1" x14ac:dyDescent="0.25">
      <c r="A7255" s="1" t="s">
        <v>14513</v>
      </c>
      <c r="B7255" s="1" t="str">
        <f>"9781782411932"</f>
        <v>9781782411932</v>
      </c>
      <c r="C7255" s="1" t="s">
        <v>68</v>
      </c>
      <c r="D7255" s="2">
        <v>41656</v>
      </c>
      <c r="E7255" s="1" t="s">
        <v>14514</v>
      </c>
      <c r="F7255" s="1" t="s">
        <v>13</v>
      </c>
    </row>
    <row r="7256" spans="1:6" ht="30" customHeight="1" x14ac:dyDescent="0.25">
      <c r="A7256" s="1" t="s">
        <v>14515</v>
      </c>
      <c r="B7256" s="1" t="str">
        <f>"9781782411789"</f>
        <v>9781782411789</v>
      </c>
      <c r="C7256" s="1" t="s">
        <v>68</v>
      </c>
      <c r="D7256" s="2">
        <v>41647</v>
      </c>
      <c r="E7256" s="1" t="s">
        <v>14516</v>
      </c>
      <c r="F7256" s="1" t="s">
        <v>13</v>
      </c>
    </row>
    <row r="7257" spans="1:6" ht="30" customHeight="1" x14ac:dyDescent="0.25">
      <c r="A7257" s="1" t="s">
        <v>14517</v>
      </c>
      <c r="B7257" s="1" t="str">
        <f>"9781782412328"</f>
        <v>9781782412328</v>
      </c>
      <c r="C7257" s="1" t="s">
        <v>68</v>
      </c>
      <c r="D7257" s="2">
        <v>41670</v>
      </c>
      <c r="E7257" s="1" t="s">
        <v>14518</v>
      </c>
      <c r="F7257" s="1" t="s">
        <v>291</v>
      </c>
    </row>
    <row r="7258" spans="1:6" ht="30" customHeight="1" x14ac:dyDescent="0.25">
      <c r="A7258" s="1" t="s">
        <v>14519</v>
      </c>
      <c r="B7258" s="1" t="str">
        <f>"9781118418888"</f>
        <v>9781118418888</v>
      </c>
      <c r="C7258" s="1" t="s">
        <v>65</v>
      </c>
      <c r="D7258" s="2">
        <v>41641</v>
      </c>
      <c r="E7258" s="1" t="s">
        <v>14520</v>
      </c>
      <c r="F7258" s="1" t="s">
        <v>13</v>
      </c>
    </row>
    <row r="7259" spans="1:6" ht="30" customHeight="1" x14ac:dyDescent="0.25">
      <c r="A7259" s="1" t="s">
        <v>14521</v>
      </c>
      <c r="B7259" s="1" t="str">
        <f>"9781118817025"</f>
        <v>9781118817025</v>
      </c>
      <c r="C7259" s="1" t="s">
        <v>65</v>
      </c>
      <c r="D7259" s="2">
        <v>41641</v>
      </c>
      <c r="E7259" s="1" t="s">
        <v>14520</v>
      </c>
      <c r="F7259" s="1" t="s">
        <v>13</v>
      </c>
    </row>
    <row r="7260" spans="1:6" ht="30" customHeight="1" x14ac:dyDescent="0.25">
      <c r="A7260" s="1" t="s">
        <v>14522</v>
      </c>
      <c r="B7260" s="1" t="str">
        <f>"9780739183038"</f>
        <v>9780739183038</v>
      </c>
      <c r="C7260" s="1" t="s">
        <v>9841</v>
      </c>
      <c r="D7260" s="2">
        <v>41626</v>
      </c>
      <c r="E7260" s="1" t="s">
        <v>14523</v>
      </c>
      <c r="F7260" s="1" t="s">
        <v>13</v>
      </c>
    </row>
    <row r="7261" spans="1:6" ht="30" customHeight="1" x14ac:dyDescent="0.25">
      <c r="A7261" s="1" t="s">
        <v>14524</v>
      </c>
      <c r="B7261" s="1" t="str">
        <f>"9781442217645"</f>
        <v>9781442217645</v>
      </c>
      <c r="C7261" s="1" t="s">
        <v>8723</v>
      </c>
      <c r="D7261" s="2">
        <v>41138</v>
      </c>
      <c r="E7261" s="1" t="s">
        <v>14525</v>
      </c>
      <c r="F7261" s="1" t="s">
        <v>3056</v>
      </c>
    </row>
    <row r="7262" spans="1:6" ht="30" customHeight="1" x14ac:dyDescent="0.25">
      <c r="A7262" s="1" t="s">
        <v>14526</v>
      </c>
      <c r="B7262" s="1" t="str">
        <f>"9781625110060"</f>
        <v>9781625110060</v>
      </c>
      <c r="C7262" s="1" t="s">
        <v>14527</v>
      </c>
      <c r="D7262" s="2">
        <v>41579</v>
      </c>
      <c r="E7262" s="1" t="s">
        <v>14528</v>
      </c>
      <c r="F7262" s="1" t="s">
        <v>8971</v>
      </c>
    </row>
    <row r="7263" spans="1:6" ht="30" customHeight="1" x14ac:dyDescent="0.25">
      <c r="A7263" s="1" t="s">
        <v>14529</v>
      </c>
      <c r="B7263" s="1" t="str">
        <f>"9780191502293"</f>
        <v>9780191502293</v>
      </c>
      <c r="C7263" s="1" t="s">
        <v>1120</v>
      </c>
      <c r="D7263" s="2">
        <v>41221</v>
      </c>
      <c r="E7263" s="1" t="s">
        <v>14530</v>
      </c>
      <c r="F7263" s="1" t="s">
        <v>13</v>
      </c>
    </row>
    <row r="7264" spans="1:6" ht="30" customHeight="1" x14ac:dyDescent="0.25">
      <c r="A7264" s="1" t="s">
        <v>14531</v>
      </c>
      <c r="B7264" s="1" t="str">
        <f>"9780199813568"</f>
        <v>9780199813568</v>
      </c>
      <c r="C7264" s="1" t="s">
        <v>1123</v>
      </c>
      <c r="D7264" s="2">
        <v>40716</v>
      </c>
      <c r="E7264" s="1" t="s">
        <v>8992</v>
      </c>
      <c r="F7264" s="1" t="s">
        <v>13</v>
      </c>
    </row>
    <row r="7265" spans="1:6" ht="30" customHeight="1" x14ac:dyDescent="0.25">
      <c r="A7265" s="1" t="s">
        <v>14532</v>
      </c>
      <c r="B7265" s="1" t="str">
        <f>"9780191629891"</f>
        <v>9780191629891</v>
      </c>
      <c r="C7265" s="1" t="s">
        <v>1120</v>
      </c>
      <c r="D7265" s="2">
        <v>40885</v>
      </c>
      <c r="E7265" s="1" t="s">
        <v>14533</v>
      </c>
      <c r="F7265" s="1" t="s">
        <v>13</v>
      </c>
    </row>
    <row r="7266" spans="1:6" ht="30" customHeight="1" x14ac:dyDescent="0.25">
      <c r="A7266" s="1" t="s">
        <v>14534</v>
      </c>
      <c r="B7266" s="1" t="str">
        <f>"9781847354549"</f>
        <v>9781847354549</v>
      </c>
      <c r="C7266" s="1" t="s">
        <v>7299</v>
      </c>
      <c r="D7266" s="2">
        <v>41638</v>
      </c>
      <c r="E7266" s="1" t="s">
        <v>14535</v>
      </c>
      <c r="F7266" s="1" t="s">
        <v>70</v>
      </c>
    </row>
    <row r="7267" spans="1:6" ht="30" customHeight="1" x14ac:dyDescent="0.25">
      <c r="A7267" s="1" t="s">
        <v>14536</v>
      </c>
      <c r="B7267" s="1" t="str">
        <f>"9781907830716"</f>
        <v>9781907830716</v>
      </c>
      <c r="C7267" s="1" t="s">
        <v>11198</v>
      </c>
      <c r="D7267" s="2">
        <v>41646</v>
      </c>
      <c r="E7267" s="1" t="s">
        <v>14537</v>
      </c>
      <c r="F7267" s="1" t="s">
        <v>13</v>
      </c>
    </row>
    <row r="7268" spans="1:6" ht="30" customHeight="1" x14ac:dyDescent="0.25">
      <c r="A7268" s="1" t="s">
        <v>14538</v>
      </c>
      <c r="B7268" s="1" t="str">
        <f>"9780826198075"</f>
        <v>9780826198075</v>
      </c>
      <c r="C7268" s="1" t="s">
        <v>2339</v>
      </c>
      <c r="D7268" s="2">
        <v>41618</v>
      </c>
      <c r="E7268" s="1" t="s">
        <v>14539</v>
      </c>
      <c r="F7268" s="1" t="s">
        <v>13</v>
      </c>
    </row>
    <row r="7269" spans="1:6" ht="30" customHeight="1" x14ac:dyDescent="0.25">
      <c r="A7269" s="1" t="s">
        <v>14540</v>
      </c>
      <c r="B7269" s="1" t="str">
        <f>"9780520945043"</f>
        <v>9780520945043</v>
      </c>
      <c r="C7269" s="1" t="s">
        <v>818</v>
      </c>
      <c r="D7269" s="2">
        <v>40018</v>
      </c>
      <c r="E7269" s="1" t="s">
        <v>14541</v>
      </c>
      <c r="F7269" s="1" t="s">
        <v>176</v>
      </c>
    </row>
    <row r="7270" spans="1:6" ht="30" customHeight="1" x14ac:dyDescent="0.25">
      <c r="A7270" s="1" t="s">
        <v>14542</v>
      </c>
      <c r="B7270" s="1" t="str">
        <f>"9781608827671"</f>
        <v>9781608827671</v>
      </c>
      <c r="C7270" s="1" t="s">
        <v>10294</v>
      </c>
      <c r="D7270" s="2">
        <v>41672</v>
      </c>
      <c r="E7270" s="1" t="s">
        <v>14543</v>
      </c>
      <c r="F7270" s="1" t="s">
        <v>13</v>
      </c>
    </row>
    <row r="7271" spans="1:6" ht="30" customHeight="1" x14ac:dyDescent="0.25">
      <c r="A7271" s="1" t="s">
        <v>14544</v>
      </c>
      <c r="B7271" s="1" t="str">
        <f>"9781608828555"</f>
        <v>9781608828555</v>
      </c>
      <c r="C7271" s="1" t="s">
        <v>10294</v>
      </c>
      <c r="D7271" s="2">
        <v>40180</v>
      </c>
      <c r="E7271" s="1" t="s">
        <v>14545</v>
      </c>
      <c r="F7271" s="1" t="s">
        <v>214</v>
      </c>
    </row>
    <row r="7272" spans="1:6" ht="30" customHeight="1" x14ac:dyDescent="0.25">
      <c r="A7272" s="1" t="s">
        <v>14546</v>
      </c>
      <c r="B7272" s="1" t="str">
        <f>"9781118481554"</f>
        <v>9781118481554</v>
      </c>
      <c r="C7272" s="1" t="s">
        <v>65</v>
      </c>
      <c r="D7272" s="2">
        <v>41649</v>
      </c>
      <c r="E7272" s="1" t="s">
        <v>14547</v>
      </c>
      <c r="F7272" s="1" t="s">
        <v>13</v>
      </c>
    </row>
    <row r="7273" spans="1:6" ht="30" customHeight="1" x14ac:dyDescent="0.25">
      <c r="A7273" s="1" t="s">
        <v>14548</v>
      </c>
      <c r="B7273" s="1" t="str">
        <f>"9781608057832"</f>
        <v>9781608057832</v>
      </c>
      <c r="C7273" s="1" t="s">
        <v>11332</v>
      </c>
      <c r="D7273" s="2">
        <v>41614</v>
      </c>
      <c r="E7273" s="1" t="s">
        <v>14549</v>
      </c>
      <c r="F7273" s="1" t="s">
        <v>13</v>
      </c>
    </row>
    <row r="7274" spans="1:6" ht="30" customHeight="1" x14ac:dyDescent="0.25">
      <c r="A7274" s="1" t="s">
        <v>14550</v>
      </c>
      <c r="B7274" s="1" t="str">
        <f>"9781443854856"</f>
        <v>9781443854856</v>
      </c>
      <c r="C7274" s="1" t="s">
        <v>12699</v>
      </c>
      <c r="D7274" s="2">
        <v>41548</v>
      </c>
      <c r="E7274" s="1" t="s">
        <v>14551</v>
      </c>
      <c r="F7274" s="1" t="s">
        <v>356</v>
      </c>
    </row>
    <row r="7275" spans="1:6" ht="30" customHeight="1" x14ac:dyDescent="0.25">
      <c r="A7275" s="1" t="s">
        <v>14552</v>
      </c>
      <c r="B7275" s="1" t="str">
        <f>"9781464800177"</f>
        <v>9781464800177</v>
      </c>
      <c r="C7275" s="1" t="s">
        <v>6702</v>
      </c>
      <c r="D7275" s="2">
        <v>41608</v>
      </c>
      <c r="E7275" s="1" t="s">
        <v>14553</v>
      </c>
      <c r="F7275" s="1" t="s">
        <v>95</v>
      </c>
    </row>
    <row r="7276" spans="1:6" ht="30" customHeight="1" x14ac:dyDescent="0.25">
      <c r="A7276" s="1" t="s">
        <v>14554</v>
      </c>
      <c r="B7276" s="1" t="str">
        <f>"9780520952508"</f>
        <v>9780520952508</v>
      </c>
      <c r="C7276" s="1" t="s">
        <v>818</v>
      </c>
      <c r="D7276" s="2">
        <v>41730</v>
      </c>
      <c r="E7276" s="1" t="s">
        <v>14555</v>
      </c>
      <c r="F7276" s="1" t="s">
        <v>13</v>
      </c>
    </row>
    <row r="7277" spans="1:6" ht="30" customHeight="1" x14ac:dyDescent="0.25">
      <c r="A7277" s="1" t="s">
        <v>14556</v>
      </c>
      <c r="B7277" s="1" t="str">
        <f>"9781118446034"</f>
        <v>9781118446034</v>
      </c>
      <c r="C7277" s="1" t="s">
        <v>65</v>
      </c>
      <c r="D7277" s="2">
        <v>41544</v>
      </c>
      <c r="E7277" s="1" t="s">
        <v>14557</v>
      </c>
      <c r="F7277" s="1" t="s">
        <v>13</v>
      </c>
    </row>
    <row r="7278" spans="1:6" ht="30" customHeight="1" x14ac:dyDescent="0.25">
      <c r="A7278" s="1" t="s">
        <v>14558</v>
      </c>
      <c r="B7278" s="1" t="str">
        <f>"9783110306767"</f>
        <v>9783110306767</v>
      </c>
      <c r="C7278" s="1" t="s">
        <v>1848</v>
      </c>
      <c r="D7278" s="2">
        <v>41620</v>
      </c>
      <c r="E7278" s="1" t="s">
        <v>14559</v>
      </c>
      <c r="F7278" s="1" t="s">
        <v>13</v>
      </c>
    </row>
    <row r="7279" spans="1:6" ht="30" customHeight="1" x14ac:dyDescent="0.25">
      <c r="A7279" s="1" t="s">
        <v>14560</v>
      </c>
      <c r="B7279" s="1" t="str">
        <f>"9780809333011"</f>
        <v>9780809333011</v>
      </c>
      <c r="C7279" s="1" t="s">
        <v>13897</v>
      </c>
      <c r="D7279" s="2">
        <v>41773</v>
      </c>
      <c r="E7279" s="1" t="s">
        <v>14561</v>
      </c>
      <c r="F7279" s="1" t="s">
        <v>13</v>
      </c>
    </row>
    <row r="7280" spans="1:6" ht="30" customHeight="1" x14ac:dyDescent="0.25">
      <c r="A7280" s="1" t="s">
        <v>14562</v>
      </c>
      <c r="B7280" s="1" t="str">
        <f>"9781118418833"</f>
        <v>9781118418833</v>
      </c>
      <c r="C7280" s="1" t="s">
        <v>65</v>
      </c>
      <c r="D7280" s="2">
        <v>41641</v>
      </c>
      <c r="E7280" s="1" t="s">
        <v>14563</v>
      </c>
      <c r="F7280" s="1" t="s">
        <v>13</v>
      </c>
    </row>
    <row r="7281" spans="1:6" ht="30" customHeight="1" x14ac:dyDescent="0.25">
      <c r="A7281" s="1" t="s">
        <v>14564</v>
      </c>
      <c r="B7281" s="1" t="str">
        <f>"9780833081841"</f>
        <v>9780833081841</v>
      </c>
      <c r="C7281" s="1" t="s">
        <v>516</v>
      </c>
      <c r="D7281" s="2">
        <v>41526</v>
      </c>
      <c r="E7281" s="1" t="s">
        <v>14565</v>
      </c>
      <c r="F7281" s="1" t="s">
        <v>148</v>
      </c>
    </row>
    <row r="7282" spans="1:6" ht="30" customHeight="1" x14ac:dyDescent="0.25">
      <c r="A7282" s="1" t="s">
        <v>14566</v>
      </c>
      <c r="B7282" s="1" t="str">
        <f>"9781118651810"</f>
        <v>9781118651810</v>
      </c>
      <c r="C7282" s="1" t="s">
        <v>65</v>
      </c>
      <c r="D7282" s="2">
        <v>41655</v>
      </c>
      <c r="E7282" s="1" t="s">
        <v>14567</v>
      </c>
      <c r="F7282" s="1" t="s">
        <v>95</v>
      </c>
    </row>
    <row r="7283" spans="1:6" ht="30" customHeight="1" x14ac:dyDescent="0.25">
      <c r="A7283" s="1" t="s">
        <v>14568</v>
      </c>
      <c r="B7283" s="1" t="str">
        <f>"9781118809457"</f>
        <v>9781118809457</v>
      </c>
      <c r="C7283" s="1" t="s">
        <v>65</v>
      </c>
      <c r="D7283" s="2">
        <v>41654</v>
      </c>
      <c r="E7283" s="1" t="s">
        <v>14569</v>
      </c>
      <c r="F7283" s="1" t="s">
        <v>13</v>
      </c>
    </row>
    <row r="7284" spans="1:6" ht="30" customHeight="1" x14ac:dyDescent="0.25">
      <c r="A7284" s="1" t="s">
        <v>14570</v>
      </c>
      <c r="B7284" s="1" t="str">
        <f>"9781118747728"</f>
        <v>9781118747728</v>
      </c>
      <c r="C7284" s="1" t="s">
        <v>11</v>
      </c>
      <c r="D7284" s="2">
        <v>41656</v>
      </c>
      <c r="E7284" s="1" t="s">
        <v>14571</v>
      </c>
      <c r="F7284" s="1" t="s">
        <v>137</v>
      </c>
    </row>
    <row r="7285" spans="1:6" ht="30" customHeight="1" x14ac:dyDescent="0.25">
      <c r="A7285" s="1" t="s">
        <v>14572</v>
      </c>
      <c r="B7285" s="1" t="str">
        <f>"9781118760987"</f>
        <v>9781118760987</v>
      </c>
      <c r="C7285" s="1" t="s">
        <v>11</v>
      </c>
      <c r="D7285" s="2">
        <v>41656</v>
      </c>
      <c r="E7285" s="1" t="s">
        <v>14573</v>
      </c>
      <c r="F7285" s="1" t="s">
        <v>13</v>
      </c>
    </row>
    <row r="7286" spans="1:6" ht="30" customHeight="1" x14ac:dyDescent="0.25">
      <c r="A7286" s="1" t="s">
        <v>14574</v>
      </c>
      <c r="B7286" s="1" t="str">
        <f>"9781555817282"</f>
        <v>9781555817282</v>
      </c>
      <c r="C7286" s="1" t="s">
        <v>7254</v>
      </c>
      <c r="D7286" s="2">
        <v>41640</v>
      </c>
      <c r="E7286" s="1" t="s">
        <v>8368</v>
      </c>
      <c r="F7286" s="1" t="s">
        <v>13</v>
      </c>
    </row>
    <row r="7287" spans="1:6" ht="30" customHeight="1" x14ac:dyDescent="0.25">
      <c r="A7287" s="1" t="s">
        <v>14575</v>
      </c>
      <c r="B7287" s="1" t="str">
        <f>"9781555818753"</f>
        <v>9781555818753</v>
      </c>
      <c r="C7287" s="1" t="s">
        <v>7254</v>
      </c>
      <c r="D7287" s="2">
        <v>41275</v>
      </c>
      <c r="E7287" s="1" t="s">
        <v>14576</v>
      </c>
      <c r="F7287" s="1" t="s">
        <v>33</v>
      </c>
    </row>
    <row r="7288" spans="1:6" ht="30" customHeight="1" x14ac:dyDescent="0.25">
      <c r="A7288" s="1" t="s">
        <v>14577</v>
      </c>
      <c r="B7288" s="1" t="str">
        <f>"9781555818586"</f>
        <v>9781555818586</v>
      </c>
      <c r="C7288" s="1" t="s">
        <v>7254</v>
      </c>
      <c r="D7288" s="2">
        <v>41275</v>
      </c>
      <c r="E7288" s="1" t="s">
        <v>14578</v>
      </c>
      <c r="F7288" s="1" t="s">
        <v>359</v>
      </c>
    </row>
    <row r="7289" spans="1:6" ht="30" customHeight="1" x14ac:dyDescent="0.25">
      <c r="A7289" s="1" t="s">
        <v>14579</v>
      </c>
      <c r="B7289" s="1" t="str">
        <f>"9789062998616"</f>
        <v>9789062998616</v>
      </c>
      <c r="C7289" s="1" t="s">
        <v>3412</v>
      </c>
      <c r="D7289" s="2">
        <v>41467</v>
      </c>
      <c r="E7289" s="1" t="s">
        <v>14580</v>
      </c>
      <c r="F7289" s="1" t="s">
        <v>13</v>
      </c>
    </row>
    <row r="7290" spans="1:6" ht="30" customHeight="1" x14ac:dyDescent="0.25">
      <c r="A7290" s="1" t="s">
        <v>14581</v>
      </c>
      <c r="B7290" s="1" t="str">
        <f>"9789062998623"</f>
        <v>9789062998623</v>
      </c>
      <c r="C7290" s="1" t="s">
        <v>3412</v>
      </c>
      <c r="D7290" s="2">
        <v>41551</v>
      </c>
      <c r="E7290" s="1" t="s">
        <v>14582</v>
      </c>
      <c r="F7290" s="1" t="s">
        <v>13</v>
      </c>
    </row>
    <row r="7291" spans="1:6" ht="30" customHeight="1" x14ac:dyDescent="0.25">
      <c r="A7291" s="1" t="s">
        <v>14583</v>
      </c>
      <c r="B7291" s="1" t="str">
        <f>"9789062998630"</f>
        <v>9789062998630</v>
      </c>
      <c r="C7291" s="1" t="s">
        <v>3412</v>
      </c>
      <c r="D7291" s="2">
        <v>41466</v>
      </c>
      <c r="E7291" s="1" t="s">
        <v>14584</v>
      </c>
      <c r="F7291" s="1" t="s">
        <v>13</v>
      </c>
    </row>
    <row r="7292" spans="1:6" ht="30" customHeight="1" x14ac:dyDescent="0.25">
      <c r="A7292" s="1" t="s">
        <v>14585</v>
      </c>
      <c r="B7292" s="1" t="str">
        <f>"9780826196446"</f>
        <v>9780826196446</v>
      </c>
      <c r="C7292" s="1" t="s">
        <v>2339</v>
      </c>
      <c r="D7292" s="2">
        <v>41527</v>
      </c>
      <c r="E7292" s="1" t="s">
        <v>14586</v>
      </c>
      <c r="F7292" s="1" t="s">
        <v>126</v>
      </c>
    </row>
    <row r="7293" spans="1:6" ht="30" customHeight="1" x14ac:dyDescent="0.25">
      <c r="A7293" s="1" t="s">
        <v>14587</v>
      </c>
      <c r="B7293" s="1" t="str">
        <f>"9780826171542"</f>
        <v>9780826171542</v>
      </c>
      <c r="C7293" s="1" t="s">
        <v>2339</v>
      </c>
      <c r="D7293" s="2">
        <v>41485</v>
      </c>
      <c r="E7293" s="1" t="s">
        <v>14588</v>
      </c>
      <c r="F7293" s="1" t="s">
        <v>126</v>
      </c>
    </row>
    <row r="7294" spans="1:6" ht="30" customHeight="1" x14ac:dyDescent="0.25">
      <c r="A7294" s="1" t="s">
        <v>14589</v>
      </c>
      <c r="B7294" s="1" t="str">
        <f>"9780826108951"</f>
        <v>9780826108951</v>
      </c>
      <c r="C7294" s="1" t="s">
        <v>2339</v>
      </c>
      <c r="D7294" s="2">
        <v>41654</v>
      </c>
      <c r="E7294" s="1" t="s">
        <v>14590</v>
      </c>
      <c r="F7294" s="1" t="s">
        <v>95</v>
      </c>
    </row>
    <row r="7295" spans="1:6" ht="30" customHeight="1" x14ac:dyDescent="0.25">
      <c r="A7295" s="1" t="s">
        <v>14591</v>
      </c>
      <c r="B7295" s="1" t="str">
        <f>"9781742246758"</f>
        <v>9781742246758</v>
      </c>
      <c r="C7295" s="1" t="s">
        <v>9943</v>
      </c>
      <c r="D7295" s="2">
        <v>41671</v>
      </c>
      <c r="E7295" s="1" t="s">
        <v>14592</v>
      </c>
      <c r="F7295" s="1" t="s">
        <v>268</v>
      </c>
    </row>
    <row r="7296" spans="1:6" ht="30" customHeight="1" x14ac:dyDescent="0.25">
      <c r="A7296" s="1" t="s">
        <v>14593</v>
      </c>
      <c r="B7296" s="1" t="str">
        <f>"9789240690684"</f>
        <v>9789240690684</v>
      </c>
      <c r="C7296" s="1" t="s">
        <v>1981</v>
      </c>
      <c r="D7296" s="2">
        <v>41549</v>
      </c>
      <c r="E7296" s="1" t="s">
        <v>1981</v>
      </c>
      <c r="F7296" s="1" t="s">
        <v>137</v>
      </c>
    </row>
    <row r="7297" spans="1:6" ht="30" customHeight="1" x14ac:dyDescent="0.25">
      <c r="A7297" s="1" t="s">
        <v>14594</v>
      </c>
      <c r="B7297" s="1" t="str">
        <f>"9789240691964"</f>
        <v>9789240691964</v>
      </c>
      <c r="C7297" s="1" t="s">
        <v>1981</v>
      </c>
      <c r="D7297" s="2">
        <v>41549</v>
      </c>
      <c r="E7297" s="1" t="s">
        <v>1981</v>
      </c>
      <c r="F7297" s="1" t="s">
        <v>14595</v>
      </c>
    </row>
    <row r="7298" spans="1:6" ht="30" customHeight="1" x14ac:dyDescent="0.25">
      <c r="A7298" s="1" t="s">
        <v>14596</v>
      </c>
      <c r="B7298" s="1" t="str">
        <f>"9789240690943"</f>
        <v>9789240690943</v>
      </c>
      <c r="C7298" s="1" t="s">
        <v>1981</v>
      </c>
      <c r="D7298" s="2">
        <v>41379</v>
      </c>
      <c r="E7298" s="1" t="s">
        <v>1981</v>
      </c>
      <c r="F7298" s="1" t="s">
        <v>214</v>
      </c>
    </row>
    <row r="7299" spans="1:6" ht="30" customHeight="1" x14ac:dyDescent="0.25">
      <c r="A7299" s="1" t="s">
        <v>14597</v>
      </c>
      <c r="B7299" s="1" t="str">
        <f>"9781118817001"</f>
        <v>9781118817001</v>
      </c>
      <c r="C7299" s="1" t="s">
        <v>65</v>
      </c>
      <c r="D7299" s="2">
        <v>41649</v>
      </c>
      <c r="E7299" s="1" t="s">
        <v>14598</v>
      </c>
      <c r="F7299" s="1" t="s">
        <v>70</v>
      </c>
    </row>
    <row r="7300" spans="1:6" ht="30" customHeight="1" x14ac:dyDescent="0.25">
      <c r="A7300" s="1" t="s">
        <v>14599</v>
      </c>
      <c r="B7300" s="1" t="str">
        <f>"9781781905548"</f>
        <v>9781781905548</v>
      </c>
      <c r="C7300" s="1" t="s">
        <v>971</v>
      </c>
      <c r="D7300" s="2">
        <v>41620</v>
      </c>
      <c r="E7300" s="1" t="s">
        <v>14600</v>
      </c>
      <c r="F7300" s="1" t="s">
        <v>95</v>
      </c>
    </row>
    <row r="7301" spans="1:6" ht="30" customHeight="1" x14ac:dyDescent="0.25">
      <c r="A7301" s="1" t="s">
        <v>14601</v>
      </c>
      <c r="B7301" s="1" t="str">
        <f>"9781783507160"</f>
        <v>9781783507160</v>
      </c>
      <c r="C7301" s="1" t="s">
        <v>971</v>
      </c>
      <c r="D7301" s="2">
        <v>41622</v>
      </c>
      <c r="E7301" s="1" t="s">
        <v>14602</v>
      </c>
      <c r="F7301" s="1" t="s">
        <v>30</v>
      </c>
    </row>
    <row r="7302" spans="1:6" ht="30" customHeight="1" x14ac:dyDescent="0.25">
      <c r="A7302" s="1" t="s">
        <v>14603</v>
      </c>
      <c r="B7302" s="1" t="str">
        <f>"9781118339534"</f>
        <v>9781118339534</v>
      </c>
      <c r="C7302" s="1" t="s">
        <v>65</v>
      </c>
      <c r="D7302" s="2">
        <v>41660</v>
      </c>
      <c r="E7302" s="1" t="s">
        <v>14604</v>
      </c>
      <c r="F7302" s="1" t="s">
        <v>13</v>
      </c>
    </row>
    <row r="7303" spans="1:6" ht="30" customHeight="1" x14ac:dyDescent="0.25">
      <c r="A7303" s="1" t="s">
        <v>14605</v>
      </c>
      <c r="B7303" s="1" t="str">
        <f>"9781118804339"</f>
        <v>9781118804339</v>
      </c>
      <c r="C7303" s="1" t="s">
        <v>65</v>
      </c>
      <c r="D7303" s="2">
        <v>41660</v>
      </c>
      <c r="E7303" s="1" t="s">
        <v>14606</v>
      </c>
      <c r="F7303" s="1" t="s">
        <v>13</v>
      </c>
    </row>
    <row r="7304" spans="1:6" ht="30" customHeight="1" x14ac:dyDescent="0.25">
      <c r="A7304" s="1" t="s">
        <v>14607</v>
      </c>
      <c r="B7304" s="1" t="str">
        <f>"9781118356180"</f>
        <v>9781118356180</v>
      </c>
      <c r="C7304" s="1" t="s">
        <v>11</v>
      </c>
      <c r="D7304" s="2">
        <v>41662</v>
      </c>
      <c r="E7304" s="1" t="s">
        <v>14608</v>
      </c>
      <c r="F7304" s="1" t="s">
        <v>13</v>
      </c>
    </row>
    <row r="7305" spans="1:6" ht="30" customHeight="1" x14ac:dyDescent="0.25">
      <c r="A7305" s="1" t="s">
        <v>14609</v>
      </c>
      <c r="B7305" s="1" t="str">
        <f>"9781118742532"</f>
        <v>9781118742532</v>
      </c>
      <c r="C7305" s="1" t="s">
        <v>65</v>
      </c>
      <c r="D7305" s="2">
        <v>41663</v>
      </c>
      <c r="E7305" s="1" t="s">
        <v>14610</v>
      </c>
      <c r="F7305" s="1" t="s">
        <v>13</v>
      </c>
    </row>
    <row r="7306" spans="1:6" ht="30" customHeight="1" x14ac:dyDescent="0.25">
      <c r="A7306" s="1" t="s">
        <v>14611</v>
      </c>
      <c r="B7306" s="1" t="str">
        <f>"9781608829248"</f>
        <v>9781608829248</v>
      </c>
      <c r="C7306" s="1" t="s">
        <v>10294</v>
      </c>
      <c r="D7306" s="2">
        <v>41699</v>
      </c>
      <c r="E7306" s="1" t="s">
        <v>14612</v>
      </c>
      <c r="F7306" s="1" t="s">
        <v>13</v>
      </c>
    </row>
    <row r="7307" spans="1:6" ht="30" customHeight="1" x14ac:dyDescent="0.25">
      <c r="A7307" s="1" t="s">
        <v>14613</v>
      </c>
      <c r="B7307" s="1" t="str">
        <f>"9780739181812"</f>
        <v>9780739181812</v>
      </c>
      <c r="C7307" s="1" t="s">
        <v>9841</v>
      </c>
      <c r="D7307" s="2">
        <v>41632</v>
      </c>
      <c r="E7307" s="1" t="s">
        <v>14614</v>
      </c>
      <c r="F7307" s="1" t="s">
        <v>30</v>
      </c>
    </row>
    <row r="7308" spans="1:6" ht="30" customHeight="1" x14ac:dyDescent="0.25">
      <c r="A7308" s="1" t="s">
        <v>14615</v>
      </c>
      <c r="B7308" s="1" t="str">
        <f>"9781118261330"</f>
        <v>9781118261330</v>
      </c>
      <c r="C7308" s="1" t="s">
        <v>65</v>
      </c>
      <c r="D7308" s="2">
        <v>41666</v>
      </c>
      <c r="E7308" s="1" t="s">
        <v>14616</v>
      </c>
      <c r="F7308" s="1" t="s">
        <v>13</v>
      </c>
    </row>
    <row r="7309" spans="1:6" ht="30" customHeight="1" x14ac:dyDescent="0.25">
      <c r="A7309" s="1" t="s">
        <v>14617</v>
      </c>
      <c r="B7309" s="1" t="str">
        <f>"9781118418727"</f>
        <v>9781118418727</v>
      </c>
      <c r="C7309" s="1" t="s">
        <v>65</v>
      </c>
      <c r="D7309" s="2">
        <v>41666</v>
      </c>
      <c r="E7309" s="1" t="s">
        <v>14618</v>
      </c>
      <c r="F7309" s="1" t="s">
        <v>13</v>
      </c>
    </row>
    <row r="7310" spans="1:6" ht="30" customHeight="1" x14ac:dyDescent="0.25">
      <c r="A7310" s="1" t="s">
        <v>14619</v>
      </c>
      <c r="B7310" s="1" t="str">
        <f>"9781581108088"</f>
        <v>9781581108088</v>
      </c>
      <c r="C7310" s="1" t="s">
        <v>9624</v>
      </c>
      <c r="D7310" s="2">
        <v>41787</v>
      </c>
      <c r="E7310" s="1" t="s">
        <v>14620</v>
      </c>
      <c r="F7310" s="1" t="s">
        <v>13</v>
      </c>
    </row>
    <row r="7311" spans="1:6" ht="30" customHeight="1" x14ac:dyDescent="0.25">
      <c r="A7311" s="1" t="s">
        <v>14621</v>
      </c>
      <c r="B7311" s="1" t="str">
        <f>"9781118836378"</f>
        <v>9781118836378</v>
      </c>
      <c r="C7311" s="1" t="s">
        <v>11</v>
      </c>
      <c r="D7311" s="2">
        <v>41667</v>
      </c>
      <c r="E7311" s="1" t="s">
        <v>14622</v>
      </c>
      <c r="F7311" s="1" t="s">
        <v>13</v>
      </c>
    </row>
    <row r="7312" spans="1:6" ht="30" customHeight="1" x14ac:dyDescent="0.25">
      <c r="A7312" s="1" t="s">
        <v>14623</v>
      </c>
      <c r="B7312" s="1" t="str">
        <f>"9781451990317"</f>
        <v>9781451990317</v>
      </c>
      <c r="C7312" s="1" t="s">
        <v>14624</v>
      </c>
      <c r="D7312" s="2">
        <v>39569</v>
      </c>
      <c r="E7312" s="1" t="s">
        <v>14625</v>
      </c>
      <c r="F7312" s="1" t="s">
        <v>30</v>
      </c>
    </row>
    <row r="7313" spans="1:6" ht="30" customHeight="1" x14ac:dyDescent="0.25">
      <c r="A7313" s="1" t="s">
        <v>14626</v>
      </c>
      <c r="B7313" s="1" t="str">
        <f>"9781451916430"</f>
        <v>9781451916430</v>
      </c>
      <c r="C7313" s="1" t="s">
        <v>14624</v>
      </c>
      <c r="D7313" s="2">
        <v>39873</v>
      </c>
      <c r="E7313" s="1" t="s">
        <v>14627</v>
      </c>
      <c r="F7313" s="1" t="s">
        <v>14628</v>
      </c>
    </row>
    <row r="7314" spans="1:6" ht="30" customHeight="1" x14ac:dyDescent="0.25">
      <c r="A7314" s="1" t="s">
        <v>14629</v>
      </c>
      <c r="B7314" s="1" t="str">
        <f>"9780520944701"</f>
        <v>9780520944701</v>
      </c>
      <c r="C7314" s="1" t="s">
        <v>818</v>
      </c>
      <c r="D7314" s="2">
        <v>40064</v>
      </c>
      <c r="E7314" s="1" t="s">
        <v>14630</v>
      </c>
      <c r="F7314" s="1" t="s">
        <v>13</v>
      </c>
    </row>
    <row r="7315" spans="1:6" ht="30" customHeight="1" x14ac:dyDescent="0.25">
      <c r="A7315" s="1" t="s">
        <v>14631</v>
      </c>
      <c r="B7315" s="1" t="str">
        <f>"9781614514343"</f>
        <v>9781614514343</v>
      </c>
      <c r="C7315" s="1" t="s">
        <v>1848</v>
      </c>
      <c r="D7315" s="2">
        <v>42093</v>
      </c>
      <c r="E7315" s="1" t="s">
        <v>14632</v>
      </c>
      <c r="F7315" s="1" t="s">
        <v>13</v>
      </c>
    </row>
    <row r="7316" spans="1:6" ht="30" customHeight="1" x14ac:dyDescent="0.25">
      <c r="A7316" s="1" t="s">
        <v>14633</v>
      </c>
      <c r="B7316" s="1" t="str">
        <f>"9781614515159"</f>
        <v>9781614515159</v>
      </c>
      <c r="C7316" s="1" t="s">
        <v>1848</v>
      </c>
      <c r="D7316" s="2">
        <v>41953</v>
      </c>
      <c r="E7316" s="1" t="s">
        <v>14634</v>
      </c>
      <c r="F7316" s="1" t="s">
        <v>14635</v>
      </c>
    </row>
    <row r="7317" spans="1:6" ht="30" customHeight="1" x14ac:dyDescent="0.25">
      <c r="A7317" s="1" t="s">
        <v>14636</v>
      </c>
      <c r="B7317" s="1" t="str">
        <f>"9781905982110"</f>
        <v>9781905982110</v>
      </c>
      <c r="C7317" s="1" t="s">
        <v>14637</v>
      </c>
      <c r="D7317" s="2">
        <v>38985</v>
      </c>
      <c r="E7317" s="1" t="s">
        <v>14638</v>
      </c>
      <c r="F7317" s="1" t="s">
        <v>13</v>
      </c>
    </row>
    <row r="7318" spans="1:6" ht="30" customHeight="1" x14ac:dyDescent="0.25">
      <c r="A7318" s="1" t="s">
        <v>14639</v>
      </c>
      <c r="B7318" s="1" t="str">
        <f>"9789240691131"</f>
        <v>9789240691131</v>
      </c>
      <c r="C7318" s="1" t="s">
        <v>1981</v>
      </c>
      <c r="D7318" s="2">
        <v>41549</v>
      </c>
      <c r="E7318" s="1" t="s">
        <v>1981</v>
      </c>
      <c r="F7318" s="1" t="s">
        <v>268</v>
      </c>
    </row>
    <row r="7319" spans="1:6" ht="30" customHeight="1" x14ac:dyDescent="0.25">
      <c r="A7319" s="1" t="s">
        <v>14640</v>
      </c>
      <c r="B7319" s="1" t="str">
        <f>"9789240691728"</f>
        <v>9789240691728</v>
      </c>
      <c r="C7319" s="1" t="s">
        <v>1981</v>
      </c>
      <c r="D7319" s="2">
        <v>41604</v>
      </c>
      <c r="E7319" s="1" t="s">
        <v>1981</v>
      </c>
      <c r="F7319" s="1" t="s">
        <v>158</v>
      </c>
    </row>
    <row r="7320" spans="1:6" ht="30" customHeight="1" x14ac:dyDescent="0.25">
      <c r="A7320" s="1" t="s">
        <v>14641</v>
      </c>
      <c r="B7320" s="1" t="str">
        <f>"9789240691148"</f>
        <v>9789240691148</v>
      </c>
      <c r="C7320" s="1" t="s">
        <v>1981</v>
      </c>
      <c r="D7320" s="2">
        <v>41470</v>
      </c>
      <c r="E7320" s="1" t="s">
        <v>1981</v>
      </c>
      <c r="F7320" s="1" t="s">
        <v>95</v>
      </c>
    </row>
    <row r="7321" spans="1:6" ht="30" customHeight="1" x14ac:dyDescent="0.25">
      <c r="A7321" s="1" t="s">
        <v>14642</v>
      </c>
      <c r="B7321" s="1" t="str">
        <f>"9789240691742"</f>
        <v>9789240691742</v>
      </c>
      <c r="C7321" s="1" t="s">
        <v>1981</v>
      </c>
      <c r="D7321" s="2">
        <v>41549</v>
      </c>
      <c r="E7321" s="1" t="s">
        <v>1981</v>
      </c>
      <c r="F7321" s="1" t="s">
        <v>95</v>
      </c>
    </row>
    <row r="7322" spans="1:6" ht="30" customHeight="1" x14ac:dyDescent="0.25">
      <c r="A7322" s="1" t="s">
        <v>14643</v>
      </c>
      <c r="B7322" s="1" t="str">
        <f>"9781317822028"</f>
        <v>9781317822028</v>
      </c>
      <c r="C7322" s="1" t="s">
        <v>68</v>
      </c>
      <c r="D7322" s="2">
        <v>38624</v>
      </c>
      <c r="E7322" s="1" t="s">
        <v>14644</v>
      </c>
      <c r="F7322" s="1" t="s">
        <v>13</v>
      </c>
    </row>
    <row r="7323" spans="1:6" ht="30" customHeight="1" x14ac:dyDescent="0.25">
      <c r="A7323" s="1" t="s">
        <v>14645</v>
      </c>
      <c r="B7323" s="1" t="str">
        <f>"9780826195685"</f>
        <v>9780826195685</v>
      </c>
      <c r="C7323" s="1" t="s">
        <v>2339</v>
      </c>
      <c r="D7323" s="2">
        <v>41698</v>
      </c>
      <c r="E7323" s="1" t="s">
        <v>14646</v>
      </c>
      <c r="F7323" s="1" t="s">
        <v>30</v>
      </c>
    </row>
    <row r="7324" spans="1:6" ht="30" customHeight="1" x14ac:dyDescent="0.25">
      <c r="A7324" s="1" t="s">
        <v>14647</v>
      </c>
      <c r="B7324" s="1" t="str">
        <f>"9780826196583"</f>
        <v>9780826196583</v>
      </c>
      <c r="C7324" s="1" t="s">
        <v>2339</v>
      </c>
      <c r="D7324" s="2">
        <v>41698</v>
      </c>
      <c r="E7324" s="1" t="s">
        <v>14648</v>
      </c>
      <c r="F7324" s="1" t="s">
        <v>13</v>
      </c>
    </row>
    <row r="7325" spans="1:6" ht="30" customHeight="1" x14ac:dyDescent="0.25">
      <c r="A7325" s="1" t="s">
        <v>14649</v>
      </c>
      <c r="B7325" s="1" t="str">
        <f>"9781118391990"</f>
        <v>9781118391990</v>
      </c>
      <c r="C7325" s="1" t="s">
        <v>11</v>
      </c>
      <c r="D7325" s="2">
        <v>41669</v>
      </c>
      <c r="E7325" s="1" t="s">
        <v>14650</v>
      </c>
      <c r="F7325" s="1" t="s">
        <v>13</v>
      </c>
    </row>
    <row r="7326" spans="1:6" ht="30" customHeight="1" x14ac:dyDescent="0.25">
      <c r="A7326" s="1" t="s">
        <v>14651</v>
      </c>
      <c r="B7326" s="1" t="str">
        <f>"9781118419755"</f>
        <v>9781118419755</v>
      </c>
      <c r="C7326" s="1" t="s">
        <v>65</v>
      </c>
      <c r="D7326" s="2">
        <v>41673</v>
      </c>
      <c r="E7326" s="1" t="s">
        <v>14652</v>
      </c>
      <c r="F7326" s="1" t="s">
        <v>13</v>
      </c>
    </row>
    <row r="7327" spans="1:6" ht="30" customHeight="1" x14ac:dyDescent="0.25">
      <c r="A7327" s="1" t="s">
        <v>14653</v>
      </c>
      <c r="B7327" s="1" t="str">
        <f>"9781118463598"</f>
        <v>9781118463598</v>
      </c>
      <c r="C7327" s="1" t="s">
        <v>65</v>
      </c>
      <c r="D7327" s="2">
        <v>41673</v>
      </c>
      <c r="E7327" s="1" t="s">
        <v>14654</v>
      </c>
      <c r="F7327" s="1" t="s">
        <v>13</v>
      </c>
    </row>
    <row r="7328" spans="1:6" ht="30" customHeight="1" x14ac:dyDescent="0.25">
      <c r="A7328" s="1" t="s">
        <v>14655</v>
      </c>
      <c r="B7328" s="1" t="str">
        <f>"9781118488959"</f>
        <v>9781118488959</v>
      </c>
      <c r="C7328" s="1" t="s">
        <v>11</v>
      </c>
      <c r="D7328" s="2">
        <v>41645</v>
      </c>
      <c r="E7328" s="1" t="s">
        <v>14656</v>
      </c>
      <c r="F7328" s="1" t="s">
        <v>13</v>
      </c>
    </row>
    <row r="7329" spans="1:6" ht="30" customHeight="1" x14ac:dyDescent="0.25">
      <c r="A7329" s="1" t="s">
        <v>14657</v>
      </c>
      <c r="B7329" s="1" t="str">
        <f>"9781118828854"</f>
        <v>9781118828854</v>
      </c>
      <c r="C7329" s="1" t="s">
        <v>11</v>
      </c>
      <c r="D7329" s="2">
        <v>41674</v>
      </c>
      <c r="E7329" s="1" t="s">
        <v>14658</v>
      </c>
      <c r="F7329" s="1" t="s">
        <v>13</v>
      </c>
    </row>
    <row r="7330" spans="1:6" ht="30" customHeight="1" x14ac:dyDescent="0.25">
      <c r="A7330" s="1" t="s">
        <v>14659</v>
      </c>
      <c r="B7330" s="1" t="str">
        <f>"9781118783030"</f>
        <v>9781118783030</v>
      </c>
      <c r="C7330" s="1" t="s">
        <v>65</v>
      </c>
      <c r="D7330" s="2">
        <v>41673</v>
      </c>
      <c r="E7330" s="1" t="s">
        <v>14660</v>
      </c>
      <c r="F7330" s="1" t="s">
        <v>21</v>
      </c>
    </row>
    <row r="7331" spans="1:6" ht="30" customHeight="1" x14ac:dyDescent="0.25">
      <c r="A7331" s="1" t="s">
        <v>14661</v>
      </c>
      <c r="B7331" s="1" t="str">
        <f>"9780759121126"</f>
        <v>9780759121126</v>
      </c>
      <c r="C7331" s="1" t="s">
        <v>7466</v>
      </c>
      <c r="D7331" s="2">
        <v>41572</v>
      </c>
      <c r="E7331" s="1" t="s">
        <v>14662</v>
      </c>
      <c r="F7331" s="1" t="s">
        <v>8798</v>
      </c>
    </row>
    <row r="7332" spans="1:6" ht="30" customHeight="1" x14ac:dyDescent="0.25">
      <c r="A7332" s="1" t="s">
        <v>14663</v>
      </c>
      <c r="B7332" s="1" t="str">
        <f>"9780520957763"</f>
        <v>9780520957763</v>
      </c>
      <c r="C7332" s="1" t="s">
        <v>818</v>
      </c>
      <c r="D7332" s="2">
        <v>41737</v>
      </c>
      <c r="E7332" s="1" t="s">
        <v>14664</v>
      </c>
      <c r="F7332" s="1" t="s">
        <v>95</v>
      </c>
    </row>
    <row r="7333" spans="1:6" ht="30" customHeight="1" x14ac:dyDescent="0.25">
      <c r="A7333" s="1" t="s">
        <v>14665</v>
      </c>
      <c r="B7333" s="1" t="str">
        <f>"9780520958142"</f>
        <v>9780520958142</v>
      </c>
      <c r="C7333" s="1" t="s">
        <v>818</v>
      </c>
      <c r="D7333" s="2">
        <v>41691</v>
      </c>
      <c r="E7333" s="1" t="s">
        <v>14666</v>
      </c>
      <c r="F7333" s="1" t="s">
        <v>3787</v>
      </c>
    </row>
    <row r="7334" spans="1:6" ht="30" customHeight="1" x14ac:dyDescent="0.25">
      <c r="A7334" s="1" t="s">
        <v>14667</v>
      </c>
      <c r="B7334" s="1" t="str">
        <f>"9781118716168"</f>
        <v>9781118716168</v>
      </c>
      <c r="C7334" s="1" t="s">
        <v>65</v>
      </c>
      <c r="D7334" s="2">
        <v>41698</v>
      </c>
      <c r="E7334" s="1" t="s">
        <v>14668</v>
      </c>
      <c r="F7334" s="1" t="s">
        <v>95</v>
      </c>
    </row>
    <row r="7335" spans="1:6" ht="30" customHeight="1" x14ac:dyDescent="0.25">
      <c r="A7335" s="1" t="s">
        <v>14669</v>
      </c>
      <c r="B7335" s="1" t="str">
        <f>"9781118716281"</f>
        <v>9781118716281</v>
      </c>
      <c r="C7335" s="1" t="s">
        <v>65</v>
      </c>
      <c r="D7335" s="2">
        <v>41675</v>
      </c>
      <c r="E7335" s="1" t="s">
        <v>14670</v>
      </c>
      <c r="F7335" s="1" t="s">
        <v>30</v>
      </c>
    </row>
    <row r="7336" spans="1:6" ht="30" customHeight="1" x14ac:dyDescent="0.25">
      <c r="A7336" s="1" t="s">
        <v>14671</v>
      </c>
      <c r="B7336" s="1" t="str">
        <f>"9781118833414"</f>
        <v>9781118833414</v>
      </c>
      <c r="C7336" s="1" t="s">
        <v>65</v>
      </c>
      <c r="D7336" s="2">
        <v>41740</v>
      </c>
      <c r="E7336" s="1" t="s">
        <v>14672</v>
      </c>
      <c r="F7336" s="1" t="s">
        <v>13</v>
      </c>
    </row>
    <row r="7337" spans="1:6" ht="30" customHeight="1" x14ac:dyDescent="0.25">
      <c r="A7337" s="1" t="s">
        <v>14673</v>
      </c>
      <c r="B7337" s="1" t="str">
        <f>"9781118503386"</f>
        <v>9781118503386</v>
      </c>
      <c r="C7337" s="1" t="s">
        <v>65</v>
      </c>
      <c r="D7337" s="2">
        <v>41673</v>
      </c>
      <c r="E7337" s="1" t="s">
        <v>14674</v>
      </c>
      <c r="F7337" s="1" t="s">
        <v>13</v>
      </c>
    </row>
    <row r="7338" spans="1:6" ht="30" customHeight="1" x14ac:dyDescent="0.25">
      <c r="A7338" s="1" t="s">
        <v>14675</v>
      </c>
      <c r="B7338" s="1" t="str">
        <f>"9781581108736"</f>
        <v>9781581108736</v>
      </c>
      <c r="C7338" s="1" t="s">
        <v>9624</v>
      </c>
      <c r="D7338" s="2">
        <v>42065</v>
      </c>
      <c r="E7338" s="1" t="s">
        <v>14676</v>
      </c>
      <c r="F7338" s="1" t="s">
        <v>70</v>
      </c>
    </row>
    <row r="7339" spans="1:6" ht="30" customHeight="1" x14ac:dyDescent="0.25">
      <c r="A7339" s="1" t="s">
        <v>14677</v>
      </c>
      <c r="B7339" s="1" t="str">
        <f>"9781617051814"</f>
        <v>9781617051814</v>
      </c>
      <c r="C7339" s="1" t="s">
        <v>2342</v>
      </c>
      <c r="D7339" s="2">
        <v>41689</v>
      </c>
      <c r="E7339" s="1" t="s">
        <v>14678</v>
      </c>
      <c r="F7339" s="1" t="s">
        <v>13</v>
      </c>
    </row>
    <row r="7340" spans="1:6" ht="30" customHeight="1" x14ac:dyDescent="0.25">
      <c r="A7340" s="1" t="s">
        <v>14679</v>
      </c>
      <c r="B7340" s="1" t="str">
        <f>"9780820346939"</f>
        <v>9780820346939</v>
      </c>
      <c r="C7340" s="1" t="s">
        <v>13887</v>
      </c>
      <c r="D7340" s="2">
        <v>41685</v>
      </c>
      <c r="E7340" s="1" t="s">
        <v>14680</v>
      </c>
      <c r="F7340" s="1" t="s">
        <v>13</v>
      </c>
    </row>
    <row r="7341" spans="1:6" ht="30" customHeight="1" x14ac:dyDescent="0.25">
      <c r="A7341" s="1" t="s">
        <v>14681</v>
      </c>
      <c r="B7341" s="1" t="str">
        <f>"9781783081608"</f>
        <v>9781783081608</v>
      </c>
      <c r="C7341" s="1" t="s">
        <v>11036</v>
      </c>
      <c r="D7341" s="2">
        <v>41654</v>
      </c>
      <c r="E7341" s="1" t="s">
        <v>14682</v>
      </c>
      <c r="F7341" s="1" t="s">
        <v>13</v>
      </c>
    </row>
    <row r="7342" spans="1:6" ht="30" customHeight="1" x14ac:dyDescent="0.25">
      <c r="A7342" s="1" t="s">
        <v>14683</v>
      </c>
      <c r="B7342" s="1" t="str">
        <f>"9781118474327"</f>
        <v>9781118474327</v>
      </c>
      <c r="C7342" s="1" t="s">
        <v>65</v>
      </c>
      <c r="D7342" s="2">
        <v>41677</v>
      </c>
      <c r="E7342" s="1" t="s">
        <v>14684</v>
      </c>
      <c r="F7342" s="1" t="s">
        <v>13</v>
      </c>
    </row>
    <row r="7343" spans="1:6" ht="30" customHeight="1" x14ac:dyDescent="0.25">
      <c r="A7343" s="1" t="s">
        <v>14685</v>
      </c>
      <c r="B7343" s="1" t="str">
        <f>"9789062998647"</f>
        <v>9789062998647</v>
      </c>
      <c r="C7343" s="1" t="s">
        <v>3412</v>
      </c>
      <c r="D7343" s="2">
        <v>41671</v>
      </c>
      <c r="E7343" s="1" t="s">
        <v>14686</v>
      </c>
      <c r="F7343" s="1" t="s">
        <v>13</v>
      </c>
    </row>
    <row r="7344" spans="1:6" ht="30" customHeight="1" x14ac:dyDescent="0.25">
      <c r="A7344" s="1" t="s">
        <v>14687</v>
      </c>
      <c r="B7344" s="1" t="str">
        <f>"9781118337912"</f>
        <v>9781118337912</v>
      </c>
      <c r="C7344" s="1" t="s">
        <v>65</v>
      </c>
      <c r="D7344" s="2">
        <v>41680</v>
      </c>
      <c r="E7344" s="1" t="s">
        <v>14688</v>
      </c>
      <c r="F7344" s="1" t="s">
        <v>13</v>
      </c>
    </row>
    <row r="7345" spans="1:6" ht="30" customHeight="1" x14ac:dyDescent="0.25">
      <c r="A7345" s="1" t="s">
        <v>14689</v>
      </c>
      <c r="B7345" s="1" t="str">
        <f>"9780231537674"</f>
        <v>9780231537674</v>
      </c>
      <c r="C7345" s="1" t="s">
        <v>11751</v>
      </c>
      <c r="D7345" s="2">
        <v>41814</v>
      </c>
      <c r="E7345" s="1" t="s">
        <v>14690</v>
      </c>
      <c r="F7345" s="1" t="s">
        <v>70</v>
      </c>
    </row>
    <row r="7346" spans="1:6" ht="30" customHeight="1" x14ac:dyDescent="0.25">
      <c r="A7346" s="1" t="s">
        <v>14691</v>
      </c>
      <c r="B7346" s="1" t="str">
        <f>"9789283204343"</f>
        <v>9789283204343</v>
      </c>
      <c r="C7346" s="1" t="s">
        <v>3927</v>
      </c>
      <c r="D7346" s="2">
        <v>41677</v>
      </c>
      <c r="E7346" s="1" t="s">
        <v>14692</v>
      </c>
      <c r="F7346" s="1" t="s">
        <v>176</v>
      </c>
    </row>
    <row r="7347" spans="1:6" ht="30" customHeight="1" x14ac:dyDescent="0.25">
      <c r="A7347" s="1" t="s">
        <v>14693</v>
      </c>
      <c r="B7347" s="1" t="str">
        <f>"9781118762509"</f>
        <v>9781118762509</v>
      </c>
      <c r="C7347" s="1" t="s">
        <v>65</v>
      </c>
      <c r="D7347" s="2">
        <v>41684</v>
      </c>
      <c r="E7347" s="1" t="s">
        <v>14694</v>
      </c>
      <c r="F7347" s="1" t="s">
        <v>13</v>
      </c>
    </row>
    <row r="7348" spans="1:6" ht="30" customHeight="1" x14ac:dyDescent="0.25">
      <c r="A7348" s="1" t="s">
        <v>14695</v>
      </c>
      <c r="B7348" s="1" t="str">
        <f>"9780826198785"</f>
        <v>9780826198785</v>
      </c>
      <c r="C7348" s="1" t="s">
        <v>2339</v>
      </c>
      <c r="D7348" s="2">
        <v>41709</v>
      </c>
      <c r="E7348" s="1" t="s">
        <v>14696</v>
      </c>
      <c r="F7348" s="1" t="s">
        <v>95</v>
      </c>
    </row>
    <row r="7349" spans="1:6" ht="30" customHeight="1" x14ac:dyDescent="0.25">
      <c r="A7349" s="1" t="s">
        <v>14697</v>
      </c>
      <c r="B7349" s="1" t="str">
        <f>"9781782411512"</f>
        <v>9781782411512</v>
      </c>
      <c r="C7349" s="1" t="s">
        <v>68</v>
      </c>
      <c r="D7349" s="2">
        <v>41694</v>
      </c>
      <c r="E7349" s="1" t="s">
        <v>14698</v>
      </c>
      <c r="F7349" s="1" t="s">
        <v>13</v>
      </c>
    </row>
    <row r="7350" spans="1:6" ht="30" customHeight="1" x14ac:dyDescent="0.25">
      <c r="A7350" s="1" t="s">
        <v>14699</v>
      </c>
      <c r="B7350" s="1" t="str">
        <f>"9781782411628"</f>
        <v>9781782411628</v>
      </c>
      <c r="C7350" s="1" t="s">
        <v>8994</v>
      </c>
      <c r="D7350" s="2">
        <v>41695</v>
      </c>
      <c r="E7350" s="1" t="s">
        <v>14700</v>
      </c>
      <c r="F7350" s="1" t="s">
        <v>291</v>
      </c>
    </row>
    <row r="7351" spans="1:6" ht="30" customHeight="1" x14ac:dyDescent="0.25">
      <c r="A7351" s="1" t="s">
        <v>14701</v>
      </c>
      <c r="B7351" s="1" t="str">
        <f>"9781782412120"</f>
        <v>9781782412120</v>
      </c>
      <c r="C7351" s="1" t="s">
        <v>8994</v>
      </c>
      <c r="D7351" s="2">
        <v>41705</v>
      </c>
      <c r="E7351" s="1" t="s">
        <v>14702</v>
      </c>
      <c r="F7351" s="1" t="s">
        <v>13</v>
      </c>
    </row>
    <row r="7352" spans="1:6" ht="30" customHeight="1" x14ac:dyDescent="0.25">
      <c r="A7352" s="1" t="s">
        <v>14703</v>
      </c>
      <c r="B7352" s="1" t="str">
        <f>"9781452940991"</f>
        <v>9781452940991</v>
      </c>
      <c r="C7352" s="1" t="s">
        <v>3458</v>
      </c>
      <c r="D7352" s="2">
        <v>41671</v>
      </c>
      <c r="E7352" s="1" t="s">
        <v>14704</v>
      </c>
      <c r="F7352" s="1" t="s">
        <v>13</v>
      </c>
    </row>
    <row r="7353" spans="1:6" ht="30" customHeight="1" x14ac:dyDescent="0.25">
      <c r="A7353" s="1" t="s">
        <v>14705</v>
      </c>
      <c r="B7353" s="1" t="str">
        <f>"9781118405413"</f>
        <v>9781118405413</v>
      </c>
      <c r="C7353" s="1" t="s">
        <v>65</v>
      </c>
      <c r="D7353" s="2">
        <v>41691</v>
      </c>
      <c r="E7353" s="1" t="s">
        <v>14706</v>
      </c>
      <c r="F7353" s="1" t="s">
        <v>13</v>
      </c>
    </row>
    <row r="7354" spans="1:6" ht="30" customHeight="1" x14ac:dyDescent="0.25">
      <c r="A7354" s="1" t="s">
        <v>14707</v>
      </c>
      <c r="B7354" s="1" t="str">
        <f>"9781614993322"</f>
        <v>9781614993322</v>
      </c>
      <c r="C7354" s="1" t="s">
        <v>1390</v>
      </c>
      <c r="D7354" s="2">
        <v>41610</v>
      </c>
      <c r="E7354" s="1" t="s">
        <v>14708</v>
      </c>
      <c r="F7354" s="1" t="s">
        <v>13</v>
      </c>
    </row>
    <row r="7355" spans="1:6" ht="30" customHeight="1" x14ac:dyDescent="0.25">
      <c r="A7355" s="1" t="s">
        <v>14709</v>
      </c>
      <c r="B7355" s="1" t="str">
        <f>"9781614993759"</f>
        <v>9781614993759</v>
      </c>
      <c r="C7355" s="1" t="s">
        <v>1390</v>
      </c>
      <c r="D7355" s="2">
        <v>41682</v>
      </c>
      <c r="E7355" s="1" t="s">
        <v>14710</v>
      </c>
      <c r="F7355" s="1" t="s">
        <v>13</v>
      </c>
    </row>
    <row r="7356" spans="1:6" ht="30" customHeight="1" x14ac:dyDescent="0.25">
      <c r="A7356" s="1" t="s">
        <v>14711</v>
      </c>
      <c r="B7356" s="1" t="str">
        <f>"9781118705391"</f>
        <v>9781118705391</v>
      </c>
      <c r="C7356" s="1" t="s">
        <v>65</v>
      </c>
      <c r="D7356" s="2">
        <v>41694</v>
      </c>
      <c r="E7356" s="1" t="s">
        <v>14712</v>
      </c>
      <c r="F7356" s="1" t="s">
        <v>13</v>
      </c>
    </row>
    <row r="7357" spans="1:6" ht="30" customHeight="1" x14ac:dyDescent="0.25">
      <c r="A7357" s="1" t="s">
        <v>14713</v>
      </c>
      <c r="B7357" s="1" t="str">
        <f>"9780824746599"</f>
        <v>9780824746599</v>
      </c>
      <c r="C7357" s="1" t="s">
        <v>172</v>
      </c>
      <c r="D7357" s="2">
        <v>36748</v>
      </c>
      <c r="E7357" s="1" t="s">
        <v>14714</v>
      </c>
      <c r="F7357" s="1" t="s">
        <v>13</v>
      </c>
    </row>
    <row r="7358" spans="1:6" ht="30" customHeight="1" x14ac:dyDescent="0.25">
      <c r="A7358" s="1" t="s">
        <v>14715</v>
      </c>
      <c r="B7358" s="1" t="str">
        <f>"9781118760895"</f>
        <v>9781118760895</v>
      </c>
      <c r="C7358" s="1" t="s">
        <v>65</v>
      </c>
      <c r="D7358" s="2">
        <v>41689</v>
      </c>
      <c r="E7358" s="1" t="s">
        <v>14716</v>
      </c>
      <c r="F7358" s="1" t="s">
        <v>3429</v>
      </c>
    </row>
    <row r="7359" spans="1:6" ht="30" customHeight="1" x14ac:dyDescent="0.25">
      <c r="A7359" s="1" t="s">
        <v>14717</v>
      </c>
      <c r="B7359" s="1" t="str">
        <f>"9781118783306"</f>
        <v>9781118783306</v>
      </c>
      <c r="C7359" s="1" t="s">
        <v>11</v>
      </c>
      <c r="D7359" s="2">
        <v>41689</v>
      </c>
      <c r="E7359" s="1" t="s">
        <v>14718</v>
      </c>
      <c r="F7359" s="1" t="s">
        <v>137</v>
      </c>
    </row>
    <row r="7360" spans="1:6" ht="30" customHeight="1" x14ac:dyDescent="0.25">
      <c r="A7360" s="1" t="s">
        <v>14719</v>
      </c>
      <c r="B7360" s="1" t="str">
        <f>"9781118294987"</f>
        <v>9781118294987</v>
      </c>
      <c r="C7360" s="1" t="s">
        <v>65</v>
      </c>
      <c r="D7360" s="2">
        <v>41699</v>
      </c>
      <c r="E7360" s="1" t="s">
        <v>14720</v>
      </c>
      <c r="F7360" s="1" t="s">
        <v>13</v>
      </c>
    </row>
    <row r="7361" spans="1:6" ht="30" customHeight="1" x14ac:dyDescent="0.25">
      <c r="A7361" s="1" t="s">
        <v>14721</v>
      </c>
      <c r="B7361" s="1" t="str">
        <f>"9781118501641"</f>
        <v>9781118501641</v>
      </c>
      <c r="C7361" s="1" t="s">
        <v>11</v>
      </c>
      <c r="D7361" s="2">
        <v>41690</v>
      </c>
      <c r="E7361" s="1" t="s">
        <v>14722</v>
      </c>
      <c r="F7361" s="1" t="s">
        <v>13</v>
      </c>
    </row>
    <row r="7362" spans="1:6" ht="30" customHeight="1" x14ac:dyDescent="0.25">
      <c r="A7362" s="1" t="s">
        <v>14723</v>
      </c>
      <c r="B7362" s="1" t="str">
        <f>"9781118482872"</f>
        <v>9781118482872</v>
      </c>
      <c r="C7362" s="1" t="s">
        <v>65</v>
      </c>
      <c r="D7362" s="2">
        <v>41689</v>
      </c>
      <c r="E7362" s="1" t="s">
        <v>14724</v>
      </c>
      <c r="F7362" s="1" t="s">
        <v>13</v>
      </c>
    </row>
    <row r="7363" spans="1:6" ht="30" customHeight="1" x14ac:dyDescent="0.25">
      <c r="A7363" s="1" t="s">
        <v>14725</v>
      </c>
      <c r="B7363" s="1" t="str">
        <f>"9781118850152"</f>
        <v>9781118850152</v>
      </c>
      <c r="C7363" s="1" t="s">
        <v>65</v>
      </c>
      <c r="D7363" s="2">
        <v>41691</v>
      </c>
      <c r="E7363" s="1" t="s">
        <v>14726</v>
      </c>
      <c r="F7363" s="1" t="s">
        <v>2168</v>
      </c>
    </row>
    <row r="7364" spans="1:6" ht="30" customHeight="1" x14ac:dyDescent="0.25">
      <c r="A7364" s="1" t="s">
        <v>14727</v>
      </c>
      <c r="B7364" s="1" t="str">
        <f>"9780813563107"</f>
        <v>9780813563107</v>
      </c>
      <c r="C7364" s="1" t="s">
        <v>3656</v>
      </c>
      <c r="D7364" s="2">
        <v>41725</v>
      </c>
      <c r="E7364" s="1" t="s">
        <v>14728</v>
      </c>
      <c r="F7364" s="1" t="s">
        <v>95</v>
      </c>
    </row>
    <row r="7365" spans="1:6" ht="30" customHeight="1" x14ac:dyDescent="0.25">
      <c r="A7365" s="1" t="s">
        <v>14729</v>
      </c>
      <c r="B7365" s="1" t="str">
        <f>"9783954895960"</f>
        <v>9783954895960</v>
      </c>
      <c r="C7365" s="1" t="s">
        <v>8346</v>
      </c>
      <c r="D7365" s="2">
        <v>41671</v>
      </c>
      <c r="E7365" s="1" t="s">
        <v>14730</v>
      </c>
      <c r="F7365" s="1" t="s">
        <v>301</v>
      </c>
    </row>
    <row r="7366" spans="1:6" ht="30" customHeight="1" x14ac:dyDescent="0.25">
      <c r="A7366" s="1" t="s">
        <v>14731</v>
      </c>
      <c r="B7366" s="1" t="str">
        <f>"9783954896875"</f>
        <v>9783954896875</v>
      </c>
      <c r="C7366" s="1" t="s">
        <v>8346</v>
      </c>
      <c r="D7366" s="2">
        <v>41671</v>
      </c>
      <c r="E7366" s="1" t="s">
        <v>14732</v>
      </c>
      <c r="F7366" s="1" t="s">
        <v>4911</v>
      </c>
    </row>
    <row r="7367" spans="1:6" ht="30" customHeight="1" x14ac:dyDescent="0.25">
      <c r="A7367" s="1" t="s">
        <v>14733</v>
      </c>
      <c r="B7367" s="1" t="str">
        <f>"9783954896769"</f>
        <v>9783954896769</v>
      </c>
      <c r="C7367" s="1" t="s">
        <v>8346</v>
      </c>
      <c r="D7367" s="2">
        <v>41671</v>
      </c>
      <c r="E7367" s="1" t="s">
        <v>14734</v>
      </c>
      <c r="F7367" s="1" t="s">
        <v>13</v>
      </c>
    </row>
    <row r="7368" spans="1:6" ht="30" customHeight="1" x14ac:dyDescent="0.25">
      <c r="A7368" s="1" t="s">
        <v>14735</v>
      </c>
      <c r="B7368" s="1" t="str">
        <f>"9783954896981"</f>
        <v>9783954896981</v>
      </c>
      <c r="C7368" s="1" t="s">
        <v>8346</v>
      </c>
      <c r="D7368" s="2">
        <v>41671</v>
      </c>
      <c r="E7368" s="1" t="s">
        <v>14736</v>
      </c>
      <c r="F7368" s="1" t="s">
        <v>137</v>
      </c>
    </row>
    <row r="7369" spans="1:6" ht="30" customHeight="1" x14ac:dyDescent="0.25">
      <c r="A7369" s="1" t="s">
        <v>14737</v>
      </c>
      <c r="B7369" s="1" t="str">
        <f>"9783954896196"</f>
        <v>9783954896196</v>
      </c>
      <c r="C7369" s="1" t="s">
        <v>8346</v>
      </c>
      <c r="D7369" s="2">
        <v>41671</v>
      </c>
      <c r="E7369" s="1" t="s">
        <v>14738</v>
      </c>
      <c r="F7369" s="1" t="s">
        <v>13</v>
      </c>
    </row>
    <row r="7370" spans="1:6" ht="30" customHeight="1" x14ac:dyDescent="0.25">
      <c r="A7370" s="1" t="s">
        <v>14739</v>
      </c>
      <c r="B7370" s="1" t="str">
        <f>"9781908541635"</f>
        <v>9781908541635</v>
      </c>
      <c r="C7370" s="1" t="s">
        <v>10006</v>
      </c>
      <c r="D7370" s="2">
        <v>41690</v>
      </c>
      <c r="E7370" s="1" t="s">
        <v>11913</v>
      </c>
      <c r="F7370" s="1" t="s">
        <v>13</v>
      </c>
    </row>
    <row r="7371" spans="1:6" ht="30" customHeight="1" x14ac:dyDescent="0.25">
      <c r="A7371" s="1" t="s">
        <v>14740</v>
      </c>
      <c r="B7371" s="1" t="str">
        <f>"9781607505716"</f>
        <v>9781607505716</v>
      </c>
      <c r="C7371" s="1" t="s">
        <v>1390</v>
      </c>
      <c r="D7371" s="2">
        <v>40395</v>
      </c>
      <c r="E7371" s="1" t="s">
        <v>10944</v>
      </c>
      <c r="F7371" s="1" t="s">
        <v>13</v>
      </c>
    </row>
    <row r="7372" spans="1:6" ht="30" customHeight="1" x14ac:dyDescent="0.25">
      <c r="A7372" s="1" t="s">
        <v>14741</v>
      </c>
      <c r="B7372" s="1" t="str">
        <f>"9781607505754"</f>
        <v>9781607505754</v>
      </c>
      <c r="C7372" s="1" t="s">
        <v>1390</v>
      </c>
      <c r="D7372" s="2">
        <v>40361</v>
      </c>
      <c r="E7372" s="1" t="s">
        <v>14742</v>
      </c>
      <c r="F7372" s="1" t="s">
        <v>13</v>
      </c>
    </row>
    <row r="7373" spans="1:6" ht="30" customHeight="1" x14ac:dyDescent="0.25">
      <c r="A7373" s="1" t="s">
        <v>14743</v>
      </c>
      <c r="B7373" s="1" t="str">
        <f>"9781118560679"</f>
        <v>9781118560679</v>
      </c>
      <c r="C7373" s="1" t="s">
        <v>65</v>
      </c>
      <c r="D7373" s="2">
        <v>41694</v>
      </c>
      <c r="E7373" s="1" t="s">
        <v>14744</v>
      </c>
      <c r="F7373" s="1" t="s">
        <v>13</v>
      </c>
    </row>
    <row r="7374" spans="1:6" ht="30" customHeight="1" x14ac:dyDescent="0.25">
      <c r="A7374" s="1" t="s">
        <v>14745</v>
      </c>
      <c r="B7374" s="1" t="str">
        <f>"9781118488584"</f>
        <v>9781118488584</v>
      </c>
      <c r="C7374" s="1" t="s">
        <v>65</v>
      </c>
      <c r="D7374" s="2">
        <v>41695</v>
      </c>
      <c r="E7374" s="1" t="s">
        <v>14746</v>
      </c>
      <c r="F7374" s="1" t="s">
        <v>30</v>
      </c>
    </row>
    <row r="7375" spans="1:6" ht="30" customHeight="1" x14ac:dyDescent="0.25">
      <c r="A7375" s="1" t="s">
        <v>14747</v>
      </c>
      <c r="B7375" s="1" t="str">
        <f>"9781118695623"</f>
        <v>9781118695623</v>
      </c>
      <c r="C7375" s="1" t="s">
        <v>65</v>
      </c>
      <c r="D7375" s="2">
        <v>42002</v>
      </c>
      <c r="E7375" s="1" t="s">
        <v>14748</v>
      </c>
      <c r="F7375" s="1" t="s">
        <v>13</v>
      </c>
    </row>
    <row r="7376" spans="1:6" ht="30" customHeight="1" x14ac:dyDescent="0.25">
      <c r="A7376" s="1" t="s">
        <v>14749</v>
      </c>
      <c r="B7376" s="1" t="str">
        <f>"9781608827473"</f>
        <v>9781608827473</v>
      </c>
      <c r="C7376" s="1" t="s">
        <v>10289</v>
      </c>
      <c r="D7376" s="2">
        <v>41730</v>
      </c>
      <c r="E7376" s="1" t="s">
        <v>14750</v>
      </c>
      <c r="F7376" s="1" t="s">
        <v>13</v>
      </c>
    </row>
    <row r="7377" spans="1:6" ht="30" customHeight="1" x14ac:dyDescent="0.25">
      <c r="A7377" s="1" t="s">
        <v>14751</v>
      </c>
      <c r="B7377" s="1" t="str">
        <f>"9781118354674"</f>
        <v>9781118354674</v>
      </c>
      <c r="C7377" s="1" t="s">
        <v>11</v>
      </c>
      <c r="D7377" s="2">
        <v>41696</v>
      </c>
      <c r="E7377" s="1" t="s">
        <v>14752</v>
      </c>
      <c r="F7377" s="1" t="s">
        <v>268</v>
      </c>
    </row>
    <row r="7378" spans="1:6" ht="30" customHeight="1" x14ac:dyDescent="0.25">
      <c r="A7378" s="1" t="s">
        <v>14753</v>
      </c>
      <c r="B7378" s="1" t="str">
        <f>"9781782411567"</f>
        <v>9781782411567</v>
      </c>
      <c r="C7378" s="1" t="s">
        <v>68</v>
      </c>
      <c r="D7378" s="2">
        <v>41709</v>
      </c>
      <c r="E7378" s="1" t="s">
        <v>14754</v>
      </c>
      <c r="F7378" s="1" t="s">
        <v>13</v>
      </c>
    </row>
    <row r="7379" spans="1:6" ht="30" customHeight="1" x14ac:dyDescent="0.25">
      <c r="A7379" s="1" t="s">
        <v>14755</v>
      </c>
      <c r="B7379" s="1" t="str">
        <f>"9781782412380"</f>
        <v>9781782412380</v>
      </c>
      <c r="C7379" s="1" t="s">
        <v>68</v>
      </c>
      <c r="D7379" s="2">
        <v>41698</v>
      </c>
      <c r="E7379" s="1" t="s">
        <v>14756</v>
      </c>
      <c r="F7379" s="1" t="s">
        <v>13</v>
      </c>
    </row>
    <row r="7380" spans="1:6" ht="30" customHeight="1" x14ac:dyDescent="0.25">
      <c r="A7380" s="1" t="s">
        <v>14757</v>
      </c>
      <c r="B7380" s="1" t="str">
        <f>"9781118504314"</f>
        <v>9781118504314</v>
      </c>
      <c r="C7380" s="1" t="s">
        <v>65</v>
      </c>
      <c r="D7380" s="2">
        <v>41697</v>
      </c>
      <c r="E7380" s="1" t="s">
        <v>14758</v>
      </c>
      <c r="F7380" s="1" t="s">
        <v>70</v>
      </c>
    </row>
    <row r="7381" spans="1:6" ht="30" customHeight="1" x14ac:dyDescent="0.25">
      <c r="A7381" s="1" t="s">
        <v>14759</v>
      </c>
      <c r="B7381" s="1" t="str">
        <f>"9783110316728"</f>
        <v>9783110316728</v>
      </c>
      <c r="C7381" s="1" t="s">
        <v>1848</v>
      </c>
      <c r="D7381" s="2">
        <v>41894</v>
      </c>
      <c r="E7381" s="1" t="s">
        <v>14760</v>
      </c>
      <c r="F7381" s="1" t="s">
        <v>21</v>
      </c>
    </row>
    <row r="7382" spans="1:6" ht="30" customHeight="1" x14ac:dyDescent="0.25">
      <c r="A7382" s="1" t="s">
        <v>14761</v>
      </c>
      <c r="B7382" s="1" t="str">
        <f>"9781118688823"</f>
        <v>9781118688823</v>
      </c>
      <c r="C7382" s="1" t="s">
        <v>65</v>
      </c>
      <c r="D7382" s="2">
        <v>41705</v>
      </c>
      <c r="E7382" s="1" t="s">
        <v>6582</v>
      </c>
      <c r="F7382" s="1" t="s">
        <v>13</v>
      </c>
    </row>
    <row r="7383" spans="1:6" ht="30" customHeight="1" x14ac:dyDescent="0.25">
      <c r="A7383" s="1" t="s">
        <v>14762</v>
      </c>
      <c r="B7383" s="1" t="str">
        <f>"9781118653890"</f>
        <v>9781118653890</v>
      </c>
      <c r="C7383" s="1" t="s">
        <v>65</v>
      </c>
      <c r="D7383" s="2">
        <v>41698</v>
      </c>
      <c r="E7383" s="1" t="s">
        <v>14763</v>
      </c>
      <c r="F7383" s="1" t="s">
        <v>13</v>
      </c>
    </row>
    <row r="7384" spans="1:6" ht="30" customHeight="1" x14ac:dyDescent="0.25">
      <c r="A7384" s="1" t="s">
        <v>14764</v>
      </c>
      <c r="B7384" s="1" t="str">
        <f>"9781118730652"</f>
        <v>9781118730652</v>
      </c>
      <c r="C7384" s="1" t="s">
        <v>65</v>
      </c>
      <c r="D7384" s="2">
        <v>41696</v>
      </c>
      <c r="E7384" s="1" t="s">
        <v>14765</v>
      </c>
      <c r="F7384" s="1" t="s">
        <v>13</v>
      </c>
    </row>
    <row r="7385" spans="1:6" ht="30" customHeight="1" x14ac:dyDescent="0.25">
      <c r="A7385" s="1" t="s">
        <v>14766</v>
      </c>
      <c r="B7385" s="1" t="str">
        <f>"9781118595916"</f>
        <v>9781118595916</v>
      </c>
      <c r="C7385" s="1" t="s">
        <v>65</v>
      </c>
      <c r="D7385" s="2">
        <v>41703</v>
      </c>
      <c r="E7385" s="1" t="s">
        <v>14767</v>
      </c>
      <c r="F7385" s="1" t="s">
        <v>13</v>
      </c>
    </row>
    <row r="7386" spans="1:6" ht="30" customHeight="1" x14ac:dyDescent="0.25">
      <c r="A7386" s="1" t="s">
        <v>14768</v>
      </c>
      <c r="B7386" s="1" t="str">
        <f>"9781596930391"</f>
        <v>9781596930391</v>
      </c>
      <c r="C7386" s="1" t="s">
        <v>4200</v>
      </c>
      <c r="D7386" s="2">
        <v>39630</v>
      </c>
      <c r="E7386" s="1" t="s">
        <v>14769</v>
      </c>
      <c r="F7386" s="1" t="s">
        <v>13</v>
      </c>
    </row>
    <row r="7387" spans="1:6" ht="30" customHeight="1" x14ac:dyDescent="0.25">
      <c r="A7387" s="1" t="s">
        <v>14770</v>
      </c>
      <c r="B7387" s="1" t="str">
        <f>"9781907830891"</f>
        <v>9781907830891</v>
      </c>
      <c r="C7387" s="1" t="s">
        <v>11198</v>
      </c>
      <c r="D7387" s="2">
        <v>41705</v>
      </c>
      <c r="E7387" s="1" t="s">
        <v>14771</v>
      </c>
      <c r="F7387" s="1" t="s">
        <v>13</v>
      </c>
    </row>
    <row r="7388" spans="1:6" ht="30" customHeight="1" x14ac:dyDescent="0.25">
      <c r="A7388" s="1" t="s">
        <v>14772</v>
      </c>
      <c r="B7388" s="1" t="str">
        <f>"9780826119629"</f>
        <v>9780826119629</v>
      </c>
      <c r="C7388" s="1" t="s">
        <v>2339</v>
      </c>
      <c r="D7388" s="2">
        <v>41703</v>
      </c>
      <c r="E7388" s="1" t="s">
        <v>14773</v>
      </c>
      <c r="F7388" s="1" t="s">
        <v>126</v>
      </c>
    </row>
    <row r="7389" spans="1:6" ht="30" customHeight="1" x14ac:dyDescent="0.25">
      <c r="A7389" s="1" t="s">
        <v>14774</v>
      </c>
      <c r="B7389" s="1" t="str">
        <f>"9789814571463"</f>
        <v>9789814571463</v>
      </c>
      <c r="C7389" s="1" t="s">
        <v>881</v>
      </c>
      <c r="D7389" s="2">
        <v>41773</v>
      </c>
      <c r="E7389" s="1" t="s">
        <v>14775</v>
      </c>
      <c r="F7389" s="1" t="s">
        <v>13</v>
      </c>
    </row>
    <row r="7390" spans="1:6" ht="30" customHeight="1" x14ac:dyDescent="0.25">
      <c r="A7390" s="1" t="s">
        <v>14776</v>
      </c>
      <c r="B7390" s="1" t="str">
        <f>"9789814494847"</f>
        <v>9789814494847</v>
      </c>
      <c r="C7390" s="1" t="s">
        <v>881</v>
      </c>
      <c r="D7390" s="2">
        <v>41773</v>
      </c>
      <c r="E7390" s="1" t="s">
        <v>14777</v>
      </c>
      <c r="F7390" s="1" t="s">
        <v>13</v>
      </c>
    </row>
    <row r="7391" spans="1:6" ht="30" customHeight="1" x14ac:dyDescent="0.25">
      <c r="A7391" s="1" t="s">
        <v>14778</v>
      </c>
      <c r="B7391" s="1" t="str">
        <f>"9781782410782"</f>
        <v>9781782410782</v>
      </c>
      <c r="C7391" s="1" t="s">
        <v>68</v>
      </c>
      <c r="D7391" s="2">
        <v>41715</v>
      </c>
      <c r="E7391" s="1" t="s">
        <v>14779</v>
      </c>
      <c r="F7391" s="1" t="s">
        <v>13</v>
      </c>
    </row>
    <row r="7392" spans="1:6" ht="30" customHeight="1" x14ac:dyDescent="0.25">
      <c r="A7392" s="1" t="s">
        <v>14780</v>
      </c>
      <c r="B7392" s="1" t="str">
        <f>"9781782412991"</f>
        <v>9781782412991</v>
      </c>
      <c r="C7392" s="1" t="s">
        <v>8994</v>
      </c>
      <c r="D7392" s="2">
        <v>41704</v>
      </c>
      <c r="E7392" s="1" t="s">
        <v>14781</v>
      </c>
      <c r="F7392" s="1" t="s">
        <v>13</v>
      </c>
    </row>
    <row r="7393" spans="1:6" ht="30" customHeight="1" x14ac:dyDescent="0.25">
      <c r="A7393" s="1" t="s">
        <v>14782</v>
      </c>
      <c r="B7393" s="1" t="str">
        <f>"9789004268135"</f>
        <v>9789004268135</v>
      </c>
      <c r="C7393" s="1" t="s">
        <v>906</v>
      </c>
      <c r="D7393" s="2">
        <v>41773</v>
      </c>
      <c r="E7393" s="1" t="s">
        <v>14783</v>
      </c>
      <c r="F7393" s="1" t="s">
        <v>13</v>
      </c>
    </row>
    <row r="7394" spans="1:6" ht="30" customHeight="1" x14ac:dyDescent="0.25">
      <c r="A7394" s="1" t="s">
        <v>14784</v>
      </c>
      <c r="B7394" s="1" t="str">
        <f>"9781118515587"</f>
        <v>9781118515587</v>
      </c>
      <c r="C7394" s="1" t="s">
        <v>65</v>
      </c>
      <c r="D7394" s="2">
        <v>41689</v>
      </c>
      <c r="E7394" s="1" t="s">
        <v>14785</v>
      </c>
      <c r="F7394" s="1" t="s">
        <v>13</v>
      </c>
    </row>
    <row r="7395" spans="1:6" ht="30" customHeight="1" x14ac:dyDescent="0.25">
      <c r="A7395" s="1" t="s">
        <v>14786</v>
      </c>
      <c r="B7395" s="1" t="str">
        <f>"9781118746493"</f>
        <v>9781118746493</v>
      </c>
      <c r="C7395" s="1" t="s">
        <v>65</v>
      </c>
      <c r="D7395" s="2">
        <v>41704</v>
      </c>
      <c r="E7395" s="1" t="s">
        <v>14787</v>
      </c>
      <c r="F7395" s="1" t="s">
        <v>95</v>
      </c>
    </row>
    <row r="7396" spans="1:6" ht="30" customHeight="1" x14ac:dyDescent="0.25">
      <c r="A7396" s="1" t="s">
        <v>14788</v>
      </c>
      <c r="B7396" s="1" t="str">
        <f>"9780824745295"</f>
        <v>9780824745295</v>
      </c>
      <c r="C7396" s="1" t="s">
        <v>172</v>
      </c>
      <c r="D7396" s="2">
        <v>36781</v>
      </c>
      <c r="E7396" s="1" t="s">
        <v>14789</v>
      </c>
      <c r="F7396" s="1" t="s">
        <v>13</v>
      </c>
    </row>
    <row r="7397" spans="1:6" ht="30" customHeight="1" x14ac:dyDescent="0.25">
      <c r="A7397" s="1" t="s">
        <v>14790</v>
      </c>
      <c r="B7397" s="1" t="str">
        <f>"9781135548261"</f>
        <v>9781135548261</v>
      </c>
      <c r="C7397" s="1" t="s">
        <v>99</v>
      </c>
      <c r="D7397" s="2">
        <v>36552</v>
      </c>
      <c r="E7397" s="1" t="s">
        <v>14791</v>
      </c>
      <c r="F7397" s="1" t="s">
        <v>13</v>
      </c>
    </row>
    <row r="7398" spans="1:6" ht="30" customHeight="1" x14ac:dyDescent="0.25">
      <c r="A7398" s="1" t="s">
        <v>14792</v>
      </c>
      <c r="B7398" s="1" t="str">
        <f>"9780824742201"</f>
        <v>9780824742201</v>
      </c>
      <c r="C7398" s="1" t="s">
        <v>172</v>
      </c>
      <c r="D7398" s="2">
        <v>36214</v>
      </c>
      <c r="E7398" s="1" t="s">
        <v>14793</v>
      </c>
      <c r="F7398" s="1" t="s">
        <v>13</v>
      </c>
    </row>
    <row r="7399" spans="1:6" ht="30" customHeight="1" x14ac:dyDescent="0.25">
      <c r="A7399" s="1" t="s">
        <v>14794</v>
      </c>
      <c r="B7399" s="1" t="str">
        <f>"9781135547707"</f>
        <v>9781135547707</v>
      </c>
      <c r="C7399" s="1" t="s">
        <v>99</v>
      </c>
      <c r="D7399" s="2">
        <v>36255</v>
      </c>
      <c r="E7399" s="1" t="s">
        <v>14795</v>
      </c>
      <c r="F7399" s="1" t="s">
        <v>13</v>
      </c>
    </row>
    <row r="7400" spans="1:6" ht="30" customHeight="1" x14ac:dyDescent="0.25">
      <c r="A7400" s="1" t="s">
        <v>14796</v>
      </c>
      <c r="B7400" s="1" t="str">
        <f>"9781135569129"</f>
        <v>9781135569129</v>
      </c>
      <c r="C7400" s="1" t="s">
        <v>99</v>
      </c>
      <c r="D7400" s="2">
        <v>42479</v>
      </c>
      <c r="E7400" s="1" t="s">
        <v>14797</v>
      </c>
      <c r="F7400" s="1" t="s">
        <v>13</v>
      </c>
    </row>
    <row r="7401" spans="1:6" ht="30" customHeight="1" x14ac:dyDescent="0.25">
      <c r="A7401" s="1" t="s">
        <v>14798</v>
      </c>
      <c r="B7401" s="1" t="str">
        <f>"9780824746360"</f>
        <v>9780824746360</v>
      </c>
      <c r="C7401" s="1" t="s">
        <v>172</v>
      </c>
      <c r="D7401" s="2">
        <v>42479</v>
      </c>
      <c r="E7401" s="1" t="s">
        <v>14799</v>
      </c>
      <c r="F7401" s="1" t="s">
        <v>13</v>
      </c>
    </row>
    <row r="7402" spans="1:6" ht="30" customHeight="1" x14ac:dyDescent="0.25">
      <c r="A7402" s="1" t="s">
        <v>14800</v>
      </c>
      <c r="B7402" s="1" t="str">
        <f>"9780824746780"</f>
        <v>9780824746780</v>
      </c>
      <c r="C7402" s="1" t="s">
        <v>172</v>
      </c>
      <c r="D7402" s="2">
        <v>36396</v>
      </c>
      <c r="E7402" s="1" t="s">
        <v>14801</v>
      </c>
      <c r="F7402" s="1" t="s">
        <v>13</v>
      </c>
    </row>
    <row r="7403" spans="1:6" ht="30" customHeight="1" x14ac:dyDescent="0.25">
      <c r="A7403" s="1" t="s">
        <v>14802</v>
      </c>
      <c r="B7403" s="1" t="str">
        <f>"9781135548339"</f>
        <v>9781135548339</v>
      </c>
      <c r="C7403" s="1" t="s">
        <v>99</v>
      </c>
      <c r="D7403" s="2">
        <v>36357</v>
      </c>
      <c r="E7403" s="1" t="s">
        <v>14803</v>
      </c>
      <c r="F7403" s="1" t="s">
        <v>13</v>
      </c>
    </row>
    <row r="7404" spans="1:6" ht="30" customHeight="1" x14ac:dyDescent="0.25">
      <c r="A7404" s="1" t="s">
        <v>14804</v>
      </c>
      <c r="B7404" s="1" t="str">
        <f>"9781135550714"</f>
        <v>9781135550714</v>
      </c>
      <c r="C7404" s="1" t="s">
        <v>99</v>
      </c>
      <c r="D7404" s="2">
        <v>42479</v>
      </c>
      <c r="E7404" s="1" t="s">
        <v>14805</v>
      </c>
      <c r="F7404" s="1" t="s">
        <v>137</v>
      </c>
    </row>
    <row r="7405" spans="1:6" ht="30" customHeight="1" x14ac:dyDescent="0.25">
      <c r="A7405" s="1" t="s">
        <v>14806</v>
      </c>
      <c r="B7405" s="1" t="str">
        <f>"9780824746483"</f>
        <v>9780824746483</v>
      </c>
      <c r="C7405" s="1" t="s">
        <v>99</v>
      </c>
      <c r="D7405" s="2">
        <v>36593</v>
      </c>
      <c r="E7405" s="1" t="s">
        <v>14807</v>
      </c>
      <c r="F7405" s="1" t="s">
        <v>158</v>
      </c>
    </row>
    <row r="7406" spans="1:6" ht="30" customHeight="1" x14ac:dyDescent="0.25">
      <c r="A7406" s="1" t="s">
        <v>14808</v>
      </c>
      <c r="B7406" s="1" t="str">
        <f>"9780824742188"</f>
        <v>9780824742188</v>
      </c>
      <c r="C7406" s="1" t="s">
        <v>172</v>
      </c>
      <c r="D7406" s="2">
        <v>36308</v>
      </c>
      <c r="E7406" s="1" t="s">
        <v>14809</v>
      </c>
      <c r="F7406" s="1" t="s">
        <v>13</v>
      </c>
    </row>
    <row r="7407" spans="1:6" ht="30" customHeight="1" x14ac:dyDescent="0.25">
      <c r="A7407" s="1" t="s">
        <v>14810</v>
      </c>
      <c r="B7407" s="1" t="str">
        <f>"9781617051920"</f>
        <v>9781617051920</v>
      </c>
      <c r="C7407" s="1" t="s">
        <v>2342</v>
      </c>
      <c r="D7407" s="2">
        <v>41726</v>
      </c>
      <c r="E7407" s="1" t="s">
        <v>14811</v>
      </c>
      <c r="F7407" s="1" t="s">
        <v>13</v>
      </c>
    </row>
    <row r="7408" spans="1:6" ht="30" customHeight="1" x14ac:dyDescent="0.25">
      <c r="A7408" s="1" t="s">
        <v>14812</v>
      </c>
      <c r="B7408" s="1" t="str">
        <f>"9781617051173"</f>
        <v>9781617051173</v>
      </c>
      <c r="C7408" s="1" t="s">
        <v>2342</v>
      </c>
      <c r="D7408" s="2">
        <v>41726</v>
      </c>
      <c r="E7408" s="1" t="s">
        <v>14813</v>
      </c>
      <c r="F7408" s="1" t="s">
        <v>13</v>
      </c>
    </row>
    <row r="7409" spans="1:6" ht="30" customHeight="1" x14ac:dyDescent="0.25">
      <c r="A7409" s="1" t="s">
        <v>14814</v>
      </c>
      <c r="B7409" s="1" t="str">
        <f>"9781464801297"</f>
        <v>9781464801297</v>
      </c>
      <c r="C7409" s="1" t="s">
        <v>6702</v>
      </c>
      <c r="D7409" s="2">
        <v>41697</v>
      </c>
      <c r="E7409" s="1" t="s">
        <v>14815</v>
      </c>
      <c r="F7409" s="1" t="s">
        <v>95</v>
      </c>
    </row>
    <row r="7410" spans="1:6" ht="30" customHeight="1" x14ac:dyDescent="0.25">
      <c r="A7410" s="1" t="s">
        <v>14816</v>
      </c>
      <c r="B7410" s="1" t="str">
        <f>"9780520958371"</f>
        <v>9780520958371</v>
      </c>
      <c r="C7410" s="1" t="s">
        <v>818</v>
      </c>
      <c r="D7410" s="2">
        <v>41692</v>
      </c>
      <c r="E7410" s="1" t="s">
        <v>14817</v>
      </c>
      <c r="F7410" s="1" t="s">
        <v>541</v>
      </c>
    </row>
    <row r="7411" spans="1:6" ht="30" customHeight="1" x14ac:dyDescent="0.25">
      <c r="A7411" s="1" t="s">
        <v>14818</v>
      </c>
      <c r="B7411" s="1" t="str">
        <f>"9781118459522"</f>
        <v>9781118459522</v>
      </c>
      <c r="C7411" s="1" t="s">
        <v>65</v>
      </c>
      <c r="D7411" s="2">
        <v>41701</v>
      </c>
      <c r="E7411" s="1" t="s">
        <v>14819</v>
      </c>
      <c r="F7411" s="1" t="s">
        <v>13</v>
      </c>
    </row>
    <row r="7412" spans="1:6" ht="30" customHeight="1" x14ac:dyDescent="0.25">
      <c r="A7412" s="1" t="s">
        <v>14820</v>
      </c>
      <c r="B7412" s="1" t="str">
        <f>"9781118761359"</f>
        <v>9781118761359</v>
      </c>
      <c r="C7412" s="1" t="s">
        <v>65</v>
      </c>
      <c r="D7412" s="2">
        <v>41704</v>
      </c>
      <c r="E7412" s="1" t="s">
        <v>14821</v>
      </c>
      <c r="F7412" s="1" t="s">
        <v>13</v>
      </c>
    </row>
    <row r="7413" spans="1:6" ht="30" customHeight="1" x14ac:dyDescent="0.25">
      <c r="A7413" s="1" t="s">
        <v>14822</v>
      </c>
      <c r="B7413" s="1" t="str">
        <f>"9781118794678"</f>
        <v>9781118794678</v>
      </c>
      <c r="C7413" s="1" t="s">
        <v>11</v>
      </c>
      <c r="D7413" s="2">
        <v>41708</v>
      </c>
      <c r="E7413" s="1" t="s">
        <v>14823</v>
      </c>
      <c r="F7413" s="1" t="s">
        <v>14824</v>
      </c>
    </row>
    <row r="7414" spans="1:6" ht="30" customHeight="1" x14ac:dyDescent="0.25">
      <c r="A7414" s="1" t="s">
        <v>14825</v>
      </c>
      <c r="B7414" s="1" t="str">
        <f>"9781118418949"</f>
        <v>9781118418949</v>
      </c>
      <c r="C7414" s="1" t="s">
        <v>65</v>
      </c>
      <c r="D7414" s="2">
        <v>41708</v>
      </c>
      <c r="E7414" s="1" t="s">
        <v>14826</v>
      </c>
      <c r="F7414" s="1" t="s">
        <v>13</v>
      </c>
    </row>
    <row r="7415" spans="1:6" ht="30" customHeight="1" x14ac:dyDescent="0.25">
      <c r="A7415" s="1" t="s">
        <v>14827</v>
      </c>
      <c r="B7415" s="1" t="str">
        <f>"9781118826676"</f>
        <v>9781118826676</v>
      </c>
      <c r="C7415" s="1" t="s">
        <v>11</v>
      </c>
      <c r="D7415" s="2">
        <v>41710</v>
      </c>
      <c r="E7415" s="1" t="s">
        <v>14828</v>
      </c>
      <c r="F7415" s="1" t="s">
        <v>13</v>
      </c>
    </row>
    <row r="7416" spans="1:6" ht="30" customHeight="1" x14ac:dyDescent="0.25">
      <c r="A7416" s="1" t="s">
        <v>14829</v>
      </c>
      <c r="B7416" s="1" t="str">
        <f>"9789004269743"</f>
        <v>9789004269743</v>
      </c>
      <c r="C7416" s="1" t="s">
        <v>906</v>
      </c>
      <c r="D7416" s="2">
        <v>41773</v>
      </c>
      <c r="E7416" s="1" t="s">
        <v>14830</v>
      </c>
      <c r="F7416" s="1" t="s">
        <v>70</v>
      </c>
    </row>
    <row r="7417" spans="1:6" ht="30" customHeight="1" x14ac:dyDescent="0.25">
      <c r="A7417" s="1" t="s">
        <v>14831</v>
      </c>
      <c r="B7417" s="1" t="str">
        <f>"9781118763629"</f>
        <v>9781118763629</v>
      </c>
      <c r="C7417" s="1" t="s">
        <v>65</v>
      </c>
      <c r="D7417" s="2">
        <v>41709</v>
      </c>
      <c r="E7417" s="1" t="s">
        <v>14832</v>
      </c>
      <c r="F7417" s="1" t="s">
        <v>13</v>
      </c>
    </row>
    <row r="7418" spans="1:6" ht="30" customHeight="1" x14ac:dyDescent="0.25">
      <c r="A7418" s="1" t="s">
        <v>14833</v>
      </c>
      <c r="B7418" s="1" t="str">
        <f>"9781118860724"</f>
        <v>9781118860724</v>
      </c>
      <c r="C7418" s="1" t="s">
        <v>65</v>
      </c>
      <c r="D7418" s="2">
        <v>41709</v>
      </c>
      <c r="E7418" s="1" t="s">
        <v>14834</v>
      </c>
      <c r="F7418" s="1" t="s">
        <v>13</v>
      </c>
    </row>
    <row r="7419" spans="1:6" ht="30" customHeight="1" x14ac:dyDescent="0.25">
      <c r="A7419" s="1" t="s">
        <v>14835</v>
      </c>
      <c r="B7419" s="1" t="str">
        <f>"9781118494011"</f>
        <v>9781118494011</v>
      </c>
      <c r="C7419" s="1" t="s">
        <v>65</v>
      </c>
      <c r="D7419" s="2">
        <v>41722</v>
      </c>
      <c r="E7419" s="1" t="s">
        <v>14836</v>
      </c>
      <c r="F7419" s="1" t="s">
        <v>13</v>
      </c>
    </row>
    <row r="7420" spans="1:6" ht="30" customHeight="1" x14ac:dyDescent="0.25">
      <c r="A7420" s="1" t="s">
        <v>14837</v>
      </c>
      <c r="B7420" s="1" t="str">
        <f>"9781118841037"</f>
        <v>9781118841037</v>
      </c>
      <c r="C7420" s="1" t="s">
        <v>65</v>
      </c>
      <c r="D7420" s="2">
        <v>41711</v>
      </c>
      <c r="E7420" s="1" t="s">
        <v>14838</v>
      </c>
      <c r="F7420" s="1" t="s">
        <v>13</v>
      </c>
    </row>
    <row r="7421" spans="1:6" ht="30" customHeight="1" x14ac:dyDescent="0.25">
      <c r="A7421" s="1" t="s">
        <v>14839</v>
      </c>
      <c r="B7421" s="1" t="str">
        <f>"9783527681525"</f>
        <v>9783527681525</v>
      </c>
      <c r="C7421" s="1" t="s">
        <v>65</v>
      </c>
      <c r="D7421" s="2">
        <v>41698</v>
      </c>
      <c r="E7421" s="1" t="s">
        <v>14840</v>
      </c>
      <c r="F7421" s="1" t="s">
        <v>7367</v>
      </c>
    </row>
    <row r="7422" spans="1:6" ht="30" customHeight="1" x14ac:dyDescent="0.25">
      <c r="A7422" s="1" t="s">
        <v>14841</v>
      </c>
      <c r="B7422" s="1" t="str">
        <f>"9781118836279"</f>
        <v>9781118836279</v>
      </c>
      <c r="C7422" s="1" t="s">
        <v>11</v>
      </c>
      <c r="D7422" s="2">
        <v>41711</v>
      </c>
      <c r="E7422" s="1" t="s">
        <v>14842</v>
      </c>
      <c r="F7422" s="1" t="s">
        <v>13</v>
      </c>
    </row>
    <row r="7423" spans="1:6" ht="30" customHeight="1" x14ac:dyDescent="0.25">
      <c r="A7423" s="1" t="s">
        <v>14843</v>
      </c>
      <c r="B7423" s="1" t="str">
        <f>"9781118836101"</f>
        <v>9781118836101</v>
      </c>
      <c r="C7423" s="1" t="s">
        <v>11</v>
      </c>
      <c r="D7423" s="2">
        <v>41710</v>
      </c>
      <c r="E7423" s="1" t="s">
        <v>14844</v>
      </c>
      <c r="F7423" s="1" t="s">
        <v>13</v>
      </c>
    </row>
    <row r="7424" spans="1:6" ht="30" customHeight="1" x14ac:dyDescent="0.25">
      <c r="A7424" s="1" t="s">
        <v>14845</v>
      </c>
      <c r="B7424" s="1" t="str">
        <f>"9781614516934"</f>
        <v>9781614516934</v>
      </c>
      <c r="C7424" s="1" t="s">
        <v>1848</v>
      </c>
      <c r="D7424" s="2">
        <v>41953</v>
      </c>
      <c r="E7424" s="1" t="s">
        <v>14846</v>
      </c>
      <c r="F7424" s="1" t="s">
        <v>13</v>
      </c>
    </row>
    <row r="7425" spans="1:6" ht="30" customHeight="1" x14ac:dyDescent="0.25">
      <c r="A7425" s="1" t="s">
        <v>14847</v>
      </c>
      <c r="B7425" s="1" t="str">
        <f>"9781118432358"</f>
        <v>9781118432358</v>
      </c>
      <c r="C7425" s="1" t="s">
        <v>65</v>
      </c>
      <c r="D7425" s="2">
        <v>41712</v>
      </c>
      <c r="E7425" s="1" t="s">
        <v>14848</v>
      </c>
      <c r="F7425" s="1" t="s">
        <v>158</v>
      </c>
    </row>
    <row r="7426" spans="1:6" ht="30" customHeight="1" x14ac:dyDescent="0.25">
      <c r="A7426" s="1" t="s">
        <v>14849</v>
      </c>
      <c r="B7426" s="1" t="str">
        <f>"9781118864166"</f>
        <v>9781118864166</v>
      </c>
      <c r="C7426" s="1" t="s">
        <v>11</v>
      </c>
      <c r="D7426" s="2">
        <v>41712</v>
      </c>
      <c r="E7426" s="1" t="s">
        <v>14850</v>
      </c>
      <c r="F7426" s="1" t="s">
        <v>13</v>
      </c>
    </row>
    <row r="7427" spans="1:6" ht="30" customHeight="1" x14ac:dyDescent="0.25">
      <c r="A7427" s="1" t="s">
        <v>14851</v>
      </c>
      <c r="B7427" s="1" t="str">
        <f>"9780826121844"</f>
        <v>9780826121844</v>
      </c>
      <c r="C7427" s="1" t="s">
        <v>2339</v>
      </c>
      <c r="D7427" s="2">
        <v>41712</v>
      </c>
      <c r="E7427" s="1" t="s">
        <v>14852</v>
      </c>
      <c r="F7427" s="1" t="s">
        <v>126</v>
      </c>
    </row>
    <row r="7428" spans="1:6" ht="30" customHeight="1" x14ac:dyDescent="0.25">
      <c r="A7428" s="1" t="s">
        <v>14853</v>
      </c>
      <c r="B7428" s="1" t="str">
        <f>"9781118337936"</f>
        <v>9781118337936</v>
      </c>
      <c r="C7428" s="1" t="s">
        <v>65</v>
      </c>
      <c r="D7428" s="2">
        <v>41712</v>
      </c>
      <c r="E7428" s="1" t="s">
        <v>14854</v>
      </c>
      <c r="F7428" s="1" t="s">
        <v>13</v>
      </c>
    </row>
    <row r="7429" spans="1:6" ht="30" customHeight="1" x14ac:dyDescent="0.25">
      <c r="A7429" s="1" t="s">
        <v>14855</v>
      </c>
      <c r="B7429" s="1" t="str">
        <f>"9781118683842"</f>
        <v>9781118683842</v>
      </c>
      <c r="C7429" s="1" t="s">
        <v>65</v>
      </c>
      <c r="D7429" s="2">
        <v>41712</v>
      </c>
      <c r="E7429" s="1" t="s">
        <v>14856</v>
      </c>
      <c r="F7429" s="1" t="s">
        <v>4577</v>
      </c>
    </row>
    <row r="7430" spans="1:6" ht="30" customHeight="1" x14ac:dyDescent="0.25">
      <c r="A7430" s="1" t="s">
        <v>14857</v>
      </c>
      <c r="B7430" s="1" t="str">
        <f>"9783527681914"</f>
        <v>9783527681914</v>
      </c>
      <c r="C7430" s="1" t="s">
        <v>65</v>
      </c>
      <c r="D7430" s="2">
        <v>41745</v>
      </c>
      <c r="E7430" s="1" t="s">
        <v>14858</v>
      </c>
      <c r="F7430" s="1" t="s">
        <v>13</v>
      </c>
    </row>
    <row r="7431" spans="1:6" ht="30" customHeight="1" x14ac:dyDescent="0.25">
      <c r="A7431" s="1" t="s">
        <v>14859</v>
      </c>
      <c r="B7431" s="1" t="str">
        <f>"9780809333202"</f>
        <v>9780809333202</v>
      </c>
      <c r="C7431" s="1" t="s">
        <v>13897</v>
      </c>
      <c r="D7431" s="2">
        <v>41773</v>
      </c>
      <c r="E7431" s="1" t="s">
        <v>14860</v>
      </c>
      <c r="F7431" s="1" t="s">
        <v>30</v>
      </c>
    </row>
    <row r="7432" spans="1:6" ht="30" customHeight="1" x14ac:dyDescent="0.25">
      <c r="A7432" s="1" t="s">
        <v>14861</v>
      </c>
      <c r="B7432" s="1" t="str">
        <f>"9781118474570"</f>
        <v>9781118474570</v>
      </c>
      <c r="C7432" s="1" t="s">
        <v>65</v>
      </c>
      <c r="D7432" s="2">
        <v>41715</v>
      </c>
      <c r="E7432" s="1" t="s">
        <v>14862</v>
      </c>
      <c r="F7432" s="1" t="s">
        <v>95</v>
      </c>
    </row>
    <row r="7433" spans="1:6" ht="30" customHeight="1" x14ac:dyDescent="0.25">
      <c r="A7433" s="1" t="s">
        <v>14863</v>
      </c>
      <c r="B7433" s="1" t="str">
        <f>"9781118608678"</f>
        <v>9781118608678</v>
      </c>
      <c r="C7433" s="1" t="s">
        <v>11</v>
      </c>
      <c r="D7433" s="2">
        <v>41715</v>
      </c>
      <c r="E7433" s="1" t="s">
        <v>14864</v>
      </c>
      <c r="F7433" s="1" t="s">
        <v>13</v>
      </c>
    </row>
    <row r="7434" spans="1:6" ht="30" customHeight="1" x14ac:dyDescent="0.25">
      <c r="A7434" s="1" t="s">
        <v>14865</v>
      </c>
      <c r="B7434" s="1" t="str">
        <f>"9781608825301"</f>
        <v>9781608825301</v>
      </c>
      <c r="C7434" s="1" t="s">
        <v>10294</v>
      </c>
      <c r="D7434" s="2">
        <v>41730</v>
      </c>
      <c r="E7434" s="1" t="s">
        <v>14866</v>
      </c>
      <c r="F7434" s="1" t="s">
        <v>13</v>
      </c>
    </row>
    <row r="7435" spans="1:6" ht="30" customHeight="1" x14ac:dyDescent="0.25">
      <c r="A7435" s="1" t="s">
        <v>14867</v>
      </c>
      <c r="B7435" s="1" t="str">
        <f>"9781317825500"</f>
        <v>9781317825500</v>
      </c>
      <c r="C7435" s="1" t="s">
        <v>68</v>
      </c>
      <c r="D7435" s="2">
        <v>41716</v>
      </c>
      <c r="E7435" s="1" t="s">
        <v>14868</v>
      </c>
      <c r="F7435" s="1" t="s">
        <v>13</v>
      </c>
    </row>
    <row r="7436" spans="1:6" ht="30" customHeight="1" x14ac:dyDescent="0.25">
      <c r="A7436" s="1" t="s">
        <v>14869</v>
      </c>
      <c r="B7436" s="1" t="str">
        <f>"9781317825357"</f>
        <v>9781317825357</v>
      </c>
      <c r="C7436" s="1" t="s">
        <v>68</v>
      </c>
      <c r="D7436" s="2">
        <v>41716</v>
      </c>
      <c r="E7436" s="1" t="s">
        <v>14870</v>
      </c>
      <c r="F7436" s="1" t="s">
        <v>13</v>
      </c>
    </row>
    <row r="7437" spans="1:6" ht="30" customHeight="1" x14ac:dyDescent="0.25">
      <c r="A7437" s="1" t="s">
        <v>14871</v>
      </c>
      <c r="B7437" s="1" t="str">
        <f>"9781118277980"</f>
        <v>9781118277980</v>
      </c>
      <c r="C7437" s="1" t="s">
        <v>65</v>
      </c>
      <c r="D7437" s="2">
        <v>41723</v>
      </c>
      <c r="E7437" s="1" t="s">
        <v>14872</v>
      </c>
      <c r="F7437" s="1" t="s">
        <v>13</v>
      </c>
    </row>
    <row r="7438" spans="1:6" ht="30" customHeight="1" x14ac:dyDescent="0.25">
      <c r="A7438" s="1" t="s">
        <v>14873</v>
      </c>
      <c r="B7438" s="1" t="str">
        <f>"9781118827918"</f>
        <v>9781118827918</v>
      </c>
      <c r="C7438" s="1" t="s">
        <v>65</v>
      </c>
      <c r="D7438" s="2">
        <v>41716</v>
      </c>
      <c r="E7438" s="1" t="s">
        <v>14874</v>
      </c>
      <c r="F7438" s="1" t="s">
        <v>13</v>
      </c>
    </row>
    <row r="7439" spans="1:6" ht="30" customHeight="1" x14ac:dyDescent="0.25">
      <c r="A7439" s="1" t="s">
        <v>14875</v>
      </c>
      <c r="B7439" s="1" t="str">
        <f>"9781118869178"</f>
        <v>9781118869178</v>
      </c>
      <c r="C7439" s="1" t="s">
        <v>65</v>
      </c>
      <c r="D7439" s="2">
        <v>41724</v>
      </c>
      <c r="E7439" s="1" t="s">
        <v>14876</v>
      </c>
      <c r="F7439" s="1" t="s">
        <v>13</v>
      </c>
    </row>
    <row r="7440" spans="1:6" ht="30" customHeight="1" x14ac:dyDescent="0.25">
      <c r="A7440" s="1" t="s">
        <v>14877</v>
      </c>
      <c r="B7440" s="1" t="str">
        <f>"9781443857741"</f>
        <v>9781443857741</v>
      </c>
      <c r="C7440" s="1" t="s">
        <v>12699</v>
      </c>
      <c r="D7440" s="2">
        <v>41699</v>
      </c>
      <c r="E7440" s="1" t="s">
        <v>14878</v>
      </c>
      <c r="F7440" s="1" t="s">
        <v>13</v>
      </c>
    </row>
    <row r="7441" spans="1:6" ht="30" customHeight="1" x14ac:dyDescent="0.25">
      <c r="A7441" s="1" t="s">
        <v>3720</v>
      </c>
      <c r="B7441" s="1" t="str">
        <f>"9781617051807"</f>
        <v>9781617051807</v>
      </c>
      <c r="C7441" s="1" t="s">
        <v>2342</v>
      </c>
      <c r="D7441" s="2">
        <v>41726</v>
      </c>
      <c r="E7441" s="1" t="s">
        <v>14879</v>
      </c>
      <c r="F7441" s="1" t="s">
        <v>13</v>
      </c>
    </row>
    <row r="7442" spans="1:6" ht="30" customHeight="1" x14ac:dyDescent="0.25">
      <c r="A7442" s="1" t="s">
        <v>6999</v>
      </c>
      <c r="B7442" s="1" t="str">
        <f>"9781118468760"</f>
        <v>9781118468760</v>
      </c>
      <c r="C7442" s="1" t="s">
        <v>11</v>
      </c>
      <c r="D7442" s="2">
        <v>41718</v>
      </c>
      <c r="E7442" s="1" t="s">
        <v>14880</v>
      </c>
      <c r="F7442" s="1" t="s">
        <v>13</v>
      </c>
    </row>
    <row r="7443" spans="1:6" ht="30" customHeight="1" x14ac:dyDescent="0.25">
      <c r="A7443" s="1" t="s">
        <v>14881</v>
      </c>
      <c r="B7443" s="1" t="str">
        <f>"9781118520147"</f>
        <v>9781118520147</v>
      </c>
      <c r="C7443" s="1" t="s">
        <v>65</v>
      </c>
      <c r="D7443" s="2">
        <v>41719</v>
      </c>
      <c r="E7443" s="1" t="s">
        <v>14882</v>
      </c>
      <c r="F7443" s="1" t="s">
        <v>13</v>
      </c>
    </row>
    <row r="7444" spans="1:6" ht="30" customHeight="1" x14ac:dyDescent="0.25">
      <c r="A7444" s="1" t="s">
        <v>14883</v>
      </c>
      <c r="B7444" s="1" t="str">
        <f>"9781118845264"</f>
        <v>9781118845264</v>
      </c>
      <c r="C7444" s="1" t="s">
        <v>65</v>
      </c>
      <c r="D7444" s="2">
        <v>41719</v>
      </c>
      <c r="E7444" s="1" t="s">
        <v>14884</v>
      </c>
      <c r="F7444" s="1" t="s">
        <v>30</v>
      </c>
    </row>
    <row r="7445" spans="1:6" ht="30" customHeight="1" x14ac:dyDescent="0.25">
      <c r="A7445" s="1" t="s">
        <v>14885</v>
      </c>
      <c r="B7445" s="1" t="str">
        <f>"9781782411277"</f>
        <v>9781782411277</v>
      </c>
      <c r="C7445" s="1" t="s">
        <v>8994</v>
      </c>
      <c r="D7445" s="2">
        <v>41739</v>
      </c>
      <c r="E7445" s="1" t="s">
        <v>14886</v>
      </c>
      <c r="F7445" s="1" t="s">
        <v>95</v>
      </c>
    </row>
    <row r="7446" spans="1:6" ht="30" customHeight="1" x14ac:dyDescent="0.25">
      <c r="A7446" s="1" t="s">
        <v>14887</v>
      </c>
      <c r="B7446" s="1" t="str">
        <f>"9781782411475"</f>
        <v>9781782411475</v>
      </c>
      <c r="C7446" s="1" t="s">
        <v>8994</v>
      </c>
      <c r="D7446" s="2">
        <v>41743</v>
      </c>
      <c r="E7446" s="1" t="s">
        <v>14888</v>
      </c>
      <c r="F7446" s="1" t="s">
        <v>304</v>
      </c>
    </row>
    <row r="7447" spans="1:6" ht="30" customHeight="1" x14ac:dyDescent="0.25">
      <c r="A7447" s="1" t="s">
        <v>14889</v>
      </c>
      <c r="B7447" s="1" t="str">
        <f>"9781782411819"</f>
        <v>9781782411819</v>
      </c>
      <c r="C7447" s="1" t="s">
        <v>8994</v>
      </c>
      <c r="D7447" s="2">
        <v>41729</v>
      </c>
      <c r="E7447" s="1" t="s">
        <v>14890</v>
      </c>
      <c r="F7447" s="1" t="s">
        <v>291</v>
      </c>
    </row>
    <row r="7448" spans="1:6" ht="30" customHeight="1" x14ac:dyDescent="0.25">
      <c r="A7448" s="1" t="s">
        <v>14891</v>
      </c>
      <c r="B7448" s="1" t="str">
        <f>"9781782412090"</f>
        <v>9781782412090</v>
      </c>
      <c r="C7448" s="1" t="s">
        <v>8994</v>
      </c>
      <c r="D7448" s="2">
        <v>41731</v>
      </c>
      <c r="E7448" s="1" t="s">
        <v>10114</v>
      </c>
      <c r="F7448" s="1" t="s">
        <v>13</v>
      </c>
    </row>
    <row r="7449" spans="1:6" ht="30" customHeight="1" x14ac:dyDescent="0.25">
      <c r="A7449" s="1" t="s">
        <v>14892</v>
      </c>
      <c r="B7449" s="1" t="str">
        <f>"9781400850372"</f>
        <v>9781400850372</v>
      </c>
      <c r="C7449" s="1" t="s">
        <v>6462</v>
      </c>
      <c r="D7449" s="2">
        <v>41847</v>
      </c>
      <c r="E7449" s="1" t="s">
        <v>14893</v>
      </c>
      <c r="F7449" s="1" t="s">
        <v>30</v>
      </c>
    </row>
    <row r="7450" spans="1:6" ht="30" customHeight="1" x14ac:dyDescent="0.25">
      <c r="A7450" s="1" t="s">
        <v>14894</v>
      </c>
      <c r="B7450" s="1" t="str">
        <f>"9780199709175"</f>
        <v>9780199709175</v>
      </c>
      <c r="C7450" s="1" t="s">
        <v>1123</v>
      </c>
      <c r="D7450" s="2">
        <v>39541</v>
      </c>
      <c r="E7450" s="1" t="s">
        <v>10066</v>
      </c>
      <c r="F7450" s="1" t="s">
        <v>13</v>
      </c>
    </row>
    <row r="7451" spans="1:6" ht="30" customHeight="1" x14ac:dyDescent="0.25">
      <c r="A7451" s="1" t="s">
        <v>14895</v>
      </c>
      <c r="B7451" s="1" t="str">
        <f>"9781118526064"</f>
        <v>9781118526064</v>
      </c>
      <c r="C7451" s="1" t="s">
        <v>65</v>
      </c>
      <c r="D7451" s="2">
        <v>41726</v>
      </c>
      <c r="E7451" s="1" t="s">
        <v>14896</v>
      </c>
      <c r="F7451" s="1" t="s">
        <v>33</v>
      </c>
    </row>
    <row r="7452" spans="1:6" ht="30" customHeight="1" x14ac:dyDescent="0.25">
      <c r="A7452" s="1" t="s">
        <v>14897</v>
      </c>
      <c r="B7452" s="1" t="str">
        <f>"9781118778159"</f>
        <v>9781118778159</v>
      </c>
      <c r="C7452" s="1" t="s">
        <v>11</v>
      </c>
      <c r="D7452" s="2">
        <v>41726</v>
      </c>
      <c r="E7452" s="1" t="s">
        <v>14898</v>
      </c>
      <c r="F7452" s="1" t="s">
        <v>268</v>
      </c>
    </row>
    <row r="7453" spans="1:6" ht="30" customHeight="1" x14ac:dyDescent="0.25">
      <c r="A7453" s="1" t="s">
        <v>14899</v>
      </c>
      <c r="B7453" s="1" t="str">
        <f>"9781118832691"</f>
        <v>9781118832691</v>
      </c>
      <c r="C7453" s="1" t="s">
        <v>11</v>
      </c>
      <c r="D7453" s="2">
        <v>41726</v>
      </c>
      <c r="E7453" s="1" t="s">
        <v>14900</v>
      </c>
      <c r="F7453" s="1" t="s">
        <v>268</v>
      </c>
    </row>
    <row r="7454" spans="1:6" ht="30" customHeight="1" x14ac:dyDescent="0.25">
      <c r="A7454" s="1" t="s">
        <v>14901</v>
      </c>
      <c r="B7454" s="1" t="str">
        <f>"9781118415979"</f>
        <v>9781118415979</v>
      </c>
      <c r="C7454" s="1" t="s">
        <v>11</v>
      </c>
      <c r="D7454" s="2">
        <v>41717</v>
      </c>
      <c r="E7454" s="1" t="s">
        <v>14844</v>
      </c>
      <c r="F7454" s="1" t="s">
        <v>13</v>
      </c>
    </row>
    <row r="7455" spans="1:6" ht="30" customHeight="1" x14ac:dyDescent="0.25">
      <c r="A7455" s="1" t="s">
        <v>14902</v>
      </c>
      <c r="B7455" s="1" t="str">
        <f>"9781118453858"</f>
        <v>9781118453858</v>
      </c>
      <c r="C7455" s="1" t="s">
        <v>65</v>
      </c>
      <c r="D7455" s="2">
        <v>41723</v>
      </c>
      <c r="E7455" s="1" t="s">
        <v>14903</v>
      </c>
      <c r="F7455" s="1" t="s">
        <v>13</v>
      </c>
    </row>
    <row r="7456" spans="1:6" ht="30" customHeight="1" x14ac:dyDescent="0.25">
      <c r="A7456" s="1" t="s">
        <v>14904</v>
      </c>
      <c r="B7456" s="1" t="str">
        <f>"9781118820148"</f>
        <v>9781118820148</v>
      </c>
      <c r="C7456" s="1" t="s">
        <v>65</v>
      </c>
      <c r="D7456" s="2">
        <v>41722</v>
      </c>
      <c r="E7456" s="1" t="s">
        <v>14905</v>
      </c>
      <c r="F7456" s="1" t="s">
        <v>14906</v>
      </c>
    </row>
    <row r="7457" spans="1:6" ht="30" customHeight="1" x14ac:dyDescent="0.25">
      <c r="A7457" s="1" t="s">
        <v>14907</v>
      </c>
      <c r="B7457" s="1" t="str">
        <f>"9781118843437"</f>
        <v>9781118843437</v>
      </c>
      <c r="C7457" s="1" t="s">
        <v>65</v>
      </c>
      <c r="D7457" s="2">
        <v>41717</v>
      </c>
      <c r="E7457" s="1" t="s">
        <v>14908</v>
      </c>
      <c r="F7457" s="1" t="s">
        <v>13</v>
      </c>
    </row>
    <row r="7458" spans="1:6" ht="30" customHeight="1" x14ac:dyDescent="0.25">
      <c r="A7458" s="1" t="s">
        <v>14909</v>
      </c>
      <c r="B7458" s="1" t="str">
        <f>"9781118705322"</f>
        <v>9781118705322</v>
      </c>
      <c r="C7458" s="1" t="s">
        <v>11</v>
      </c>
      <c r="D7458" s="2">
        <v>41724</v>
      </c>
      <c r="E7458" s="1" t="s">
        <v>14712</v>
      </c>
      <c r="F7458" s="1" t="s">
        <v>13</v>
      </c>
    </row>
    <row r="7459" spans="1:6" ht="30" customHeight="1" x14ac:dyDescent="0.25">
      <c r="A7459" s="1" t="s">
        <v>13237</v>
      </c>
      <c r="B7459" s="1" t="str">
        <f>"9781118760581"</f>
        <v>9781118760581</v>
      </c>
      <c r="C7459" s="1" t="s">
        <v>65</v>
      </c>
      <c r="D7459" s="2">
        <v>41724</v>
      </c>
      <c r="E7459" s="1" t="s">
        <v>14910</v>
      </c>
      <c r="F7459" s="1" t="s">
        <v>268</v>
      </c>
    </row>
    <row r="7460" spans="1:6" ht="30" customHeight="1" x14ac:dyDescent="0.25">
      <c r="A7460" s="1" t="s">
        <v>14911</v>
      </c>
      <c r="B7460" s="1" t="str">
        <f>"9781118763599"</f>
        <v>9781118763599</v>
      </c>
      <c r="C7460" s="1" t="s">
        <v>65</v>
      </c>
      <c r="D7460" s="2">
        <v>41726</v>
      </c>
      <c r="E7460" s="1" t="s">
        <v>14912</v>
      </c>
      <c r="F7460" s="1" t="s">
        <v>13</v>
      </c>
    </row>
    <row r="7461" spans="1:6" ht="30" customHeight="1" x14ac:dyDescent="0.25">
      <c r="A7461" s="1" t="s">
        <v>14913</v>
      </c>
      <c r="B7461" s="1" t="str">
        <f>"9781118765999"</f>
        <v>9781118765999</v>
      </c>
      <c r="C7461" s="1" t="s">
        <v>11</v>
      </c>
      <c r="D7461" s="2">
        <v>41724</v>
      </c>
      <c r="E7461" s="1" t="s">
        <v>14914</v>
      </c>
      <c r="F7461" s="1" t="s">
        <v>7304</v>
      </c>
    </row>
    <row r="7462" spans="1:6" ht="30" customHeight="1" x14ac:dyDescent="0.25">
      <c r="A7462" s="1" t="s">
        <v>14915</v>
      </c>
      <c r="B7462" s="1" t="str">
        <f>"9783527651030"</f>
        <v>9783527651030</v>
      </c>
      <c r="C7462" s="1" t="s">
        <v>65</v>
      </c>
      <c r="D7462" s="2">
        <v>41722</v>
      </c>
      <c r="E7462" s="1" t="s">
        <v>14916</v>
      </c>
      <c r="F7462" s="1" t="s">
        <v>1372</v>
      </c>
    </row>
    <row r="7463" spans="1:6" ht="30" customHeight="1" x14ac:dyDescent="0.25">
      <c r="A7463" s="1" t="s">
        <v>14917</v>
      </c>
      <c r="B7463" s="1" t="str">
        <f>"9781608058143"</f>
        <v>9781608058143</v>
      </c>
      <c r="C7463" s="1" t="s">
        <v>11332</v>
      </c>
      <c r="D7463" s="2">
        <v>41726</v>
      </c>
      <c r="E7463" s="1" t="s">
        <v>14918</v>
      </c>
      <c r="F7463" s="1" t="s">
        <v>268</v>
      </c>
    </row>
    <row r="7464" spans="1:6" ht="30" customHeight="1" x14ac:dyDescent="0.25">
      <c r="A7464" s="1" t="s">
        <v>14919</v>
      </c>
      <c r="B7464" s="1" t="str">
        <f>"9780739187036"</f>
        <v>9780739187036</v>
      </c>
      <c r="C7464" s="1" t="s">
        <v>9841</v>
      </c>
      <c r="D7464" s="2">
        <v>41730</v>
      </c>
      <c r="E7464" s="1" t="s">
        <v>14920</v>
      </c>
      <c r="F7464" s="1" t="s">
        <v>95</v>
      </c>
    </row>
    <row r="7465" spans="1:6" ht="30" customHeight="1" x14ac:dyDescent="0.25">
      <c r="A7465" s="1" t="s">
        <v>14921</v>
      </c>
      <c r="B7465" s="1" t="str">
        <f>"9781782411901"</f>
        <v>9781782411901</v>
      </c>
      <c r="C7465" s="1" t="s">
        <v>8994</v>
      </c>
      <c r="D7465" s="2">
        <v>41730</v>
      </c>
      <c r="E7465" s="1" t="s">
        <v>14922</v>
      </c>
      <c r="F7465" s="1" t="s">
        <v>13</v>
      </c>
    </row>
    <row r="7466" spans="1:6" ht="30" customHeight="1" x14ac:dyDescent="0.25">
      <c r="A7466" s="1" t="s">
        <v>14923</v>
      </c>
      <c r="B7466" s="1" t="str">
        <f>"9780520958395"</f>
        <v>9780520958395</v>
      </c>
      <c r="C7466" s="1" t="s">
        <v>818</v>
      </c>
      <c r="D7466" s="2">
        <v>41803</v>
      </c>
      <c r="E7466" s="1" t="s">
        <v>14924</v>
      </c>
      <c r="F7466" s="1" t="s">
        <v>148</v>
      </c>
    </row>
    <row r="7467" spans="1:6" ht="30" customHeight="1" x14ac:dyDescent="0.25">
      <c r="A7467" s="1" t="s">
        <v>14925</v>
      </c>
      <c r="B7467" s="1" t="str">
        <f>"9781846421921"</f>
        <v>9781846421921</v>
      </c>
      <c r="C7467" s="1" t="s">
        <v>2387</v>
      </c>
      <c r="D7467" s="2">
        <v>36647</v>
      </c>
      <c r="E7467" s="1" t="s">
        <v>14926</v>
      </c>
      <c r="F7467" s="1" t="s">
        <v>13</v>
      </c>
    </row>
    <row r="7468" spans="1:6" ht="30" customHeight="1" x14ac:dyDescent="0.25">
      <c r="A7468" s="1" t="s">
        <v>14927</v>
      </c>
      <c r="B7468" s="1" t="str">
        <f>"9780833085566"</f>
        <v>9780833085566</v>
      </c>
      <c r="C7468" s="1" t="s">
        <v>516</v>
      </c>
      <c r="D7468" s="2">
        <v>41730</v>
      </c>
      <c r="E7468" s="1" t="s">
        <v>14928</v>
      </c>
      <c r="F7468" s="1" t="s">
        <v>13</v>
      </c>
    </row>
    <row r="7469" spans="1:6" ht="30" customHeight="1" x14ac:dyDescent="0.25">
      <c r="A7469" s="1" t="s">
        <v>14929</v>
      </c>
      <c r="B7469" s="1" t="str">
        <f>"9781118292297"</f>
        <v>9781118292297</v>
      </c>
      <c r="C7469" s="1" t="s">
        <v>65</v>
      </c>
      <c r="D7469" s="2">
        <v>41789</v>
      </c>
      <c r="E7469" s="1" t="s">
        <v>14930</v>
      </c>
      <c r="F7469" s="1" t="s">
        <v>3875</v>
      </c>
    </row>
    <row r="7470" spans="1:6" ht="30" customHeight="1" x14ac:dyDescent="0.25">
      <c r="A7470" s="1" t="s">
        <v>14931</v>
      </c>
      <c r="B7470" s="1" t="str">
        <f>"9781118509630"</f>
        <v>9781118509630</v>
      </c>
      <c r="C7470" s="1" t="s">
        <v>11</v>
      </c>
      <c r="D7470" s="2">
        <v>41731</v>
      </c>
      <c r="E7470" s="1" t="s">
        <v>14932</v>
      </c>
      <c r="F7470" s="1" t="s">
        <v>95</v>
      </c>
    </row>
    <row r="7471" spans="1:6" ht="30" customHeight="1" x14ac:dyDescent="0.25">
      <c r="A7471" s="1" t="s">
        <v>14933</v>
      </c>
      <c r="B7471" s="1" t="str">
        <f>"9781118779781"</f>
        <v>9781118779781</v>
      </c>
      <c r="C7471" s="1" t="s">
        <v>65</v>
      </c>
      <c r="D7471" s="2">
        <v>41725</v>
      </c>
      <c r="E7471" s="1" t="s">
        <v>14934</v>
      </c>
      <c r="F7471" s="1" t="s">
        <v>30</v>
      </c>
    </row>
    <row r="7472" spans="1:6" ht="30" customHeight="1" x14ac:dyDescent="0.25">
      <c r="A7472" s="1" t="s">
        <v>14935</v>
      </c>
      <c r="B7472" s="1" t="str">
        <f>"9781118673867"</f>
        <v>9781118673867</v>
      </c>
      <c r="C7472" s="1" t="s">
        <v>65</v>
      </c>
      <c r="D7472" s="2">
        <v>41736</v>
      </c>
      <c r="E7472" s="1" t="s">
        <v>14936</v>
      </c>
      <c r="F7472" s="1" t="s">
        <v>13</v>
      </c>
    </row>
    <row r="7473" spans="1:6" ht="30" customHeight="1" x14ac:dyDescent="0.25">
      <c r="A7473" s="1" t="s">
        <v>14937</v>
      </c>
      <c r="B7473" s="1" t="str">
        <f>"9781118469231"</f>
        <v>9781118469231</v>
      </c>
      <c r="C7473" s="1" t="s">
        <v>65</v>
      </c>
      <c r="D7473" s="2">
        <v>41771</v>
      </c>
      <c r="E7473" s="1" t="s">
        <v>14938</v>
      </c>
      <c r="F7473" s="1" t="s">
        <v>13</v>
      </c>
    </row>
    <row r="7474" spans="1:6" ht="30" customHeight="1" x14ac:dyDescent="0.25">
      <c r="A7474" s="1" t="s">
        <v>14939</v>
      </c>
      <c r="B7474" s="1" t="str">
        <f>"9781782412335"</f>
        <v>9781782412335</v>
      </c>
      <c r="C7474" s="1" t="s">
        <v>68</v>
      </c>
      <c r="D7474" s="2">
        <v>41745</v>
      </c>
      <c r="E7474" s="1" t="s">
        <v>14940</v>
      </c>
      <c r="F7474" s="1" t="s">
        <v>13</v>
      </c>
    </row>
    <row r="7475" spans="1:6" ht="30" customHeight="1" x14ac:dyDescent="0.25">
      <c r="A7475" s="1" t="s">
        <v>14941</v>
      </c>
      <c r="B7475" s="1" t="str">
        <f>"9781608826513"</f>
        <v>9781608826513</v>
      </c>
      <c r="C7475" s="1" t="s">
        <v>10294</v>
      </c>
      <c r="D7475" s="2">
        <v>41791</v>
      </c>
      <c r="E7475" s="1" t="s">
        <v>14942</v>
      </c>
      <c r="F7475" s="1" t="s">
        <v>13</v>
      </c>
    </row>
    <row r="7476" spans="1:6" ht="30" customHeight="1" x14ac:dyDescent="0.25">
      <c r="A7476" s="1" t="s">
        <v>14943</v>
      </c>
      <c r="B7476" s="1" t="str">
        <f>"9781118406533"</f>
        <v>9781118406533</v>
      </c>
      <c r="C7476" s="1" t="s">
        <v>11</v>
      </c>
      <c r="D7476" s="2">
        <v>41739</v>
      </c>
      <c r="E7476" s="1" t="s">
        <v>14944</v>
      </c>
      <c r="F7476" s="1" t="s">
        <v>13</v>
      </c>
    </row>
    <row r="7477" spans="1:6" ht="30" customHeight="1" x14ac:dyDescent="0.25">
      <c r="A7477" s="1" t="s">
        <v>14945</v>
      </c>
      <c r="B7477" s="1" t="str">
        <f>"9781118871461"</f>
        <v>9781118871461</v>
      </c>
      <c r="C7477" s="1" t="s">
        <v>65</v>
      </c>
      <c r="D7477" s="2">
        <v>41738</v>
      </c>
      <c r="E7477" s="1" t="s">
        <v>14946</v>
      </c>
      <c r="F7477" s="1" t="s">
        <v>13</v>
      </c>
    </row>
    <row r="7478" spans="1:6" ht="30" customHeight="1" x14ac:dyDescent="0.25">
      <c r="A7478" s="1" t="s">
        <v>14947</v>
      </c>
      <c r="B7478" s="1" t="str">
        <f>"9780826129673"</f>
        <v>9780826129673</v>
      </c>
      <c r="C7478" s="1" t="s">
        <v>2339</v>
      </c>
      <c r="D7478" s="2">
        <v>41746</v>
      </c>
      <c r="E7478" s="1" t="s">
        <v>14948</v>
      </c>
      <c r="F7478" s="1" t="s">
        <v>126</v>
      </c>
    </row>
    <row r="7479" spans="1:6" ht="30" customHeight="1" x14ac:dyDescent="0.25">
      <c r="A7479" s="1" t="s">
        <v>14949</v>
      </c>
      <c r="B7479" s="1" t="str">
        <f>"9780826169143"</f>
        <v>9780826169143</v>
      </c>
      <c r="C7479" s="1" t="s">
        <v>2339</v>
      </c>
      <c r="D7479" s="2">
        <v>41757</v>
      </c>
      <c r="E7479" s="1" t="s">
        <v>14950</v>
      </c>
      <c r="F7479" s="1" t="s">
        <v>13</v>
      </c>
    </row>
    <row r="7480" spans="1:6" ht="30" customHeight="1" x14ac:dyDescent="0.25">
      <c r="A7480" s="1" t="s">
        <v>14951</v>
      </c>
      <c r="B7480" s="1" t="str">
        <f>"9780826168832"</f>
        <v>9780826168832</v>
      </c>
      <c r="C7480" s="1" t="s">
        <v>2339</v>
      </c>
      <c r="D7480" s="2">
        <v>41746</v>
      </c>
      <c r="E7480" s="1" t="s">
        <v>14952</v>
      </c>
      <c r="F7480" s="1" t="s">
        <v>13</v>
      </c>
    </row>
    <row r="7481" spans="1:6" ht="30" customHeight="1" x14ac:dyDescent="0.25">
      <c r="A7481" s="1" t="s">
        <v>14953</v>
      </c>
      <c r="B7481" s="1" t="str">
        <f>"9780826121820"</f>
        <v>9780826121820</v>
      </c>
      <c r="C7481" s="1" t="s">
        <v>2339</v>
      </c>
      <c r="D7481" s="2">
        <v>41743</v>
      </c>
      <c r="E7481" s="1" t="s">
        <v>14954</v>
      </c>
      <c r="F7481" s="1" t="s">
        <v>126</v>
      </c>
    </row>
    <row r="7482" spans="1:6" ht="30" customHeight="1" x14ac:dyDescent="0.25">
      <c r="A7482" s="1" t="s">
        <v>14955</v>
      </c>
      <c r="B7482" s="1" t="str">
        <f>"9780191593017"</f>
        <v>9780191593017</v>
      </c>
      <c r="C7482" s="1" t="s">
        <v>1117</v>
      </c>
      <c r="D7482" s="2">
        <v>37168</v>
      </c>
      <c r="E7482" s="1" t="s">
        <v>14956</v>
      </c>
      <c r="F7482" s="1" t="s">
        <v>114</v>
      </c>
    </row>
    <row r="7483" spans="1:6" ht="30" customHeight="1" x14ac:dyDescent="0.25">
      <c r="A7483" s="1" t="s">
        <v>14957</v>
      </c>
      <c r="B7483" s="1" t="str">
        <f>"9781118492116"</f>
        <v>9781118492116</v>
      </c>
      <c r="C7483" s="1" t="s">
        <v>65</v>
      </c>
      <c r="D7483" s="2">
        <v>41789</v>
      </c>
      <c r="E7483" s="1" t="s">
        <v>14958</v>
      </c>
      <c r="F7483" s="1" t="s">
        <v>126</v>
      </c>
    </row>
    <row r="7484" spans="1:6" ht="30" customHeight="1" x14ac:dyDescent="0.25">
      <c r="A7484" s="1" t="s">
        <v>14959</v>
      </c>
      <c r="B7484" s="1" t="str">
        <f>"9781118633984"</f>
        <v>9781118633984</v>
      </c>
      <c r="C7484" s="1" t="s">
        <v>11</v>
      </c>
      <c r="D7484" s="2">
        <v>41743</v>
      </c>
      <c r="E7484" s="1" t="s">
        <v>14960</v>
      </c>
      <c r="F7484" s="1" t="s">
        <v>13</v>
      </c>
    </row>
    <row r="7485" spans="1:6" ht="30" customHeight="1" x14ac:dyDescent="0.25">
      <c r="A7485" s="1" t="s">
        <v>14961</v>
      </c>
      <c r="B7485" s="1" t="str">
        <f>"9780826118691"</f>
        <v>9780826118691</v>
      </c>
      <c r="C7485" s="1" t="s">
        <v>2339</v>
      </c>
      <c r="D7485" s="2">
        <v>41743</v>
      </c>
      <c r="E7485" s="1" t="s">
        <v>14962</v>
      </c>
      <c r="F7485" s="1" t="s">
        <v>126</v>
      </c>
    </row>
    <row r="7486" spans="1:6" ht="30" customHeight="1" x14ac:dyDescent="0.25">
      <c r="A7486" s="1" t="s">
        <v>14963</v>
      </c>
      <c r="B7486" s="1" t="str">
        <f>"9780253012326"</f>
        <v>9780253012326</v>
      </c>
      <c r="C7486" s="1" t="s">
        <v>19</v>
      </c>
      <c r="D7486" s="2">
        <v>41753</v>
      </c>
      <c r="E7486" s="1" t="s">
        <v>14964</v>
      </c>
      <c r="F7486" s="1" t="s">
        <v>13</v>
      </c>
    </row>
    <row r="7487" spans="1:6" ht="30" customHeight="1" x14ac:dyDescent="0.25">
      <c r="A7487" s="1" t="s">
        <v>14965</v>
      </c>
      <c r="B7487" s="1" t="str">
        <f>"9781118468364"</f>
        <v>9781118468364</v>
      </c>
      <c r="C7487" s="1" t="s">
        <v>65</v>
      </c>
      <c r="D7487" s="2">
        <v>41744</v>
      </c>
      <c r="E7487" s="1" t="s">
        <v>14966</v>
      </c>
      <c r="F7487" s="1" t="s">
        <v>13</v>
      </c>
    </row>
    <row r="7488" spans="1:6" ht="30" customHeight="1" x14ac:dyDescent="0.25">
      <c r="A7488" s="1" t="s">
        <v>14967</v>
      </c>
      <c r="B7488" s="1" t="str">
        <f>"9781118509142"</f>
        <v>9781118509142</v>
      </c>
      <c r="C7488" s="1" t="s">
        <v>65</v>
      </c>
      <c r="D7488" s="2">
        <v>41744</v>
      </c>
      <c r="E7488" s="1" t="s">
        <v>14968</v>
      </c>
      <c r="F7488" s="1" t="s">
        <v>13</v>
      </c>
    </row>
    <row r="7489" spans="1:6" ht="30" customHeight="1" x14ac:dyDescent="0.25">
      <c r="A7489" s="1" t="s">
        <v>14969</v>
      </c>
      <c r="B7489" s="1" t="str">
        <f>"9781118774007"</f>
        <v>9781118774007</v>
      </c>
      <c r="C7489" s="1" t="s">
        <v>65</v>
      </c>
      <c r="D7489" s="2">
        <v>41744</v>
      </c>
      <c r="E7489" s="1" t="s">
        <v>14970</v>
      </c>
      <c r="F7489" s="1" t="s">
        <v>11352</v>
      </c>
    </row>
    <row r="7490" spans="1:6" ht="30" customHeight="1" x14ac:dyDescent="0.25">
      <c r="A7490" s="1" t="s">
        <v>14971</v>
      </c>
      <c r="B7490" s="1" t="str">
        <f>"9781118856048"</f>
        <v>9781118856048</v>
      </c>
      <c r="C7490" s="1" t="s">
        <v>65</v>
      </c>
      <c r="D7490" s="2">
        <v>41744</v>
      </c>
      <c r="E7490" s="1" t="s">
        <v>14972</v>
      </c>
      <c r="F7490" s="1" t="s">
        <v>11460</v>
      </c>
    </row>
    <row r="7491" spans="1:6" ht="30" customHeight="1" x14ac:dyDescent="0.25">
      <c r="A7491" s="1" t="s">
        <v>14973</v>
      </c>
      <c r="B7491" s="1" t="str">
        <f>"9781118496107"</f>
        <v>9781118496107</v>
      </c>
      <c r="C7491" s="1" t="s">
        <v>65</v>
      </c>
      <c r="D7491" s="2">
        <v>41311</v>
      </c>
      <c r="E7491" s="1" t="s">
        <v>14974</v>
      </c>
      <c r="F7491" s="1" t="s">
        <v>13</v>
      </c>
    </row>
    <row r="7492" spans="1:6" ht="30" customHeight="1" x14ac:dyDescent="0.25">
      <c r="A7492" s="1" t="s">
        <v>14975</v>
      </c>
      <c r="B7492" s="1" t="str">
        <f>"9781118818442"</f>
        <v>9781118818442</v>
      </c>
      <c r="C7492" s="1" t="s">
        <v>65</v>
      </c>
      <c r="D7492" s="2">
        <v>41744</v>
      </c>
      <c r="E7492" s="1" t="s">
        <v>14976</v>
      </c>
      <c r="F7492" s="1" t="s">
        <v>13</v>
      </c>
    </row>
    <row r="7493" spans="1:6" ht="30" customHeight="1" x14ac:dyDescent="0.25">
      <c r="A7493" s="1" t="s">
        <v>14977</v>
      </c>
      <c r="B7493" s="1" t="str">
        <f>"9781118676493"</f>
        <v>9781118676493</v>
      </c>
      <c r="C7493" s="1" t="s">
        <v>65</v>
      </c>
      <c r="D7493" s="2">
        <v>41744</v>
      </c>
      <c r="E7493" s="1" t="s">
        <v>14978</v>
      </c>
      <c r="F7493" s="1" t="s">
        <v>126</v>
      </c>
    </row>
    <row r="7494" spans="1:6" ht="30" customHeight="1" x14ac:dyDescent="0.25">
      <c r="A7494" s="1" t="s">
        <v>14979</v>
      </c>
      <c r="B7494" s="1" t="str">
        <f>"9781118734551"</f>
        <v>9781118734551</v>
      </c>
      <c r="C7494" s="1" t="s">
        <v>65</v>
      </c>
      <c r="D7494" s="2">
        <v>41746</v>
      </c>
      <c r="E7494" s="1" t="s">
        <v>14980</v>
      </c>
      <c r="F7494" s="1" t="s">
        <v>13</v>
      </c>
    </row>
    <row r="7495" spans="1:6" ht="30" customHeight="1" x14ac:dyDescent="0.25">
      <c r="A7495" s="1" t="s">
        <v>14981</v>
      </c>
      <c r="B7495" s="1" t="str">
        <f>"9781846421624"</f>
        <v>9781846421624</v>
      </c>
      <c r="C7495" s="1" t="s">
        <v>2387</v>
      </c>
      <c r="D7495" s="2">
        <v>36965</v>
      </c>
      <c r="E7495" s="1" t="s">
        <v>14982</v>
      </c>
      <c r="F7495" s="1" t="s">
        <v>13</v>
      </c>
    </row>
    <row r="7496" spans="1:6" ht="30" customHeight="1" x14ac:dyDescent="0.25">
      <c r="A7496" s="1" t="s">
        <v>14983</v>
      </c>
      <c r="B7496" s="1" t="str">
        <f>"9781846423024"</f>
        <v>9781846423024</v>
      </c>
      <c r="C7496" s="1" t="s">
        <v>2387</v>
      </c>
      <c r="D7496" s="2">
        <v>37179</v>
      </c>
      <c r="E7496" s="1" t="s">
        <v>14984</v>
      </c>
      <c r="F7496" s="1" t="s">
        <v>13</v>
      </c>
    </row>
    <row r="7497" spans="1:6" ht="30" customHeight="1" x14ac:dyDescent="0.25">
      <c r="A7497" s="1" t="s">
        <v>14985</v>
      </c>
      <c r="B7497" s="1" t="str">
        <f>"9780813563749"</f>
        <v>9780813563749</v>
      </c>
      <c r="C7497" s="1" t="s">
        <v>3656</v>
      </c>
      <c r="D7497" s="2">
        <v>41698</v>
      </c>
      <c r="E7497" s="1" t="s">
        <v>14986</v>
      </c>
      <c r="F7497" s="1" t="s">
        <v>95</v>
      </c>
    </row>
    <row r="7498" spans="1:6" ht="30" customHeight="1" x14ac:dyDescent="0.25">
      <c r="A7498" s="1" t="s">
        <v>14987</v>
      </c>
      <c r="B7498" s="1" t="str">
        <f>"9780199720132"</f>
        <v>9780199720132</v>
      </c>
      <c r="C7498" s="1" t="s">
        <v>1120</v>
      </c>
      <c r="D7498" s="2">
        <v>39745</v>
      </c>
      <c r="E7498" s="1" t="s">
        <v>14988</v>
      </c>
      <c r="F7498" s="1" t="s">
        <v>13</v>
      </c>
    </row>
    <row r="7499" spans="1:6" ht="30" customHeight="1" x14ac:dyDescent="0.25">
      <c r="A7499" s="1" t="s">
        <v>14989</v>
      </c>
      <c r="B7499" s="1" t="str">
        <f>"9781409438588"</f>
        <v>9781409438588</v>
      </c>
      <c r="C7499" s="1" t="s">
        <v>68</v>
      </c>
      <c r="D7499" s="2">
        <v>41818</v>
      </c>
      <c r="E7499" s="1" t="s">
        <v>14990</v>
      </c>
      <c r="F7499" s="1" t="s">
        <v>70</v>
      </c>
    </row>
    <row r="7500" spans="1:6" ht="30" customHeight="1" x14ac:dyDescent="0.25">
      <c r="A7500" s="1" t="s">
        <v>14991</v>
      </c>
      <c r="B7500" s="1" t="str">
        <f>"9781555818432"</f>
        <v>9781555818432</v>
      </c>
      <c r="C7500" s="1" t="s">
        <v>7254</v>
      </c>
      <c r="D7500" s="2">
        <v>41718</v>
      </c>
      <c r="E7500" s="1" t="s">
        <v>14992</v>
      </c>
      <c r="F7500" s="1" t="s">
        <v>30</v>
      </c>
    </row>
    <row r="7501" spans="1:6" ht="30" customHeight="1" x14ac:dyDescent="0.25">
      <c r="A7501" s="1" t="s">
        <v>14993</v>
      </c>
      <c r="B7501" s="1" t="str">
        <f>"9781452941912"</f>
        <v>9781452941912</v>
      </c>
      <c r="C7501" s="1" t="s">
        <v>3458</v>
      </c>
      <c r="D7501" s="2">
        <v>41760</v>
      </c>
      <c r="E7501" s="1" t="s">
        <v>14994</v>
      </c>
      <c r="F7501" s="1" t="s">
        <v>70</v>
      </c>
    </row>
    <row r="7502" spans="1:6" ht="30" customHeight="1" x14ac:dyDescent="0.25">
      <c r="A7502" s="1" t="s">
        <v>14995</v>
      </c>
      <c r="B7502" s="1" t="str">
        <f>"9789812811400"</f>
        <v>9789812811400</v>
      </c>
      <c r="C7502" s="1" t="s">
        <v>881</v>
      </c>
      <c r="D7502" s="2">
        <v>37226</v>
      </c>
      <c r="E7502" s="1" t="s">
        <v>14996</v>
      </c>
      <c r="F7502" s="1" t="s">
        <v>13</v>
      </c>
    </row>
    <row r="7503" spans="1:6" ht="30" customHeight="1" x14ac:dyDescent="0.25">
      <c r="A7503" s="1" t="s">
        <v>14997</v>
      </c>
      <c r="B7503" s="1" t="str">
        <f>"9789812795298"</f>
        <v>9789812795298</v>
      </c>
      <c r="C7503" s="1" t="s">
        <v>881</v>
      </c>
      <c r="D7503" s="2">
        <v>37956</v>
      </c>
      <c r="E7503" s="1" t="s">
        <v>14998</v>
      </c>
      <c r="F7503" s="1" t="s">
        <v>963</v>
      </c>
    </row>
    <row r="7504" spans="1:6" ht="30" customHeight="1" x14ac:dyDescent="0.25">
      <c r="A7504" s="1" t="s">
        <v>14999</v>
      </c>
      <c r="B7504" s="1" t="str">
        <f>"9789812774019"</f>
        <v>9789812774019</v>
      </c>
      <c r="C7504" s="1" t="s">
        <v>881</v>
      </c>
      <c r="D7504" s="2">
        <v>39052</v>
      </c>
      <c r="E7504" s="1" t="s">
        <v>15000</v>
      </c>
      <c r="F7504" s="1" t="s">
        <v>268</v>
      </c>
    </row>
    <row r="7505" spans="1:6" ht="30" customHeight="1" x14ac:dyDescent="0.25">
      <c r="A7505" s="1" t="s">
        <v>15001</v>
      </c>
      <c r="B7505" s="1" t="str">
        <f>"9789812709301"</f>
        <v>9789812709301</v>
      </c>
      <c r="C7505" s="1" t="s">
        <v>881</v>
      </c>
      <c r="D7505" s="2">
        <v>39417</v>
      </c>
      <c r="E7505" s="1" t="s">
        <v>15002</v>
      </c>
      <c r="F7505" s="1" t="s">
        <v>13</v>
      </c>
    </row>
    <row r="7506" spans="1:6" ht="30" customHeight="1" x14ac:dyDescent="0.25">
      <c r="A7506" s="1" t="s">
        <v>15003</v>
      </c>
      <c r="B7506" s="1" t="str">
        <f>"9789814261647"</f>
        <v>9789814261647</v>
      </c>
      <c r="C7506" s="1" t="s">
        <v>881</v>
      </c>
      <c r="D7506" s="2">
        <v>40036</v>
      </c>
      <c r="E7506" s="1" t="s">
        <v>15004</v>
      </c>
      <c r="F7506" s="1" t="s">
        <v>9922</v>
      </c>
    </row>
    <row r="7507" spans="1:6" ht="30" customHeight="1" x14ac:dyDescent="0.25">
      <c r="A7507" s="1" t="s">
        <v>15005</v>
      </c>
      <c r="B7507" s="1" t="str">
        <f>"9781848161702"</f>
        <v>9781848161702</v>
      </c>
      <c r="C7507" s="1" t="s">
        <v>876</v>
      </c>
      <c r="D7507" s="2">
        <v>41773</v>
      </c>
      <c r="E7507" s="1" t="s">
        <v>15006</v>
      </c>
      <c r="F7507" s="1" t="s">
        <v>13</v>
      </c>
    </row>
    <row r="7508" spans="1:6" ht="30" customHeight="1" x14ac:dyDescent="0.25">
      <c r="A7508" s="1" t="s">
        <v>15007</v>
      </c>
      <c r="B7508" s="1" t="str">
        <f>"9789812810359"</f>
        <v>9789812810359</v>
      </c>
      <c r="C7508" s="1" t="s">
        <v>881</v>
      </c>
      <c r="D7508" s="2">
        <v>37226</v>
      </c>
      <c r="E7508" s="1" t="s">
        <v>15008</v>
      </c>
      <c r="F7508" s="1" t="s">
        <v>137</v>
      </c>
    </row>
    <row r="7509" spans="1:6" ht="30" customHeight="1" x14ac:dyDescent="0.25">
      <c r="A7509" s="1" t="s">
        <v>15009</v>
      </c>
      <c r="B7509" s="1" t="str">
        <f>"9789812813169"</f>
        <v>9789812813169</v>
      </c>
      <c r="C7509" s="1" t="s">
        <v>881</v>
      </c>
      <c r="D7509" s="2">
        <v>39783</v>
      </c>
      <c r="E7509" s="1" t="s">
        <v>15010</v>
      </c>
      <c r="F7509" s="1" t="s">
        <v>13</v>
      </c>
    </row>
    <row r="7510" spans="1:6" ht="30" customHeight="1" x14ac:dyDescent="0.25">
      <c r="A7510" s="1" t="s">
        <v>15011</v>
      </c>
      <c r="B7510" s="1" t="str">
        <f>"9789812797322"</f>
        <v>9789812797322</v>
      </c>
      <c r="C7510" s="1" t="s">
        <v>881</v>
      </c>
      <c r="D7510" s="2">
        <v>39783</v>
      </c>
      <c r="E7510" s="1" t="s">
        <v>15012</v>
      </c>
      <c r="F7510" s="1" t="s">
        <v>127</v>
      </c>
    </row>
    <row r="7511" spans="1:6" ht="30" customHeight="1" x14ac:dyDescent="0.25">
      <c r="A7511" s="1" t="s">
        <v>15013</v>
      </c>
      <c r="B7511" s="1" t="str">
        <f>"9789812775726"</f>
        <v>9789812775726</v>
      </c>
      <c r="C7511" s="1" t="s">
        <v>881</v>
      </c>
      <c r="D7511" s="2">
        <v>41773</v>
      </c>
      <c r="E7511" s="1" t="s">
        <v>15014</v>
      </c>
      <c r="F7511" s="1" t="s">
        <v>70</v>
      </c>
    </row>
    <row r="7512" spans="1:6" ht="30" customHeight="1" x14ac:dyDescent="0.25">
      <c r="A7512" s="1" t="s">
        <v>15015</v>
      </c>
      <c r="B7512" s="1" t="str">
        <f>"9781848161092"</f>
        <v>9781848161092</v>
      </c>
      <c r="C7512" s="1" t="s">
        <v>876</v>
      </c>
      <c r="D7512" s="2">
        <v>41773</v>
      </c>
      <c r="E7512" s="1" t="s">
        <v>15016</v>
      </c>
      <c r="F7512" s="1" t="s">
        <v>54</v>
      </c>
    </row>
    <row r="7513" spans="1:6" ht="30" customHeight="1" x14ac:dyDescent="0.25">
      <c r="A7513" s="1" t="s">
        <v>15017</v>
      </c>
      <c r="B7513" s="1" t="str">
        <f>"9789812799975"</f>
        <v>9789812799975</v>
      </c>
      <c r="C7513" s="1" t="s">
        <v>881</v>
      </c>
      <c r="D7513" s="2">
        <v>37226</v>
      </c>
      <c r="E7513" s="1" t="s">
        <v>15018</v>
      </c>
      <c r="F7513" s="1" t="s">
        <v>54</v>
      </c>
    </row>
    <row r="7514" spans="1:6" ht="30" customHeight="1" x14ac:dyDescent="0.25">
      <c r="A7514" s="1" t="s">
        <v>15019</v>
      </c>
      <c r="B7514" s="1" t="str">
        <f>"9789812777966"</f>
        <v>9789812777966</v>
      </c>
      <c r="C7514" s="1" t="s">
        <v>881</v>
      </c>
      <c r="D7514" s="2">
        <v>41773</v>
      </c>
      <c r="E7514" s="1" t="s">
        <v>15020</v>
      </c>
      <c r="F7514" s="1" t="s">
        <v>13</v>
      </c>
    </row>
    <row r="7515" spans="1:6" ht="30" customHeight="1" x14ac:dyDescent="0.25">
      <c r="A7515" s="1" t="s">
        <v>15021</v>
      </c>
      <c r="B7515" s="1" t="str">
        <f>"9789814273817"</f>
        <v>9789814273817</v>
      </c>
      <c r="C7515" s="1" t="s">
        <v>881</v>
      </c>
      <c r="D7515" s="2">
        <v>40023</v>
      </c>
      <c r="E7515" s="1" t="s">
        <v>15022</v>
      </c>
      <c r="F7515" s="1" t="s">
        <v>15023</v>
      </c>
    </row>
    <row r="7516" spans="1:6" ht="30" customHeight="1" x14ac:dyDescent="0.25">
      <c r="A7516" s="1" t="s">
        <v>15024</v>
      </c>
      <c r="B7516" s="1" t="str">
        <f>"9789812795236"</f>
        <v>9789812795236</v>
      </c>
      <c r="C7516" s="1" t="s">
        <v>881</v>
      </c>
      <c r="D7516" s="2">
        <v>41773</v>
      </c>
      <c r="E7516" s="1" t="s">
        <v>15025</v>
      </c>
      <c r="F7516" s="1" t="s">
        <v>13</v>
      </c>
    </row>
    <row r="7517" spans="1:6" ht="30" customHeight="1" x14ac:dyDescent="0.25">
      <c r="A7517" s="1" t="s">
        <v>15026</v>
      </c>
      <c r="B7517" s="1" t="str">
        <f>"9789812776945"</f>
        <v>9789812776945</v>
      </c>
      <c r="C7517" s="1" t="s">
        <v>881</v>
      </c>
      <c r="D7517" s="2">
        <v>37591</v>
      </c>
      <c r="E7517" s="1" t="s">
        <v>15027</v>
      </c>
      <c r="F7517" s="1" t="s">
        <v>15028</v>
      </c>
    </row>
    <row r="7518" spans="1:6" ht="30" customHeight="1" x14ac:dyDescent="0.25">
      <c r="A7518" s="1" t="s">
        <v>15029</v>
      </c>
      <c r="B7518" s="1" t="str">
        <f>"9789812811967"</f>
        <v>9789812811967</v>
      </c>
      <c r="C7518" s="1" t="s">
        <v>881</v>
      </c>
      <c r="D7518" s="2">
        <v>37226</v>
      </c>
      <c r="E7518" s="1" t="s">
        <v>15030</v>
      </c>
      <c r="F7518" s="1" t="s">
        <v>15031</v>
      </c>
    </row>
    <row r="7519" spans="1:6" ht="30" customHeight="1" x14ac:dyDescent="0.25">
      <c r="A7519" s="1" t="s">
        <v>15029</v>
      </c>
      <c r="B7519" s="1" t="str">
        <f>"9789812811974"</f>
        <v>9789812811974</v>
      </c>
      <c r="C7519" s="1" t="s">
        <v>881</v>
      </c>
      <c r="D7519" s="2">
        <v>37226</v>
      </c>
      <c r="E7519" s="1" t="s">
        <v>15032</v>
      </c>
      <c r="F7519" s="1" t="s">
        <v>15031</v>
      </c>
    </row>
    <row r="7520" spans="1:6" ht="30" customHeight="1" x14ac:dyDescent="0.25">
      <c r="A7520" s="1" t="s">
        <v>15033</v>
      </c>
      <c r="B7520" s="1" t="str">
        <f>"9789812810311"</f>
        <v>9789812810311</v>
      </c>
      <c r="C7520" s="1" t="s">
        <v>881</v>
      </c>
      <c r="D7520" s="2">
        <v>37226</v>
      </c>
      <c r="E7520" s="1" t="s">
        <v>15034</v>
      </c>
      <c r="F7520" s="1" t="s">
        <v>13</v>
      </c>
    </row>
    <row r="7521" spans="1:6" ht="30" customHeight="1" x14ac:dyDescent="0.25">
      <c r="A7521" s="1" t="s">
        <v>15035</v>
      </c>
      <c r="B7521" s="1" t="str">
        <f>"9781860948800"</f>
        <v>9781860948800</v>
      </c>
      <c r="C7521" s="1" t="s">
        <v>876</v>
      </c>
      <c r="D7521" s="2">
        <v>41773</v>
      </c>
      <c r="E7521" s="1" t="s">
        <v>15036</v>
      </c>
      <c r="F7521" s="1" t="s">
        <v>13</v>
      </c>
    </row>
    <row r="7522" spans="1:6" ht="30" customHeight="1" x14ac:dyDescent="0.25">
      <c r="A7522" s="1" t="s">
        <v>15037</v>
      </c>
      <c r="B7522" s="1" t="str">
        <f>"9780803641037"</f>
        <v>9780803641037</v>
      </c>
      <c r="C7522" s="1" t="s">
        <v>15038</v>
      </c>
      <c r="D7522" s="2">
        <v>41736</v>
      </c>
      <c r="E7522" s="1" t="s">
        <v>15039</v>
      </c>
      <c r="F7522" s="1" t="s">
        <v>13</v>
      </c>
    </row>
    <row r="7523" spans="1:6" ht="30" customHeight="1" x14ac:dyDescent="0.25">
      <c r="A7523" s="1" t="s">
        <v>15040</v>
      </c>
      <c r="B7523" s="1" t="str">
        <f>"9780803641181"</f>
        <v>9780803641181</v>
      </c>
      <c r="C7523" s="1" t="s">
        <v>15038</v>
      </c>
      <c r="D7523" s="2">
        <v>41757</v>
      </c>
      <c r="E7523" s="1" t="s">
        <v>15041</v>
      </c>
      <c r="F7523" s="1" t="s">
        <v>30</v>
      </c>
    </row>
    <row r="7524" spans="1:6" ht="30" customHeight="1" x14ac:dyDescent="0.25">
      <c r="A7524" s="1" t="s">
        <v>15042</v>
      </c>
      <c r="B7524" s="1" t="str">
        <f>"9780826164056"</f>
        <v>9780826164056</v>
      </c>
      <c r="C7524" s="1" t="s">
        <v>2339</v>
      </c>
      <c r="D7524" s="2">
        <v>41816</v>
      </c>
      <c r="E7524" s="1" t="s">
        <v>15043</v>
      </c>
      <c r="F7524" s="1" t="s">
        <v>126</v>
      </c>
    </row>
    <row r="7525" spans="1:6" ht="30" customHeight="1" x14ac:dyDescent="0.25">
      <c r="A7525" s="1" t="s">
        <v>15044</v>
      </c>
      <c r="B7525" s="1" t="str">
        <f>"9781118492536"</f>
        <v>9781118492536</v>
      </c>
      <c r="C7525" s="1" t="s">
        <v>65</v>
      </c>
      <c r="D7525" s="2">
        <v>41752</v>
      </c>
      <c r="E7525" s="1" t="s">
        <v>15045</v>
      </c>
      <c r="F7525" s="1" t="s">
        <v>13</v>
      </c>
    </row>
    <row r="7526" spans="1:6" ht="30" customHeight="1" x14ac:dyDescent="0.25">
      <c r="A7526" s="1" t="s">
        <v>15046</v>
      </c>
      <c r="B7526" s="1" t="str">
        <f>"9781118966006"</f>
        <v>9781118966006</v>
      </c>
      <c r="C7526" s="1" t="s">
        <v>65</v>
      </c>
      <c r="D7526" s="2">
        <v>39895</v>
      </c>
      <c r="E7526" s="1" t="s">
        <v>15047</v>
      </c>
      <c r="F7526" s="1" t="s">
        <v>13</v>
      </c>
    </row>
    <row r="7527" spans="1:6" ht="30" customHeight="1" x14ac:dyDescent="0.25">
      <c r="A7527" s="1" t="s">
        <v>15048</v>
      </c>
      <c r="B7527" s="1" t="str">
        <f>"9780833082411"</f>
        <v>9780833082411</v>
      </c>
      <c r="C7527" s="1" t="s">
        <v>516</v>
      </c>
      <c r="D7527" s="2">
        <v>41752</v>
      </c>
      <c r="E7527" s="1" t="s">
        <v>15049</v>
      </c>
      <c r="F7527" s="1" t="s">
        <v>30</v>
      </c>
    </row>
    <row r="7528" spans="1:6" ht="30" customHeight="1" x14ac:dyDescent="0.25">
      <c r="A7528" s="1" t="s">
        <v>15050</v>
      </c>
      <c r="B7528" s="1" t="str">
        <f>"9780833086211"</f>
        <v>9780833086211</v>
      </c>
      <c r="C7528" s="1" t="s">
        <v>516</v>
      </c>
      <c r="D7528" s="2">
        <v>41738</v>
      </c>
      <c r="E7528" s="1" t="s">
        <v>15051</v>
      </c>
      <c r="F7528" s="1" t="s">
        <v>3261</v>
      </c>
    </row>
    <row r="7529" spans="1:6" ht="30" customHeight="1" x14ac:dyDescent="0.25">
      <c r="A7529" s="1" t="s">
        <v>15052</v>
      </c>
      <c r="B7529" s="1" t="str">
        <f>"9781118398272"</f>
        <v>9781118398272</v>
      </c>
      <c r="C7529" s="1" t="s">
        <v>65</v>
      </c>
      <c r="D7529" s="2">
        <v>41751</v>
      </c>
      <c r="E7529" s="1" t="s">
        <v>15053</v>
      </c>
      <c r="F7529" s="1" t="s">
        <v>13</v>
      </c>
    </row>
    <row r="7530" spans="1:6" ht="30" customHeight="1" x14ac:dyDescent="0.25">
      <c r="A7530" s="1" t="s">
        <v>15054</v>
      </c>
      <c r="B7530" s="1" t="str">
        <f>"9789812773197"</f>
        <v>9789812773197</v>
      </c>
      <c r="C7530" s="1" t="s">
        <v>881</v>
      </c>
      <c r="D7530" s="2">
        <v>39052</v>
      </c>
      <c r="E7530" s="1" t="s">
        <v>15055</v>
      </c>
      <c r="F7530" s="1" t="s">
        <v>13</v>
      </c>
    </row>
    <row r="7531" spans="1:6" ht="30" customHeight="1" x14ac:dyDescent="0.25">
      <c r="A7531" s="1" t="s">
        <v>15056</v>
      </c>
      <c r="B7531" s="1" t="str">
        <f>"9789812771377"</f>
        <v>9789812771377</v>
      </c>
      <c r="C7531" s="1" t="s">
        <v>881</v>
      </c>
      <c r="D7531" s="2">
        <v>39417</v>
      </c>
      <c r="E7531" s="1" t="s">
        <v>3159</v>
      </c>
      <c r="F7531" s="1" t="s">
        <v>63</v>
      </c>
    </row>
    <row r="7532" spans="1:6" ht="30" customHeight="1" x14ac:dyDescent="0.25">
      <c r="A7532" s="1" t="s">
        <v>15057</v>
      </c>
      <c r="B7532" s="1" t="str">
        <f>"9789240691681"</f>
        <v>9789240691681</v>
      </c>
      <c r="C7532" s="1" t="s">
        <v>1981</v>
      </c>
      <c r="D7532" s="2">
        <v>41639</v>
      </c>
      <c r="E7532" s="1" t="s">
        <v>1981</v>
      </c>
      <c r="F7532" s="1" t="s">
        <v>176</v>
      </c>
    </row>
    <row r="7533" spans="1:6" ht="30" customHeight="1" x14ac:dyDescent="0.25">
      <c r="A7533" s="1" t="s">
        <v>15058</v>
      </c>
      <c r="B7533" s="1" t="str">
        <f>"9789240691575"</f>
        <v>9789240691575</v>
      </c>
      <c r="C7533" s="1" t="s">
        <v>1981</v>
      </c>
      <c r="D7533" s="2">
        <v>41623</v>
      </c>
      <c r="E7533" s="1" t="s">
        <v>1981</v>
      </c>
      <c r="F7533" s="1" t="s">
        <v>356</v>
      </c>
    </row>
    <row r="7534" spans="1:6" ht="30" customHeight="1" x14ac:dyDescent="0.25">
      <c r="A7534" s="1" t="s">
        <v>15059</v>
      </c>
      <c r="B7534" s="1" t="str">
        <f>"9789240691766"</f>
        <v>9789240691766</v>
      </c>
      <c r="C7534" s="1" t="s">
        <v>1981</v>
      </c>
      <c r="D7534" s="2">
        <v>41660</v>
      </c>
      <c r="E7534" s="1" t="s">
        <v>1981</v>
      </c>
      <c r="F7534" s="1" t="s">
        <v>268</v>
      </c>
    </row>
    <row r="7535" spans="1:6" ht="30" customHeight="1" x14ac:dyDescent="0.25">
      <c r="A7535" s="1" t="s">
        <v>15060</v>
      </c>
      <c r="B7535" s="1" t="str">
        <f>"9789812839046"</f>
        <v>9789812839046</v>
      </c>
      <c r="C7535" s="1" t="s">
        <v>881</v>
      </c>
      <c r="D7535" s="2">
        <v>41773</v>
      </c>
      <c r="E7535" s="1" t="s">
        <v>15061</v>
      </c>
      <c r="F7535" s="1" t="s">
        <v>13</v>
      </c>
    </row>
    <row r="7536" spans="1:6" ht="30" customHeight="1" x14ac:dyDescent="0.25">
      <c r="A7536" s="1" t="s">
        <v>15062</v>
      </c>
      <c r="B7536" s="1" t="str">
        <f>"9789812778802"</f>
        <v>9789812778802</v>
      </c>
      <c r="C7536" s="1" t="s">
        <v>881</v>
      </c>
      <c r="D7536" s="2">
        <v>39783</v>
      </c>
      <c r="E7536" s="1" t="s">
        <v>15063</v>
      </c>
      <c r="F7536" s="1" t="s">
        <v>13</v>
      </c>
    </row>
    <row r="7537" spans="1:6" ht="30" customHeight="1" x14ac:dyDescent="0.25">
      <c r="A7537" s="1" t="s">
        <v>15064</v>
      </c>
      <c r="B7537" s="1" t="str">
        <f>"9781848161184"</f>
        <v>9781848161184</v>
      </c>
      <c r="C7537" s="1" t="s">
        <v>876</v>
      </c>
      <c r="D7537" s="2">
        <v>41773</v>
      </c>
      <c r="E7537" s="1" t="s">
        <v>15065</v>
      </c>
      <c r="F7537" s="1" t="s">
        <v>13</v>
      </c>
    </row>
    <row r="7538" spans="1:6" ht="30" customHeight="1" x14ac:dyDescent="0.25">
      <c r="A7538" s="1" t="s">
        <v>15066</v>
      </c>
      <c r="B7538" s="1" t="str">
        <f>"9789812773913"</f>
        <v>9789812773913</v>
      </c>
      <c r="C7538" s="1" t="s">
        <v>881</v>
      </c>
      <c r="D7538" s="2">
        <v>41773</v>
      </c>
      <c r="E7538" s="1" t="s">
        <v>15067</v>
      </c>
      <c r="F7538" s="1" t="s">
        <v>751</v>
      </c>
    </row>
    <row r="7539" spans="1:6" ht="30" customHeight="1" x14ac:dyDescent="0.25">
      <c r="A7539" s="1" t="s">
        <v>15068</v>
      </c>
      <c r="B7539" s="1" t="str">
        <f>"9789812794222"</f>
        <v>9789812794222</v>
      </c>
      <c r="C7539" s="1" t="s">
        <v>881</v>
      </c>
      <c r="D7539" s="2">
        <v>41773</v>
      </c>
      <c r="E7539" s="1" t="s">
        <v>15069</v>
      </c>
      <c r="F7539" s="1" t="s">
        <v>54</v>
      </c>
    </row>
    <row r="7540" spans="1:6" ht="30" customHeight="1" x14ac:dyDescent="0.25">
      <c r="A7540" s="1" t="s">
        <v>15070</v>
      </c>
      <c r="B7540" s="1" t="str">
        <f>"9781848161610"</f>
        <v>9781848161610</v>
      </c>
      <c r="C7540" s="1" t="s">
        <v>876</v>
      </c>
      <c r="D7540" s="2">
        <v>41773</v>
      </c>
      <c r="E7540" s="1" t="s">
        <v>15071</v>
      </c>
      <c r="F7540" s="1" t="s">
        <v>54</v>
      </c>
    </row>
    <row r="7541" spans="1:6" ht="30" customHeight="1" x14ac:dyDescent="0.25">
      <c r="A7541" s="1" t="s">
        <v>15072</v>
      </c>
      <c r="B7541" s="1" t="str">
        <f>"9789814291217"</f>
        <v>9789814291217</v>
      </c>
      <c r="C7541" s="1" t="s">
        <v>881</v>
      </c>
      <c r="D7541" s="2">
        <v>40087</v>
      </c>
      <c r="E7541" s="1" t="s">
        <v>15073</v>
      </c>
      <c r="F7541" s="1" t="s">
        <v>15023</v>
      </c>
    </row>
    <row r="7542" spans="1:6" ht="30" customHeight="1" x14ac:dyDescent="0.25">
      <c r="A7542" s="1" t="s">
        <v>15074</v>
      </c>
      <c r="B7542" s="1" t="str">
        <f>"9789812773173"</f>
        <v>9789812773173</v>
      </c>
      <c r="C7542" s="1" t="s">
        <v>881</v>
      </c>
      <c r="D7542" s="2">
        <v>41773</v>
      </c>
      <c r="E7542" s="1" t="s">
        <v>15075</v>
      </c>
      <c r="F7542" s="1" t="s">
        <v>6430</v>
      </c>
    </row>
    <row r="7543" spans="1:6" ht="30" customHeight="1" x14ac:dyDescent="0.25">
      <c r="A7543" s="1" t="s">
        <v>15076</v>
      </c>
      <c r="B7543" s="1" t="str">
        <f>"9781848161528"</f>
        <v>9781848161528</v>
      </c>
      <c r="C7543" s="1" t="s">
        <v>876</v>
      </c>
      <c r="D7543" s="2">
        <v>41773</v>
      </c>
      <c r="E7543" s="1" t="s">
        <v>15077</v>
      </c>
      <c r="F7543" s="1" t="s">
        <v>13</v>
      </c>
    </row>
    <row r="7544" spans="1:6" ht="30" customHeight="1" x14ac:dyDescent="0.25">
      <c r="A7544" s="1" t="s">
        <v>15078</v>
      </c>
      <c r="B7544" s="1" t="str">
        <f>"9781848161726"</f>
        <v>9781848161726</v>
      </c>
      <c r="C7544" s="1" t="s">
        <v>876</v>
      </c>
      <c r="D7544" s="2">
        <v>41773</v>
      </c>
      <c r="E7544" s="1" t="s">
        <v>15079</v>
      </c>
      <c r="F7544" s="1" t="s">
        <v>13</v>
      </c>
    </row>
    <row r="7545" spans="1:6" ht="30" customHeight="1" x14ac:dyDescent="0.25">
      <c r="A7545" s="1" t="s">
        <v>15080</v>
      </c>
      <c r="B7545" s="1" t="str">
        <f>"9789812838384"</f>
        <v>9789812838384</v>
      </c>
      <c r="C7545" s="1" t="s">
        <v>881</v>
      </c>
      <c r="D7545" s="2">
        <v>40118</v>
      </c>
      <c r="E7545" s="1" t="s">
        <v>15081</v>
      </c>
      <c r="F7545" s="1" t="s">
        <v>95</v>
      </c>
    </row>
    <row r="7546" spans="1:6" ht="30" customHeight="1" x14ac:dyDescent="0.25">
      <c r="A7546" s="1" t="s">
        <v>15082</v>
      </c>
      <c r="B7546" s="1" t="str">
        <f>"9789812776686"</f>
        <v>9789812776686</v>
      </c>
      <c r="C7546" s="1" t="s">
        <v>881</v>
      </c>
      <c r="D7546" s="2">
        <v>41773</v>
      </c>
      <c r="E7546" s="1" t="s">
        <v>15083</v>
      </c>
      <c r="F7546" s="1" t="s">
        <v>4854</v>
      </c>
    </row>
    <row r="7547" spans="1:6" ht="30" customHeight="1" x14ac:dyDescent="0.25">
      <c r="A7547" s="1" t="s">
        <v>15084</v>
      </c>
      <c r="B7547" s="1" t="str">
        <f>"9781848163911"</f>
        <v>9781848163911</v>
      </c>
      <c r="C7547" s="1" t="s">
        <v>876</v>
      </c>
      <c r="D7547" s="2">
        <v>39964</v>
      </c>
      <c r="E7547" s="1" t="s">
        <v>15085</v>
      </c>
      <c r="F7547" s="1" t="s">
        <v>63</v>
      </c>
    </row>
    <row r="7548" spans="1:6" ht="30" customHeight="1" x14ac:dyDescent="0.25">
      <c r="A7548" s="1" t="s">
        <v>15086</v>
      </c>
      <c r="B7548" s="1" t="str">
        <f>"9789814299350"</f>
        <v>9789814299350</v>
      </c>
      <c r="C7548" s="1" t="s">
        <v>881</v>
      </c>
      <c r="D7548" s="2">
        <v>41773</v>
      </c>
      <c r="E7548" s="1" t="s">
        <v>15087</v>
      </c>
      <c r="F7548" s="1" t="s">
        <v>15023</v>
      </c>
    </row>
    <row r="7549" spans="1:6" ht="30" customHeight="1" x14ac:dyDescent="0.25">
      <c r="A7549" s="1" t="s">
        <v>15088</v>
      </c>
      <c r="B7549" s="1" t="str">
        <f>"9789812838728"</f>
        <v>9789812838728</v>
      </c>
      <c r="C7549" s="1" t="s">
        <v>881</v>
      </c>
      <c r="D7549" s="2">
        <v>41773</v>
      </c>
      <c r="E7549" s="1" t="s">
        <v>7329</v>
      </c>
      <c r="F7549" s="1" t="s">
        <v>13</v>
      </c>
    </row>
    <row r="7550" spans="1:6" ht="30" customHeight="1" x14ac:dyDescent="0.25">
      <c r="A7550" s="1" t="s">
        <v>15089</v>
      </c>
      <c r="B7550" s="1" t="str">
        <f>"9781848164123"</f>
        <v>9781848164123</v>
      </c>
      <c r="C7550" s="1" t="s">
        <v>876</v>
      </c>
      <c r="D7550" s="2">
        <v>41773</v>
      </c>
      <c r="E7550" s="1" t="s">
        <v>15090</v>
      </c>
      <c r="F7550" s="1" t="s">
        <v>15031</v>
      </c>
    </row>
    <row r="7551" spans="1:6" ht="30" customHeight="1" x14ac:dyDescent="0.25">
      <c r="A7551" s="1" t="s">
        <v>15091</v>
      </c>
      <c r="B7551" s="1" t="str">
        <f>"9789812793058"</f>
        <v>9789812793058</v>
      </c>
      <c r="C7551" s="1" t="s">
        <v>881</v>
      </c>
      <c r="D7551" s="2">
        <v>41773</v>
      </c>
      <c r="E7551" s="1" t="s">
        <v>15092</v>
      </c>
      <c r="F7551" s="1" t="s">
        <v>21</v>
      </c>
    </row>
    <row r="7552" spans="1:6" ht="30" customHeight="1" x14ac:dyDescent="0.25">
      <c r="A7552" s="1" t="s">
        <v>15093</v>
      </c>
      <c r="B7552" s="1" t="str">
        <f>"9781860949135"</f>
        <v>9781860949135</v>
      </c>
      <c r="C7552" s="1" t="s">
        <v>876</v>
      </c>
      <c r="D7552" s="2">
        <v>41773</v>
      </c>
      <c r="E7552" s="1" t="s">
        <v>15094</v>
      </c>
      <c r="F7552" s="1" t="s">
        <v>158</v>
      </c>
    </row>
    <row r="7553" spans="1:6" ht="30" customHeight="1" x14ac:dyDescent="0.25">
      <c r="A7553" s="1" t="s">
        <v>15095</v>
      </c>
      <c r="B7553" s="1" t="str">
        <f>"9789814271325"</f>
        <v>9789814271325</v>
      </c>
      <c r="C7553" s="1" t="s">
        <v>881</v>
      </c>
      <c r="D7553" s="2">
        <v>41773</v>
      </c>
      <c r="E7553" s="1" t="s">
        <v>15096</v>
      </c>
      <c r="F7553" s="1" t="s">
        <v>13</v>
      </c>
    </row>
    <row r="7554" spans="1:6" ht="30" customHeight="1" x14ac:dyDescent="0.25">
      <c r="A7554" s="1" t="s">
        <v>15097</v>
      </c>
      <c r="B7554" s="1" t="str">
        <f>"9789812773456"</f>
        <v>9789812773456</v>
      </c>
      <c r="C7554" s="1" t="s">
        <v>881</v>
      </c>
      <c r="D7554" s="2">
        <v>39052</v>
      </c>
      <c r="E7554" s="1" t="s">
        <v>15098</v>
      </c>
      <c r="F7554" s="1" t="s">
        <v>650</v>
      </c>
    </row>
    <row r="7555" spans="1:6" ht="30" customHeight="1" x14ac:dyDescent="0.25">
      <c r="A7555" s="1" t="s">
        <v>15099</v>
      </c>
      <c r="B7555" s="1" t="str">
        <f>"9789812835673"</f>
        <v>9789812835673</v>
      </c>
      <c r="C7555" s="1" t="s">
        <v>881</v>
      </c>
      <c r="D7555" s="2">
        <v>41773</v>
      </c>
      <c r="E7555" s="1" t="s">
        <v>15100</v>
      </c>
      <c r="F7555" s="1" t="s">
        <v>780</v>
      </c>
    </row>
    <row r="7556" spans="1:6" ht="30" customHeight="1" x14ac:dyDescent="0.25">
      <c r="A7556" s="1" t="s">
        <v>15101</v>
      </c>
      <c r="B7556" s="1" t="str">
        <f>"9789812794871"</f>
        <v>9789812794871</v>
      </c>
      <c r="C7556" s="1" t="s">
        <v>881</v>
      </c>
      <c r="D7556" s="2">
        <v>38322</v>
      </c>
      <c r="E7556" s="1" t="s">
        <v>15102</v>
      </c>
      <c r="F7556" s="1" t="s">
        <v>8901</v>
      </c>
    </row>
    <row r="7557" spans="1:6" ht="30" customHeight="1" x14ac:dyDescent="0.25">
      <c r="A7557" s="1" t="s">
        <v>15103</v>
      </c>
      <c r="B7557" s="1" t="str">
        <f>"9789812836205"</f>
        <v>9789812836205</v>
      </c>
      <c r="C7557" s="1" t="s">
        <v>881</v>
      </c>
      <c r="D7557" s="2">
        <v>40031</v>
      </c>
      <c r="E7557" s="1" t="s">
        <v>15104</v>
      </c>
      <c r="F7557" s="1" t="s">
        <v>15105</v>
      </c>
    </row>
    <row r="7558" spans="1:6" ht="30" customHeight="1" x14ac:dyDescent="0.25">
      <c r="A7558" s="1" t="s">
        <v>15106</v>
      </c>
      <c r="B7558" s="1" t="str">
        <f>"9781848161665"</f>
        <v>9781848161665</v>
      </c>
      <c r="C7558" s="1" t="s">
        <v>876</v>
      </c>
      <c r="D7558" s="2">
        <v>41773</v>
      </c>
      <c r="E7558" s="1" t="s">
        <v>15107</v>
      </c>
      <c r="F7558" s="1" t="s">
        <v>13</v>
      </c>
    </row>
    <row r="7559" spans="1:6" ht="30" customHeight="1" x14ac:dyDescent="0.25">
      <c r="A7559" s="1" t="s">
        <v>15108</v>
      </c>
      <c r="B7559" s="1" t="str">
        <f>"9789814261593"</f>
        <v>9789814261593</v>
      </c>
      <c r="C7559" s="1" t="s">
        <v>881</v>
      </c>
      <c r="D7559" s="2">
        <v>40148</v>
      </c>
      <c r="E7559" s="1" t="s">
        <v>15109</v>
      </c>
      <c r="F7559" s="1" t="s">
        <v>30</v>
      </c>
    </row>
    <row r="7560" spans="1:6" ht="30" customHeight="1" x14ac:dyDescent="0.25">
      <c r="A7560" s="1" t="s">
        <v>15110</v>
      </c>
      <c r="B7560" s="1" t="str">
        <f>"9789812837615"</f>
        <v>9789812837615</v>
      </c>
      <c r="C7560" s="1" t="s">
        <v>881</v>
      </c>
      <c r="D7560" s="2">
        <v>41773</v>
      </c>
      <c r="E7560" s="1" t="s">
        <v>15111</v>
      </c>
      <c r="F7560" s="1" t="s">
        <v>1750</v>
      </c>
    </row>
    <row r="7561" spans="1:6" ht="30" customHeight="1" x14ac:dyDescent="0.25">
      <c r="A7561" s="1" t="s">
        <v>15112</v>
      </c>
      <c r="B7561" s="1" t="str">
        <f>"9789812794987"</f>
        <v>9789812794987</v>
      </c>
      <c r="C7561" s="1" t="s">
        <v>881</v>
      </c>
      <c r="D7561" s="2">
        <v>37956</v>
      </c>
      <c r="E7561" s="1" t="s">
        <v>15113</v>
      </c>
      <c r="F7561" s="1" t="s">
        <v>13</v>
      </c>
    </row>
    <row r="7562" spans="1:6" ht="30" customHeight="1" x14ac:dyDescent="0.25">
      <c r="A7562" s="1" t="s">
        <v>15114</v>
      </c>
      <c r="B7562" s="1" t="str">
        <f>"9789812832948"</f>
        <v>9789812832948</v>
      </c>
      <c r="C7562" s="1" t="s">
        <v>881</v>
      </c>
      <c r="D7562" s="2">
        <v>41773</v>
      </c>
      <c r="E7562" s="1" t="s">
        <v>15115</v>
      </c>
      <c r="F7562" s="1" t="s">
        <v>13</v>
      </c>
    </row>
    <row r="7563" spans="1:6" ht="30" customHeight="1" x14ac:dyDescent="0.25">
      <c r="A7563" s="1" t="s">
        <v>15116</v>
      </c>
      <c r="B7563" s="1" t="str">
        <f>"9789812774125"</f>
        <v>9789812774125</v>
      </c>
      <c r="C7563" s="1" t="s">
        <v>881</v>
      </c>
      <c r="D7563" s="2">
        <v>39052</v>
      </c>
      <c r="E7563" s="1" t="s">
        <v>15117</v>
      </c>
      <c r="F7563" s="1" t="s">
        <v>13</v>
      </c>
    </row>
    <row r="7564" spans="1:6" ht="30" customHeight="1" x14ac:dyDescent="0.25">
      <c r="A7564" s="1" t="s">
        <v>15118</v>
      </c>
      <c r="B7564" s="1" t="str">
        <f>"9789812833471"</f>
        <v>9789812833471</v>
      </c>
      <c r="C7564" s="1" t="s">
        <v>881</v>
      </c>
      <c r="D7564" s="2">
        <v>40148</v>
      </c>
      <c r="E7564" s="1" t="s">
        <v>15119</v>
      </c>
      <c r="F7564" s="1" t="s">
        <v>760</v>
      </c>
    </row>
    <row r="7565" spans="1:6" ht="30" customHeight="1" x14ac:dyDescent="0.25">
      <c r="A7565" s="1" t="s">
        <v>15120</v>
      </c>
      <c r="B7565" s="1" t="str">
        <f>"9781848161474"</f>
        <v>9781848161474</v>
      </c>
      <c r="C7565" s="1" t="s">
        <v>876</v>
      </c>
      <c r="D7565" s="2">
        <v>41773</v>
      </c>
      <c r="E7565" s="1" t="s">
        <v>15121</v>
      </c>
      <c r="F7565" s="1" t="s">
        <v>1152</v>
      </c>
    </row>
    <row r="7566" spans="1:6" ht="30" customHeight="1" x14ac:dyDescent="0.25">
      <c r="A7566" s="1" t="s">
        <v>15122</v>
      </c>
      <c r="B7566" s="1" t="str">
        <f>"9789812774095"</f>
        <v>9789812774095</v>
      </c>
      <c r="C7566" s="1" t="s">
        <v>881</v>
      </c>
      <c r="D7566" s="2">
        <v>39052</v>
      </c>
      <c r="E7566" s="1" t="s">
        <v>15123</v>
      </c>
      <c r="F7566" s="1" t="s">
        <v>15023</v>
      </c>
    </row>
    <row r="7567" spans="1:6" ht="30" customHeight="1" x14ac:dyDescent="0.25">
      <c r="A7567" s="1" t="s">
        <v>15124</v>
      </c>
      <c r="B7567" s="1" t="str">
        <f>"9789812796691"</f>
        <v>9789812796691</v>
      </c>
      <c r="C7567" s="1" t="s">
        <v>881</v>
      </c>
      <c r="D7567" s="2">
        <v>37956</v>
      </c>
      <c r="E7567" s="1" t="s">
        <v>15125</v>
      </c>
      <c r="F7567" s="1" t="s">
        <v>13</v>
      </c>
    </row>
    <row r="7568" spans="1:6" ht="30" customHeight="1" x14ac:dyDescent="0.25">
      <c r="A7568" s="1" t="s">
        <v>15126</v>
      </c>
      <c r="B7568" s="1" t="str">
        <f>"9789812778055"</f>
        <v>9789812778055</v>
      </c>
      <c r="C7568" s="1" t="s">
        <v>881</v>
      </c>
      <c r="D7568" s="2">
        <v>37591</v>
      </c>
      <c r="E7568" s="1" t="s">
        <v>15127</v>
      </c>
      <c r="F7568" s="1" t="s">
        <v>13</v>
      </c>
    </row>
    <row r="7569" spans="1:6" ht="30" customHeight="1" x14ac:dyDescent="0.25">
      <c r="A7569" s="1" t="s">
        <v>15128</v>
      </c>
      <c r="B7569" s="1" t="str">
        <f>"9781860949074"</f>
        <v>9781860949074</v>
      </c>
      <c r="C7569" s="1" t="s">
        <v>876</v>
      </c>
      <c r="D7569" s="2">
        <v>41773</v>
      </c>
      <c r="E7569" s="1" t="s">
        <v>15129</v>
      </c>
      <c r="F7569" s="1" t="s">
        <v>137</v>
      </c>
    </row>
    <row r="7570" spans="1:6" ht="30" customHeight="1" x14ac:dyDescent="0.25">
      <c r="A7570" s="1" t="s">
        <v>15130</v>
      </c>
      <c r="B7570" s="1" t="str">
        <f>"9789812837639"</f>
        <v>9789812837639</v>
      </c>
      <c r="C7570" s="1" t="s">
        <v>881</v>
      </c>
      <c r="D7570" s="2">
        <v>40015</v>
      </c>
      <c r="E7570" s="1" t="s">
        <v>15131</v>
      </c>
      <c r="F7570" s="1" t="s">
        <v>15132</v>
      </c>
    </row>
    <row r="7571" spans="1:6" ht="30" customHeight="1" x14ac:dyDescent="0.25">
      <c r="A7571" s="1" t="s">
        <v>15133</v>
      </c>
      <c r="B7571" s="1" t="str">
        <f>"9789812779656"</f>
        <v>9789812779656</v>
      </c>
      <c r="C7571" s="1" t="s">
        <v>881</v>
      </c>
      <c r="D7571" s="2">
        <v>39417</v>
      </c>
      <c r="E7571" s="1" t="s">
        <v>15134</v>
      </c>
      <c r="F7571" s="1" t="s">
        <v>13</v>
      </c>
    </row>
    <row r="7572" spans="1:6" ht="30" customHeight="1" x14ac:dyDescent="0.25">
      <c r="A7572" s="1" t="s">
        <v>15135</v>
      </c>
      <c r="B7572" s="1" t="str">
        <f>"9781860948961"</f>
        <v>9781860948961</v>
      </c>
      <c r="C7572" s="1" t="s">
        <v>876</v>
      </c>
      <c r="D7572" s="2">
        <v>39035</v>
      </c>
      <c r="E7572" s="1" t="s">
        <v>15136</v>
      </c>
      <c r="F7572" s="1" t="s">
        <v>650</v>
      </c>
    </row>
    <row r="7573" spans="1:6" ht="30" customHeight="1" x14ac:dyDescent="0.25">
      <c r="A7573" s="1" t="s">
        <v>15137</v>
      </c>
      <c r="B7573" s="1" t="str">
        <f>"9781848161443"</f>
        <v>9781848161443</v>
      </c>
      <c r="C7573" s="1" t="s">
        <v>876</v>
      </c>
      <c r="D7573" s="2">
        <v>37099</v>
      </c>
      <c r="E7573" s="1" t="s">
        <v>15138</v>
      </c>
      <c r="F7573" s="1" t="s">
        <v>158</v>
      </c>
    </row>
    <row r="7574" spans="1:6" ht="30" customHeight="1" x14ac:dyDescent="0.25">
      <c r="A7574" s="1" t="s">
        <v>15139</v>
      </c>
      <c r="B7574" s="1" t="str">
        <f>"9781860949128"</f>
        <v>9781860949128</v>
      </c>
      <c r="C7574" s="1" t="s">
        <v>876</v>
      </c>
      <c r="D7574" s="2">
        <v>41773</v>
      </c>
      <c r="E7574" s="1" t="s">
        <v>15140</v>
      </c>
      <c r="F7574" s="1" t="s">
        <v>1372</v>
      </c>
    </row>
    <row r="7575" spans="1:6" ht="30" customHeight="1" x14ac:dyDescent="0.25">
      <c r="A7575" s="1" t="s">
        <v>15141</v>
      </c>
      <c r="B7575" s="1" t="str">
        <f>"9781848162952"</f>
        <v>9781848162952</v>
      </c>
      <c r="C7575" s="1" t="s">
        <v>876</v>
      </c>
      <c r="D7575" s="2">
        <v>41773</v>
      </c>
      <c r="E7575" s="1" t="s">
        <v>15142</v>
      </c>
      <c r="F7575" s="1" t="s">
        <v>650</v>
      </c>
    </row>
    <row r="7576" spans="1:6" ht="30" customHeight="1" x14ac:dyDescent="0.25">
      <c r="A7576" s="1" t="s">
        <v>15143</v>
      </c>
      <c r="B7576" s="1" t="str">
        <f>"9781860948527"</f>
        <v>9781860948527</v>
      </c>
      <c r="C7576" s="1" t="s">
        <v>876</v>
      </c>
      <c r="D7576" s="2">
        <v>39448</v>
      </c>
      <c r="E7576" s="1" t="s">
        <v>15144</v>
      </c>
      <c r="F7576" s="1" t="s">
        <v>268</v>
      </c>
    </row>
    <row r="7577" spans="1:6" ht="30" customHeight="1" x14ac:dyDescent="0.25">
      <c r="A7577" s="1" t="s">
        <v>15145</v>
      </c>
      <c r="B7577" s="1" t="str">
        <f>"9789812773395"</f>
        <v>9789812773395</v>
      </c>
      <c r="C7577" s="1" t="s">
        <v>881</v>
      </c>
      <c r="D7577" s="2">
        <v>39052</v>
      </c>
      <c r="E7577" s="1" t="s">
        <v>15146</v>
      </c>
      <c r="F7577" s="1" t="s">
        <v>214</v>
      </c>
    </row>
    <row r="7578" spans="1:6" ht="30" customHeight="1" x14ac:dyDescent="0.25">
      <c r="A7578" s="1" t="s">
        <v>15147</v>
      </c>
      <c r="B7578" s="1" t="str">
        <f>"9789812773586"</f>
        <v>9789812773586</v>
      </c>
      <c r="C7578" s="1" t="s">
        <v>881</v>
      </c>
      <c r="D7578" s="2">
        <v>39052</v>
      </c>
      <c r="E7578" s="1" t="s">
        <v>15148</v>
      </c>
      <c r="F7578" s="1" t="s">
        <v>13</v>
      </c>
    </row>
    <row r="7579" spans="1:6" ht="30" customHeight="1" x14ac:dyDescent="0.25">
      <c r="A7579" s="1" t="s">
        <v>15149</v>
      </c>
      <c r="B7579" s="1" t="str">
        <f>"9789812811646"</f>
        <v>9789812811646</v>
      </c>
      <c r="C7579" s="1" t="s">
        <v>881</v>
      </c>
      <c r="D7579" s="2">
        <v>37226</v>
      </c>
      <c r="E7579" s="1" t="s">
        <v>15150</v>
      </c>
      <c r="F7579" s="1" t="s">
        <v>1333</v>
      </c>
    </row>
    <row r="7580" spans="1:6" ht="30" customHeight="1" x14ac:dyDescent="0.25">
      <c r="A7580" s="1" t="s">
        <v>15151</v>
      </c>
      <c r="B7580" s="1" t="str">
        <f>"9781848161689"</f>
        <v>9781848161689</v>
      </c>
      <c r="C7580" s="1" t="s">
        <v>876</v>
      </c>
      <c r="D7580" s="2">
        <v>41773</v>
      </c>
      <c r="E7580" s="1" t="s">
        <v>15152</v>
      </c>
      <c r="F7580" s="1" t="s">
        <v>21</v>
      </c>
    </row>
    <row r="7581" spans="1:6" ht="30" customHeight="1" x14ac:dyDescent="0.25">
      <c r="A7581" s="1" t="s">
        <v>15153</v>
      </c>
      <c r="B7581" s="1" t="str">
        <f>"9781848164260"</f>
        <v>9781848164260</v>
      </c>
      <c r="C7581" s="1" t="s">
        <v>876</v>
      </c>
      <c r="D7581" s="2">
        <v>41773</v>
      </c>
      <c r="E7581" s="1" t="s">
        <v>15154</v>
      </c>
      <c r="F7581" s="1" t="s">
        <v>15031</v>
      </c>
    </row>
    <row r="7582" spans="1:6" ht="30" customHeight="1" x14ac:dyDescent="0.25">
      <c r="A7582" s="1" t="s">
        <v>15155</v>
      </c>
      <c r="B7582" s="1" t="str">
        <f>"9781848164147"</f>
        <v>9781848164147</v>
      </c>
      <c r="C7582" s="1" t="s">
        <v>876</v>
      </c>
      <c r="D7582" s="2">
        <v>40118</v>
      </c>
      <c r="E7582" s="1" t="s">
        <v>15156</v>
      </c>
      <c r="F7582" s="1" t="s">
        <v>15157</v>
      </c>
    </row>
    <row r="7583" spans="1:6" ht="30" customHeight="1" x14ac:dyDescent="0.25">
      <c r="A7583" s="1" t="s">
        <v>15158</v>
      </c>
      <c r="B7583" s="1" t="str">
        <f>"9789812790859"</f>
        <v>9789812790859</v>
      </c>
      <c r="C7583" s="1" t="s">
        <v>881</v>
      </c>
      <c r="D7583" s="2">
        <v>39783</v>
      </c>
      <c r="E7583" s="1" t="s">
        <v>15159</v>
      </c>
      <c r="F7583" s="1" t="s">
        <v>63</v>
      </c>
    </row>
    <row r="7584" spans="1:6" ht="30" customHeight="1" x14ac:dyDescent="0.25">
      <c r="A7584" s="1" t="s">
        <v>15160</v>
      </c>
      <c r="B7584" s="1" t="str">
        <f>"9789812811462"</f>
        <v>9789812811462</v>
      </c>
      <c r="C7584" s="1" t="s">
        <v>881</v>
      </c>
      <c r="D7584" s="2">
        <v>37226</v>
      </c>
      <c r="E7584" s="1" t="s">
        <v>15161</v>
      </c>
      <c r="F7584" s="1" t="s">
        <v>13</v>
      </c>
    </row>
    <row r="7585" spans="1:6" ht="30" customHeight="1" x14ac:dyDescent="0.25">
      <c r="A7585" s="1" t="s">
        <v>15162</v>
      </c>
      <c r="B7585" s="1" t="str">
        <f>"9781118509005"</f>
        <v>9781118509005</v>
      </c>
      <c r="C7585" s="1" t="s">
        <v>65</v>
      </c>
      <c r="D7585" s="2">
        <v>41758</v>
      </c>
      <c r="E7585" s="1" t="s">
        <v>15163</v>
      </c>
      <c r="F7585" s="1" t="s">
        <v>13</v>
      </c>
    </row>
    <row r="7586" spans="1:6" ht="30" customHeight="1" x14ac:dyDescent="0.25">
      <c r="A7586" s="1" t="s">
        <v>15164</v>
      </c>
      <c r="B7586" s="1" t="str">
        <f>"9781782411703"</f>
        <v>9781782411703</v>
      </c>
      <c r="C7586" s="1" t="s">
        <v>8994</v>
      </c>
      <c r="D7586" s="2">
        <v>41772</v>
      </c>
      <c r="E7586" s="1" t="s">
        <v>15165</v>
      </c>
      <c r="F7586" s="1" t="s">
        <v>13</v>
      </c>
    </row>
    <row r="7587" spans="1:6" ht="30" customHeight="1" x14ac:dyDescent="0.25">
      <c r="A7587" s="1" t="s">
        <v>15166</v>
      </c>
      <c r="B7587" s="1" t="str">
        <f>"9780833085474"</f>
        <v>9780833085474</v>
      </c>
      <c r="C7587" s="1" t="s">
        <v>516</v>
      </c>
      <c r="D7587" s="2">
        <v>41729</v>
      </c>
      <c r="E7587" s="1" t="s">
        <v>15167</v>
      </c>
      <c r="F7587" s="1" t="s">
        <v>6806</v>
      </c>
    </row>
    <row r="7588" spans="1:6" ht="30" customHeight="1" x14ac:dyDescent="0.25">
      <c r="A7588" s="1" t="s">
        <v>15168</v>
      </c>
      <c r="B7588" s="1" t="str">
        <f>"9781118418925"</f>
        <v>9781118418925</v>
      </c>
      <c r="C7588" s="1" t="s">
        <v>65</v>
      </c>
      <c r="D7588" s="2">
        <v>41759</v>
      </c>
      <c r="E7588" s="1" t="s">
        <v>11554</v>
      </c>
      <c r="F7588" s="1" t="s">
        <v>95</v>
      </c>
    </row>
    <row r="7589" spans="1:6" ht="30" customHeight="1" x14ac:dyDescent="0.25">
      <c r="A7589" s="1" t="s">
        <v>15169</v>
      </c>
      <c r="B7589" s="1" t="str">
        <f>"9781118469415"</f>
        <v>9781118469415</v>
      </c>
      <c r="C7589" s="1" t="s">
        <v>65</v>
      </c>
      <c r="D7589" s="2">
        <v>41759</v>
      </c>
      <c r="E7589" s="1" t="s">
        <v>15170</v>
      </c>
      <c r="F7589" s="1" t="s">
        <v>291</v>
      </c>
    </row>
    <row r="7590" spans="1:6" ht="30" customHeight="1" x14ac:dyDescent="0.25">
      <c r="A7590" s="1" t="s">
        <v>15171</v>
      </c>
      <c r="B7590" s="1" t="str">
        <f>"9781118800850"</f>
        <v>9781118800850</v>
      </c>
      <c r="C7590" s="1" t="s">
        <v>65</v>
      </c>
      <c r="D7590" s="2">
        <v>41759</v>
      </c>
      <c r="E7590" s="1" t="s">
        <v>15172</v>
      </c>
      <c r="F7590" s="1" t="s">
        <v>13</v>
      </c>
    </row>
    <row r="7591" spans="1:6" ht="30" customHeight="1" x14ac:dyDescent="0.25">
      <c r="A7591" s="1" t="s">
        <v>15173</v>
      </c>
      <c r="B7591" s="1" t="str">
        <f>"9781118873908"</f>
        <v>9781118873908</v>
      </c>
      <c r="C7591" s="1" t="s">
        <v>11</v>
      </c>
      <c r="D7591" s="2">
        <v>41761</v>
      </c>
      <c r="E7591" s="1" t="s">
        <v>15174</v>
      </c>
      <c r="F7591" s="1" t="s">
        <v>13</v>
      </c>
    </row>
    <row r="7592" spans="1:6" ht="30" customHeight="1" x14ac:dyDescent="0.25">
      <c r="A7592" s="1" t="s">
        <v>15175</v>
      </c>
      <c r="B7592" s="1" t="str">
        <f>"9783110283280"</f>
        <v>9783110283280</v>
      </c>
      <c r="C7592" s="1" t="s">
        <v>1848</v>
      </c>
      <c r="D7592" s="2">
        <v>41914</v>
      </c>
      <c r="E7592" s="1" t="s">
        <v>15176</v>
      </c>
      <c r="F7592" s="1" t="s">
        <v>13</v>
      </c>
    </row>
    <row r="7593" spans="1:6" ht="30" customHeight="1" x14ac:dyDescent="0.25">
      <c r="A7593" s="1" t="s">
        <v>15177</v>
      </c>
      <c r="B7593" s="1" t="str">
        <f>"9780826106322"</f>
        <v>9780826106322</v>
      </c>
      <c r="C7593" s="1" t="s">
        <v>2339</v>
      </c>
      <c r="D7593" s="2">
        <v>41768</v>
      </c>
      <c r="E7593" s="1" t="s">
        <v>15178</v>
      </c>
      <c r="F7593" s="1" t="s">
        <v>13</v>
      </c>
    </row>
    <row r="7594" spans="1:6" ht="30" customHeight="1" x14ac:dyDescent="0.25">
      <c r="A7594" s="1" t="s">
        <v>15179</v>
      </c>
      <c r="B7594" s="1" t="str">
        <f>"9789401210539"</f>
        <v>9789401210539</v>
      </c>
      <c r="C7594" s="1" t="s">
        <v>7988</v>
      </c>
      <c r="D7594" s="2">
        <v>41723</v>
      </c>
      <c r="E7594" s="1" t="s">
        <v>15180</v>
      </c>
      <c r="F7594" s="1" t="s">
        <v>95</v>
      </c>
    </row>
    <row r="7595" spans="1:6" ht="30" customHeight="1" x14ac:dyDescent="0.25">
      <c r="A7595" s="1" t="s">
        <v>15181</v>
      </c>
      <c r="B7595" s="1" t="str">
        <f>"9781442225718"</f>
        <v>9781442225718</v>
      </c>
      <c r="C7595" s="1" t="s">
        <v>8723</v>
      </c>
      <c r="D7595" s="2">
        <v>41760</v>
      </c>
      <c r="E7595" s="1" t="s">
        <v>15182</v>
      </c>
      <c r="F7595" s="1" t="s">
        <v>978</v>
      </c>
    </row>
    <row r="7596" spans="1:6" ht="30" customHeight="1" x14ac:dyDescent="0.25">
      <c r="A7596" s="1" t="s">
        <v>15183</v>
      </c>
      <c r="B7596" s="1" t="str">
        <f>"9781118570876"</f>
        <v>9781118570876</v>
      </c>
      <c r="C7596" s="1" t="s">
        <v>65</v>
      </c>
      <c r="D7596" s="2">
        <v>41766</v>
      </c>
      <c r="E7596" s="1" t="s">
        <v>15184</v>
      </c>
      <c r="F7596" s="1" t="s">
        <v>268</v>
      </c>
    </row>
    <row r="7597" spans="1:6" ht="30" customHeight="1" x14ac:dyDescent="0.25">
      <c r="A7597" s="1" t="s">
        <v>15185</v>
      </c>
      <c r="B7597" s="1" t="str">
        <f>"9781617052194"</f>
        <v>9781617052194</v>
      </c>
      <c r="C7597" s="1" t="s">
        <v>2342</v>
      </c>
      <c r="D7597" s="2">
        <v>41761</v>
      </c>
      <c r="E7597" s="1" t="s">
        <v>15186</v>
      </c>
      <c r="F7597" s="1" t="s">
        <v>13</v>
      </c>
    </row>
    <row r="7598" spans="1:6" ht="30" customHeight="1" x14ac:dyDescent="0.25">
      <c r="A7598" s="1" t="s">
        <v>15187</v>
      </c>
      <c r="B7598" s="1" t="str">
        <f>"9780826196347"</f>
        <v>9780826196347</v>
      </c>
      <c r="C7598" s="1" t="s">
        <v>2339</v>
      </c>
      <c r="D7598" s="2">
        <v>41405</v>
      </c>
      <c r="E7598" s="1" t="s">
        <v>15188</v>
      </c>
      <c r="F7598" s="1" t="s">
        <v>126</v>
      </c>
    </row>
    <row r="7599" spans="1:6" ht="30" customHeight="1" x14ac:dyDescent="0.25">
      <c r="A7599" s="1" t="s">
        <v>15189</v>
      </c>
      <c r="B7599" s="1" t="str">
        <f>"9780826129741"</f>
        <v>9780826129741</v>
      </c>
      <c r="C7599" s="1" t="s">
        <v>2339</v>
      </c>
      <c r="D7599" s="2">
        <v>41764</v>
      </c>
      <c r="E7599" s="1" t="s">
        <v>15190</v>
      </c>
      <c r="F7599" s="1" t="s">
        <v>126</v>
      </c>
    </row>
    <row r="7600" spans="1:6" ht="30" customHeight="1" x14ac:dyDescent="0.25">
      <c r="A7600" s="1" t="s">
        <v>15191</v>
      </c>
      <c r="B7600" s="1" t="str">
        <f>"9780826195944"</f>
        <v>9780826195944</v>
      </c>
      <c r="C7600" s="1" t="s">
        <v>2339</v>
      </c>
      <c r="D7600" s="2">
        <v>41787</v>
      </c>
      <c r="E7600" s="1" t="s">
        <v>15192</v>
      </c>
      <c r="F7600" s="1" t="s">
        <v>126</v>
      </c>
    </row>
    <row r="7601" spans="1:6" ht="30" customHeight="1" x14ac:dyDescent="0.25">
      <c r="A7601" s="1" t="s">
        <v>15193</v>
      </c>
      <c r="B7601" s="1" t="str">
        <f>"9780826127181"</f>
        <v>9780826127181</v>
      </c>
      <c r="C7601" s="1" t="s">
        <v>2339</v>
      </c>
      <c r="D7601" s="2">
        <v>41766</v>
      </c>
      <c r="E7601" s="1" t="s">
        <v>15194</v>
      </c>
      <c r="F7601" s="1" t="s">
        <v>82</v>
      </c>
    </row>
    <row r="7602" spans="1:6" ht="30" customHeight="1" x14ac:dyDescent="0.25">
      <c r="A7602" s="1" t="s">
        <v>15195</v>
      </c>
      <c r="B7602" s="1" t="str">
        <f>"9781118415818"</f>
        <v>9781118415818</v>
      </c>
      <c r="C7602" s="1" t="s">
        <v>65</v>
      </c>
      <c r="D7602" s="2">
        <v>41771</v>
      </c>
      <c r="E7602" s="1" t="s">
        <v>15196</v>
      </c>
      <c r="F7602" s="1" t="s">
        <v>13</v>
      </c>
    </row>
    <row r="7603" spans="1:6" ht="30" customHeight="1" x14ac:dyDescent="0.25">
      <c r="A7603" s="1" t="s">
        <v>15197</v>
      </c>
      <c r="B7603" s="1" t="str">
        <f>"9781118274972"</f>
        <v>9781118274972</v>
      </c>
      <c r="C7603" s="1" t="s">
        <v>65</v>
      </c>
      <c r="D7603" s="2">
        <v>41719</v>
      </c>
      <c r="E7603" s="1" t="s">
        <v>15198</v>
      </c>
      <c r="F7603" s="1" t="s">
        <v>13</v>
      </c>
    </row>
    <row r="7604" spans="1:6" ht="30" customHeight="1" x14ac:dyDescent="0.25">
      <c r="A7604" s="1" t="s">
        <v>15199</v>
      </c>
      <c r="B7604" s="1" t="str">
        <f>"9781118890905"</f>
        <v>9781118890905</v>
      </c>
      <c r="C7604" s="1" t="s">
        <v>11</v>
      </c>
      <c r="D7604" s="2">
        <v>41771</v>
      </c>
      <c r="E7604" s="1" t="s">
        <v>15200</v>
      </c>
      <c r="F7604" s="1" t="s">
        <v>13</v>
      </c>
    </row>
    <row r="7605" spans="1:6" ht="30" customHeight="1" x14ac:dyDescent="0.25">
      <c r="A7605" s="1" t="s">
        <v>15201</v>
      </c>
      <c r="B7605" s="1" t="str">
        <f>"9781118573631"</f>
        <v>9781118573631</v>
      </c>
      <c r="C7605" s="1" t="s">
        <v>65</v>
      </c>
      <c r="D7605" s="2">
        <v>41774</v>
      </c>
      <c r="E7605" s="1" t="s">
        <v>15202</v>
      </c>
      <c r="F7605" s="1" t="s">
        <v>13</v>
      </c>
    </row>
    <row r="7606" spans="1:6" ht="30" customHeight="1" x14ac:dyDescent="0.25">
      <c r="A7606" s="1" t="s">
        <v>15203</v>
      </c>
      <c r="B7606" s="1" t="str">
        <f>"9783110366617"</f>
        <v>9783110366617</v>
      </c>
      <c r="C7606" s="1" t="s">
        <v>1848</v>
      </c>
      <c r="D7606" s="2">
        <v>41926</v>
      </c>
      <c r="E7606" s="1" t="s">
        <v>15204</v>
      </c>
      <c r="F7606" s="1" t="s">
        <v>13</v>
      </c>
    </row>
    <row r="7607" spans="1:6" ht="30" customHeight="1" x14ac:dyDescent="0.25">
      <c r="A7607" s="1" t="s">
        <v>15205</v>
      </c>
      <c r="B7607" s="1" t="str">
        <f>"9780191033889"</f>
        <v>9780191033889</v>
      </c>
      <c r="C7607" s="1" t="s">
        <v>1117</v>
      </c>
      <c r="D7607" s="2">
        <v>40857</v>
      </c>
      <c r="E7607" s="1" t="s">
        <v>15206</v>
      </c>
      <c r="F7607" s="1" t="s">
        <v>137</v>
      </c>
    </row>
    <row r="7608" spans="1:6" ht="30" customHeight="1" x14ac:dyDescent="0.25">
      <c r="A7608" s="1" t="s">
        <v>15207</v>
      </c>
      <c r="B7608" s="1" t="str">
        <f>"9789240690677"</f>
        <v>9789240690677</v>
      </c>
      <c r="C7608" s="1" t="s">
        <v>1981</v>
      </c>
      <c r="D7608" s="2">
        <v>41506</v>
      </c>
      <c r="E7608" s="1" t="s">
        <v>1981</v>
      </c>
      <c r="F7608" s="1" t="s">
        <v>158</v>
      </c>
    </row>
    <row r="7609" spans="1:6" ht="30" customHeight="1" x14ac:dyDescent="0.25">
      <c r="A7609" s="1" t="s">
        <v>15208</v>
      </c>
      <c r="B7609" s="1" t="str">
        <f>"9780826118998"</f>
        <v>9780826118998</v>
      </c>
      <c r="C7609" s="1" t="s">
        <v>2339</v>
      </c>
      <c r="D7609" s="2">
        <v>40725</v>
      </c>
      <c r="E7609" s="1" t="s">
        <v>15209</v>
      </c>
      <c r="F7609" s="1" t="s">
        <v>126</v>
      </c>
    </row>
    <row r="7610" spans="1:6" ht="30" customHeight="1" x14ac:dyDescent="0.25">
      <c r="A7610" s="1" t="s">
        <v>15210</v>
      </c>
      <c r="B7610" s="1" t="str">
        <f>"9781118388563"</f>
        <v>9781118388563</v>
      </c>
      <c r="C7610" s="1" t="s">
        <v>65</v>
      </c>
      <c r="D7610" s="2">
        <v>41778</v>
      </c>
      <c r="E7610" s="1" t="s">
        <v>15211</v>
      </c>
      <c r="F7610" s="1" t="s">
        <v>176</v>
      </c>
    </row>
    <row r="7611" spans="1:6" ht="30" customHeight="1" x14ac:dyDescent="0.25">
      <c r="A7611" s="1" t="s">
        <v>15212</v>
      </c>
      <c r="B7611" s="1" t="str">
        <f>"9781452941622"</f>
        <v>9781452941622</v>
      </c>
      <c r="C7611" s="1" t="s">
        <v>3458</v>
      </c>
      <c r="D7611" s="2">
        <v>41699</v>
      </c>
      <c r="E7611" s="1" t="s">
        <v>15213</v>
      </c>
      <c r="F7611" s="1" t="s">
        <v>95</v>
      </c>
    </row>
    <row r="7612" spans="1:6" ht="30" customHeight="1" x14ac:dyDescent="0.25">
      <c r="A7612" s="1" t="s">
        <v>15214</v>
      </c>
      <c r="B7612" s="1" t="str">
        <f>"9781905982141"</f>
        <v>9781905982141</v>
      </c>
      <c r="C7612" s="1" t="s">
        <v>14637</v>
      </c>
      <c r="D7612" s="2">
        <v>39513</v>
      </c>
      <c r="E7612" s="1" t="s">
        <v>15215</v>
      </c>
      <c r="F7612" s="1" t="s">
        <v>13</v>
      </c>
    </row>
    <row r="7613" spans="1:6" ht="30" customHeight="1" x14ac:dyDescent="0.25">
      <c r="A7613" s="1" t="s">
        <v>15216</v>
      </c>
      <c r="B7613" s="1" t="str">
        <f>"9781905982158"</f>
        <v>9781905982158</v>
      </c>
      <c r="C7613" s="1" t="s">
        <v>14637</v>
      </c>
      <c r="D7613" s="2">
        <v>39854</v>
      </c>
      <c r="E7613" s="1" t="s">
        <v>15217</v>
      </c>
      <c r="F7613" s="1" t="s">
        <v>13</v>
      </c>
    </row>
    <row r="7614" spans="1:6" ht="30" customHeight="1" x14ac:dyDescent="0.25">
      <c r="A7614" s="1" t="s">
        <v>15218</v>
      </c>
      <c r="B7614" s="1" t="str">
        <f>"9789004269118"</f>
        <v>9789004269118</v>
      </c>
      <c r="C7614" s="1" t="s">
        <v>906</v>
      </c>
      <c r="D7614" s="2">
        <v>41787</v>
      </c>
      <c r="E7614" s="1" t="s">
        <v>15219</v>
      </c>
      <c r="F7614" s="1" t="s">
        <v>70</v>
      </c>
    </row>
    <row r="7615" spans="1:6" ht="30" customHeight="1" x14ac:dyDescent="0.25">
      <c r="A7615" s="1" t="s">
        <v>15220</v>
      </c>
      <c r="B7615" s="1" t="str">
        <f>"9781782412366"</f>
        <v>9781782412366</v>
      </c>
      <c r="C7615" s="1" t="s">
        <v>68</v>
      </c>
      <c r="D7615" s="2">
        <v>41794</v>
      </c>
      <c r="E7615" s="1" t="s">
        <v>15221</v>
      </c>
      <c r="F7615" s="1" t="s">
        <v>13</v>
      </c>
    </row>
    <row r="7616" spans="1:6" ht="30" customHeight="1" x14ac:dyDescent="0.25">
      <c r="A7616" s="1" t="s">
        <v>15222</v>
      </c>
      <c r="B7616" s="1" t="str">
        <f>"9781118282410"</f>
        <v>9781118282410</v>
      </c>
      <c r="C7616" s="1" t="s">
        <v>65</v>
      </c>
      <c r="D7616" s="2">
        <v>41795</v>
      </c>
      <c r="E7616" s="1" t="s">
        <v>15223</v>
      </c>
      <c r="F7616" s="1" t="s">
        <v>13</v>
      </c>
    </row>
    <row r="7617" spans="1:6" ht="30" customHeight="1" x14ac:dyDescent="0.25">
      <c r="A7617" s="1" t="s">
        <v>15224</v>
      </c>
      <c r="B7617" s="1" t="str">
        <f>"9781118891032"</f>
        <v>9781118891032</v>
      </c>
      <c r="C7617" s="1" t="s">
        <v>11</v>
      </c>
      <c r="D7617" s="2">
        <v>41782</v>
      </c>
      <c r="E7617" s="1" t="s">
        <v>15225</v>
      </c>
      <c r="F7617" s="1" t="s">
        <v>70</v>
      </c>
    </row>
    <row r="7618" spans="1:6" ht="30" customHeight="1" x14ac:dyDescent="0.25">
      <c r="A7618" s="1" t="s">
        <v>15226</v>
      </c>
      <c r="B7618" s="1" t="str">
        <f>"9781617050824"</f>
        <v>9781617050824</v>
      </c>
      <c r="C7618" s="1" t="s">
        <v>2342</v>
      </c>
      <c r="D7618" s="2">
        <v>41815</v>
      </c>
      <c r="E7618" s="1" t="s">
        <v>15227</v>
      </c>
      <c r="F7618" s="1" t="s">
        <v>13</v>
      </c>
    </row>
    <row r="7619" spans="1:6" ht="30" customHeight="1" x14ac:dyDescent="0.25">
      <c r="A7619" s="1" t="s">
        <v>15228</v>
      </c>
      <c r="B7619" s="1" t="str">
        <f>"9780826119247"</f>
        <v>9780826119247</v>
      </c>
      <c r="C7619" s="1" t="s">
        <v>2339</v>
      </c>
      <c r="D7619" s="2">
        <v>41787</v>
      </c>
      <c r="E7619" s="1" t="s">
        <v>15229</v>
      </c>
      <c r="F7619" s="1" t="s">
        <v>30</v>
      </c>
    </row>
    <row r="7620" spans="1:6" ht="30" customHeight="1" x14ac:dyDescent="0.25">
      <c r="A7620" s="1" t="s">
        <v>15230</v>
      </c>
      <c r="B7620" s="1" t="str">
        <f>"9780826198259"</f>
        <v>9780826198259</v>
      </c>
      <c r="C7620" s="1" t="s">
        <v>2339</v>
      </c>
      <c r="D7620" s="2">
        <v>41799</v>
      </c>
      <c r="E7620" s="1" t="s">
        <v>15231</v>
      </c>
      <c r="F7620" s="1" t="s">
        <v>126</v>
      </c>
    </row>
    <row r="7621" spans="1:6" ht="30" customHeight="1" x14ac:dyDescent="0.25">
      <c r="A7621" s="1" t="s">
        <v>15232</v>
      </c>
      <c r="B7621" s="1" t="str">
        <f>"9781464801402"</f>
        <v>9781464801402</v>
      </c>
      <c r="C7621" s="1" t="s">
        <v>6702</v>
      </c>
      <c r="D7621" s="2">
        <v>41640</v>
      </c>
      <c r="E7621" s="1" t="s">
        <v>15233</v>
      </c>
      <c r="F7621" s="1" t="s">
        <v>3328</v>
      </c>
    </row>
    <row r="7622" spans="1:6" ht="30" customHeight="1" x14ac:dyDescent="0.25">
      <c r="A7622" s="1" t="s">
        <v>15234</v>
      </c>
      <c r="B7622" s="1" t="str">
        <f>"9781908541659"</f>
        <v>9781908541659</v>
      </c>
      <c r="C7622" s="1" t="s">
        <v>10006</v>
      </c>
      <c r="D7622" s="2">
        <v>41751</v>
      </c>
      <c r="E7622" s="1" t="s">
        <v>15235</v>
      </c>
      <c r="F7622" s="1" t="s">
        <v>13</v>
      </c>
    </row>
    <row r="7623" spans="1:6" ht="30" customHeight="1" x14ac:dyDescent="0.25">
      <c r="A7623" s="1" t="s">
        <v>15236</v>
      </c>
      <c r="B7623" s="1" t="str">
        <f>"9781118595978"</f>
        <v>9781118595978</v>
      </c>
      <c r="C7623" s="1" t="s">
        <v>11</v>
      </c>
      <c r="D7623" s="2">
        <v>41619</v>
      </c>
      <c r="E7623" s="1" t="s">
        <v>14767</v>
      </c>
      <c r="F7623" s="1" t="s">
        <v>13</v>
      </c>
    </row>
    <row r="7624" spans="1:6" ht="30" customHeight="1" x14ac:dyDescent="0.25">
      <c r="A7624" s="1" t="s">
        <v>15237</v>
      </c>
      <c r="B7624" s="1" t="str">
        <f>"9781118965245"</f>
        <v>9781118965245</v>
      </c>
      <c r="C7624" s="1" t="s">
        <v>65</v>
      </c>
      <c r="D7624" s="2">
        <v>41788</v>
      </c>
      <c r="E7624" s="1" t="s">
        <v>15238</v>
      </c>
      <c r="F7624" s="1" t="s">
        <v>13</v>
      </c>
    </row>
    <row r="7625" spans="1:6" ht="30" customHeight="1" x14ac:dyDescent="0.25">
      <c r="A7625" s="1" t="s">
        <v>15239</v>
      </c>
      <c r="B7625" s="1" t="str">
        <f>"9781452941448"</f>
        <v>9781452941448</v>
      </c>
      <c r="C7625" s="1" t="s">
        <v>3458</v>
      </c>
      <c r="D7625" s="2">
        <v>41730</v>
      </c>
      <c r="E7625" s="1" t="s">
        <v>15240</v>
      </c>
      <c r="F7625" s="1" t="s">
        <v>95</v>
      </c>
    </row>
    <row r="7626" spans="1:6" ht="30" customHeight="1" x14ac:dyDescent="0.25">
      <c r="A7626" s="1" t="s">
        <v>15241</v>
      </c>
      <c r="B7626" s="1" t="str">
        <f>"9781608058327"</f>
        <v>9781608058327</v>
      </c>
      <c r="C7626" s="1" t="s">
        <v>11332</v>
      </c>
      <c r="D7626" s="2">
        <v>41765</v>
      </c>
      <c r="E7626" s="1" t="s">
        <v>15242</v>
      </c>
      <c r="F7626" s="1" t="s">
        <v>13</v>
      </c>
    </row>
    <row r="7627" spans="1:6" ht="30" customHeight="1" x14ac:dyDescent="0.25">
      <c r="A7627" s="1" t="s">
        <v>15243</v>
      </c>
      <c r="B7627" s="1" t="str">
        <f>"9781617052002"</f>
        <v>9781617052002</v>
      </c>
      <c r="C7627" s="1" t="s">
        <v>2342</v>
      </c>
      <c r="D7627" s="2">
        <v>41815</v>
      </c>
      <c r="E7627" s="1" t="s">
        <v>15244</v>
      </c>
      <c r="F7627" s="1" t="s">
        <v>13</v>
      </c>
    </row>
    <row r="7628" spans="1:6" ht="30" customHeight="1" x14ac:dyDescent="0.25">
      <c r="A7628" s="1" t="s">
        <v>15245</v>
      </c>
      <c r="B7628" s="1" t="str">
        <f>"9781443860659"</f>
        <v>9781443860659</v>
      </c>
      <c r="C7628" s="1" t="s">
        <v>12699</v>
      </c>
      <c r="D7628" s="2">
        <v>41760</v>
      </c>
      <c r="E7628" s="1" t="s">
        <v>15246</v>
      </c>
      <c r="F7628" s="1" t="s">
        <v>13</v>
      </c>
    </row>
    <row r="7629" spans="1:6" ht="30" customHeight="1" x14ac:dyDescent="0.25">
      <c r="A7629" s="1" t="s">
        <v>15247</v>
      </c>
      <c r="B7629" s="1" t="str">
        <f>"9781118910528"</f>
        <v>9781118910528</v>
      </c>
      <c r="C7629" s="1" t="s">
        <v>11</v>
      </c>
      <c r="D7629" s="2">
        <v>41792</v>
      </c>
      <c r="E7629" s="1" t="s">
        <v>15248</v>
      </c>
      <c r="F7629" s="1" t="s">
        <v>33</v>
      </c>
    </row>
    <row r="7630" spans="1:6" ht="30" customHeight="1" x14ac:dyDescent="0.25">
      <c r="A7630" s="1" t="s">
        <v>15249</v>
      </c>
      <c r="B7630" s="1" t="str">
        <f>"9781443861212"</f>
        <v>9781443861212</v>
      </c>
      <c r="C7630" s="1" t="s">
        <v>12699</v>
      </c>
      <c r="D7630" s="2">
        <v>41730</v>
      </c>
      <c r="E7630" s="1" t="s">
        <v>15250</v>
      </c>
      <c r="F7630" s="1" t="s">
        <v>13</v>
      </c>
    </row>
    <row r="7631" spans="1:6" ht="30" customHeight="1" x14ac:dyDescent="0.25">
      <c r="A7631" s="1" t="s">
        <v>15251</v>
      </c>
      <c r="B7631" s="1" t="str">
        <f>"9780817387075"</f>
        <v>9780817387075</v>
      </c>
      <c r="C7631" s="1" t="s">
        <v>6589</v>
      </c>
      <c r="D7631" s="2">
        <v>41819</v>
      </c>
      <c r="E7631" s="1" t="s">
        <v>15252</v>
      </c>
      <c r="F7631" s="1" t="s">
        <v>541</v>
      </c>
    </row>
    <row r="7632" spans="1:6" ht="30" customHeight="1" x14ac:dyDescent="0.25">
      <c r="A7632" s="1" t="s">
        <v>15253</v>
      </c>
      <c r="B7632" s="1" t="str">
        <f>"9781118606650"</f>
        <v>9781118606650</v>
      </c>
      <c r="C7632" s="1" t="s">
        <v>65</v>
      </c>
      <c r="D7632" s="2">
        <v>41792</v>
      </c>
      <c r="E7632" s="1" t="s">
        <v>15254</v>
      </c>
      <c r="F7632" s="1" t="s">
        <v>13</v>
      </c>
    </row>
    <row r="7633" spans="1:6" ht="30" customHeight="1" x14ac:dyDescent="0.25">
      <c r="A7633" s="1" t="s">
        <v>15255</v>
      </c>
      <c r="B7633" s="1" t="str">
        <f>"9780231537704"</f>
        <v>9780231537704</v>
      </c>
      <c r="C7633" s="1" t="s">
        <v>11751</v>
      </c>
      <c r="D7633" s="2">
        <v>41828</v>
      </c>
      <c r="E7633" s="1" t="s">
        <v>13900</v>
      </c>
      <c r="F7633" s="1" t="s">
        <v>13</v>
      </c>
    </row>
    <row r="7634" spans="1:6" ht="30" customHeight="1" x14ac:dyDescent="0.25">
      <c r="A7634" s="1" t="s">
        <v>15256</v>
      </c>
      <c r="B7634" s="1" t="str">
        <f>"9781118357637"</f>
        <v>9781118357637</v>
      </c>
      <c r="C7634" s="1" t="s">
        <v>65</v>
      </c>
      <c r="D7634" s="2">
        <v>41795</v>
      </c>
      <c r="E7634" s="1" t="s">
        <v>15257</v>
      </c>
      <c r="F7634" s="1" t="s">
        <v>13</v>
      </c>
    </row>
    <row r="7635" spans="1:6" ht="30" customHeight="1" x14ac:dyDescent="0.25">
      <c r="A7635" s="1" t="s">
        <v>15258</v>
      </c>
      <c r="B7635" s="1" t="str">
        <f>"9780826171467"</f>
        <v>9780826171467</v>
      </c>
      <c r="C7635" s="1" t="s">
        <v>2339</v>
      </c>
      <c r="D7635" s="2">
        <v>41816</v>
      </c>
      <c r="E7635" s="1" t="s">
        <v>15259</v>
      </c>
      <c r="F7635" s="1" t="s">
        <v>13</v>
      </c>
    </row>
    <row r="7636" spans="1:6" ht="30" customHeight="1" x14ac:dyDescent="0.25">
      <c r="A7636" s="1" t="s">
        <v>15260</v>
      </c>
      <c r="B7636" s="1" t="str">
        <f>"9780826199072"</f>
        <v>9780826199072</v>
      </c>
      <c r="C7636" s="1" t="s">
        <v>2339</v>
      </c>
      <c r="D7636" s="2">
        <v>41794</v>
      </c>
      <c r="E7636" s="1" t="s">
        <v>15261</v>
      </c>
      <c r="F7636" s="1" t="s">
        <v>148</v>
      </c>
    </row>
    <row r="7637" spans="1:6" ht="30" customHeight="1" x14ac:dyDescent="0.25">
      <c r="A7637" s="1" t="s">
        <v>15262</v>
      </c>
      <c r="B7637" s="1" t="str">
        <f>"9780803641082"</f>
        <v>9780803641082</v>
      </c>
      <c r="C7637" s="1" t="s">
        <v>15038</v>
      </c>
      <c r="D7637" s="2">
        <v>41774</v>
      </c>
      <c r="E7637" s="1" t="s">
        <v>15263</v>
      </c>
      <c r="F7637" s="1" t="s">
        <v>13</v>
      </c>
    </row>
    <row r="7638" spans="1:6" ht="30" customHeight="1" x14ac:dyDescent="0.25">
      <c r="A7638" s="1" t="s">
        <v>15264</v>
      </c>
      <c r="B7638" s="1" t="str">
        <f>"9780803643970"</f>
        <v>9780803643970</v>
      </c>
      <c r="C7638" s="1" t="s">
        <v>15038</v>
      </c>
      <c r="D7638" s="2">
        <v>41775</v>
      </c>
      <c r="E7638" s="1" t="s">
        <v>15265</v>
      </c>
      <c r="F7638" s="1" t="s">
        <v>13</v>
      </c>
    </row>
    <row r="7639" spans="1:6" ht="30" customHeight="1" x14ac:dyDescent="0.25">
      <c r="A7639" s="1" t="s">
        <v>15266</v>
      </c>
      <c r="B7639" s="1" t="str">
        <f>"9780803641020"</f>
        <v>9780803641020</v>
      </c>
      <c r="C7639" s="1" t="s">
        <v>15038</v>
      </c>
      <c r="D7639" s="2">
        <v>41775</v>
      </c>
      <c r="E7639" s="1" t="s">
        <v>15267</v>
      </c>
      <c r="F7639" s="1" t="s">
        <v>13</v>
      </c>
    </row>
    <row r="7640" spans="1:6" ht="30" customHeight="1" x14ac:dyDescent="0.25">
      <c r="A7640" s="1" t="s">
        <v>15268</v>
      </c>
      <c r="B7640" s="1" t="str">
        <f>"9780803641136"</f>
        <v>9780803641136</v>
      </c>
      <c r="C7640" s="1" t="s">
        <v>15038</v>
      </c>
      <c r="D7640" s="2">
        <v>41771</v>
      </c>
      <c r="E7640" s="1" t="s">
        <v>15269</v>
      </c>
      <c r="F7640" s="1" t="s">
        <v>126</v>
      </c>
    </row>
    <row r="7641" spans="1:6" ht="30" customHeight="1" x14ac:dyDescent="0.25">
      <c r="A7641" s="1" t="s">
        <v>15270</v>
      </c>
      <c r="B7641" s="1" t="str">
        <f>"9781847358530"</f>
        <v>9781847358530</v>
      </c>
      <c r="C7641" s="1" t="s">
        <v>14201</v>
      </c>
      <c r="D7641" s="2">
        <v>41668</v>
      </c>
      <c r="E7641" s="1" t="s">
        <v>15271</v>
      </c>
      <c r="F7641" s="1" t="s">
        <v>268</v>
      </c>
    </row>
    <row r="7642" spans="1:6" ht="30" customHeight="1" x14ac:dyDescent="0.25">
      <c r="A7642" s="1" t="s">
        <v>15272</v>
      </c>
      <c r="B7642" s="1" t="str">
        <f>"9780826129376"</f>
        <v>9780826129376</v>
      </c>
      <c r="C7642" s="1" t="s">
        <v>2339</v>
      </c>
      <c r="D7642" s="2">
        <v>41795</v>
      </c>
      <c r="E7642" s="1" t="s">
        <v>15273</v>
      </c>
      <c r="F7642" s="1" t="s">
        <v>13</v>
      </c>
    </row>
    <row r="7643" spans="1:6" ht="30" customHeight="1" x14ac:dyDescent="0.25">
      <c r="A7643" s="1" t="s">
        <v>15274</v>
      </c>
      <c r="B7643" s="1" t="str">
        <f>"9780520958494"</f>
        <v>9780520958494</v>
      </c>
      <c r="C7643" s="1" t="s">
        <v>818</v>
      </c>
      <c r="D7643" s="2">
        <v>41936</v>
      </c>
      <c r="E7643" s="1" t="s">
        <v>15275</v>
      </c>
      <c r="F7643" s="1" t="s">
        <v>95</v>
      </c>
    </row>
    <row r="7644" spans="1:6" ht="30" customHeight="1" x14ac:dyDescent="0.25">
      <c r="A7644" s="1" t="s">
        <v>15276</v>
      </c>
      <c r="B7644" s="1" t="str">
        <f>"9780520959538"</f>
        <v>9780520959538</v>
      </c>
      <c r="C7644" s="1" t="s">
        <v>818</v>
      </c>
      <c r="D7644" s="2">
        <v>41915</v>
      </c>
      <c r="E7644" s="1" t="s">
        <v>8536</v>
      </c>
      <c r="F7644" s="1" t="s">
        <v>148</v>
      </c>
    </row>
    <row r="7645" spans="1:6" ht="30" customHeight="1" x14ac:dyDescent="0.25">
      <c r="A7645" s="1" t="s">
        <v>15277</v>
      </c>
      <c r="B7645" s="1" t="str">
        <f>"9780520958562"</f>
        <v>9780520958562</v>
      </c>
      <c r="C7645" s="1" t="s">
        <v>818</v>
      </c>
      <c r="D7645" s="2">
        <v>41905</v>
      </c>
      <c r="E7645" s="1" t="s">
        <v>15278</v>
      </c>
      <c r="F7645" s="1" t="s">
        <v>158</v>
      </c>
    </row>
    <row r="7646" spans="1:6" ht="30" customHeight="1" x14ac:dyDescent="0.25">
      <c r="A7646" s="1" t="s">
        <v>15279</v>
      </c>
      <c r="B7646" s="1" t="str">
        <f>"9780520959811"</f>
        <v>9780520959811</v>
      </c>
      <c r="C7646" s="1" t="s">
        <v>818</v>
      </c>
      <c r="D7646" s="2">
        <v>41978</v>
      </c>
      <c r="E7646" s="1" t="s">
        <v>15280</v>
      </c>
      <c r="F7646" s="1" t="s">
        <v>15281</v>
      </c>
    </row>
    <row r="7647" spans="1:6" ht="30" customHeight="1" x14ac:dyDescent="0.25">
      <c r="A7647" s="1" t="s">
        <v>15282</v>
      </c>
      <c r="B7647" s="1" t="str">
        <f>"9780520959347"</f>
        <v>9780520959347</v>
      </c>
      <c r="C7647" s="1" t="s">
        <v>818</v>
      </c>
      <c r="D7647" s="2">
        <v>41967</v>
      </c>
      <c r="E7647" s="1" t="s">
        <v>15283</v>
      </c>
      <c r="F7647" s="1" t="s">
        <v>4314</v>
      </c>
    </row>
    <row r="7648" spans="1:6" ht="30" customHeight="1" x14ac:dyDescent="0.25">
      <c r="A7648" s="1" t="s">
        <v>15284</v>
      </c>
      <c r="B7648" s="1" t="str">
        <f>"9780520959149"</f>
        <v>9780520959149</v>
      </c>
      <c r="C7648" s="1" t="s">
        <v>818</v>
      </c>
      <c r="D7648" s="2">
        <v>41901</v>
      </c>
      <c r="E7648" s="1" t="s">
        <v>15285</v>
      </c>
      <c r="F7648" s="1" t="s">
        <v>13</v>
      </c>
    </row>
    <row r="7649" spans="1:6" ht="30" customHeight="1" x14ac:dyDescent="0.25">
      <c r="A7649" s="1" t="s">
        <v>15286</v>
      </c>
      <c r="B7649" s="1" t="str">
        <f>"9780520958739"</f>
        <v>9780520958739</v>
      </c>
      <c r="C7649" s="1" t="s">
        <v>818</v>
      </c>
      <c r="D7649" s="2">
        <v>41866</v>
      </c>
      <c r="E7649" s="1" t="s">
        <v>15287</v>
      </c>
      <c r="F7649" s="1" t="s">
        <v>30</v>
      </c>
    </row>
    <row r="7650" spans="1:6" ht="30" customHeight="1" x14ac:dyDescent="0.25">
      <c r="A7650" s="1" t="s">
        <v>15288</v>
      </c>
      <c r="B7650" s="1" t="str">
        <f>"9780520958555"</f>
        <v>9780520958555</v>
      </c>
      <c r="C7650" s="1" t="s">
        <v>818</v>
      </c>
      <c r="D7650" s="2">
        <v>41874</v>
      </c>
      <c r="E7650" s="1" t="s">
        <v>15289</v>
      </c>
      <c r="F7650" s="1" t="s">
        <v>148</v>
      </c>
    </row>
    <row r="7651" spans="1:6" ht="30" customHeight="1" x14ac:dyDescent="0.25">
      <c r="A7651" s="1" t="s">
        <v>15290</v>
      </c>
      <c r="B7651" s="1" t="str">
        <f>"9780739187357"</f>
        <v>9780739187357</v>
      </c>
      <c r="C7651" s="1" t="s">
        <v>9841</v>
      </c>
      <c r="D7651" s="2">
        <v>41795</v>
      </c>
      <c r="E7651" s="1" t="s">
        <v>15291</v>
      </c>
      <c r="F7651" s="1" t="s">
        <v>356</v>
      </c>
    </row>
    <row r="7652" spans="1:6" ht="30" customHeight="1" x14ac:dyDescent="0.25">
      <c r="A7652" s="1" t="s">
        <v>15292</v>
      </c>
      <c r="B7652" s="1" t="str">
        <f>"9780838919828"</f>
        <v>9780838919828</v>
      </c>
      <c r="C7652" s="1" t="s">
        <v>14215</v>
      </c>
      <c r="D7652" s="2">
        <v>41640</v>
      </c>
      <c r="E7652" s="1" t="s">
        <v>15293</v>
      </c>
      <c r="F7652" s="1" t="s">
        <v>15294</v>
      </c>
    </row>
    <row r="7653" spans="1:6" ht="30" customHeight="1" x14ac:dyDescent="0.25">
      <c r="A7653" s="1" t="s">
        <v>15295</v>
      </c>
      <c r="B7653" s="1" t="str">
        <f>"9781118872918"</f>
        <v>9781118872918</v>
      </c>
      <c r="C7653" s="1" t="s">
        <v>65</v>
      </c>
      <c r="D7653" s="2">
        <v>41799</v>
      </c>
      <c r="E7653" s="1" t="s">
        <v>15296</v>
      </c>
      <c r="F7653" s="1" t="s">
        <v>13</v>
      </c>
    </row>
    <row r="7654" spans="1:6" ht="30" customHeight="1" x14ac:dyDescent="0.25">
      <c r="A7654" s="1" t="s">
        <v>15297</v>
      </c>
      <c r="B7654" s="1" t="str">
        <f>"9781443861625"</f>
        <v>9781443861625</v>
      </c>
      <c r="C7654" s="1" t="s">
        <v>12699</v>
      </c>
      <c r="D7654" s="2">
        <v>41760</v>
      </c>
      <c r="E7654" s="1" t="s">
        <v>15298</v>
      </c>
      <c r="F7654" s="1" t="s">
        <v>13</v>
      </c>
    </row>
    <row r="7655" spans="1:6" ht="30" customHeight="1" x14ac:dyDescent="0.25">
      <c r="A7655" s="1" t="s">
        <v>15299</v>
      </c>
      <c r="B7655" s="1" t="str">
        <f>"9781118406731"</f>
        <v>9781118406731</v>
      </c>
      <c r="C7655" s="1" t="s">
        <v>65</v>
      </c>
      <c r="D7655" s="2">
        <v>41802</v>
      </c>
      <c r="E7655" s="1" t="s">
        <v>15300</v>
      </c>
      <c r="F7655" s="1" t="s">
        <v>13</v>
      </c>
    </row>
    <row r="7656" spans="1:6" ht="30" customHeight="1" x14ac:dyDescent="0.25">
      <c r="A7656" s="1" t="s">
        <v>15301</v>
      </c>
      <c r="B7656" s="1" t="str">
        <f>"9781118794371"</f>
        <v>9781118794371</v>
      </c>
      <c r="C7656" s="1" t="s">
        <v>65</v>
      </c>
      <c r="D7656" s="2">
        <v>41802</v>
      </c>
      <c r="E7656" s="1" t="s">
        <v>15302</v>
      </c>
      <c r="F7656" s="1" t="s">
        <v>268</v>
      </c>
    </row>
    <row r="7657" spans="1:6" ht="30" customHeight="1" x14ac:dyDescent="0.25">
      <c r="A7657" s="1" t="s">
        <v>15303</v>
      </c>
      <c r="B7657" s="1" t="str">
        <f>"9781846421785"</f>
        <v>9781846421785</v>
      </c>
      <c r="C7657" s="1" t="s">
        <v>2387</v>
      </c>
      <c r="D7657" s="2">
        <v>37237</v>
      </c>
      <c r="E7657" s="1" t="s">
        <v>15304</v>
      </c>
      <c r="F7657" s="1" t="s">
        <v>13</v>
      </c>
    </row>
    <row r="7658" spans="1:6" ht="30" customHeight="1" x14ac:dyDescent="0.25">
      <c r="A7658" s="1" t="s">
        <v>15305</v>
      </c>
      <c r="B7658" s="1" t="str">
        <f>"9781118880272"</f>
        <v>9781118880272</v>
      </c>
      <c r="C7658" s="1" t="s">
        <v>65</v>
      </c>
      <c r="D7658" s="2">
        <v>41803</v>
      </c>
      <c r="E7658" s="1" t="s">
        <v>15306</v>
      </c>
      <c r="F7658" s="1" t="s">
        <v>13</v>
      </c>
    </row>
    <row r="7659" spans="1:6" ht="30" customHeight="1" x14ac:dyDescent="0.25">
      <c r="A7659" s="1" t="s">
        <v>15307</v>
      </c>
      <c r="B7659" s="1" t="str">
        <f>"9781118916452"</f>
        <v>9781118916452</v>
      </c>
      <c r="C7659" s="1" t="s">
        <v>65</v>
      </c>
      <c r="D7659" s="2">
        <v>41803</v>
      </c>
      <c r="E7659" s="1" t="s">
        <v>15308</v>
      </c>
      <c r="F7659" s="1" t="s">
        <v>95</v>
      </c>
    </row>
    <row r="7660" spans="1:6" ht="30" customHeight="1" x14ac:dyDescent="0.25">
      <c r="A7660" s="1" t="s">
        <v>15309</v>
      </c>
      <c r="B7660" s="1" t="str">
        <f>"9783110317954"</f>
        <v>9783110317954</v>
      </c>
      <c r="C7660" s="1" t="s">
        <v>1848</v>
      </c>
      <c r="D7660" s="2">
        <v>41936</v>
      </c>
      <c r="E7660" s="1" t="s">
        <v>15310</v>
      </c>
      <c r="F7660" s="1" t="s">
        <v>13</v>
      </c>
    </row>
    <row r="7661" spans="1:6" ht="30" customHeight="1" x14ac:dyDescent="0.25">
      <c r="A7661" s="1" t="s">
        <v>15311</v>
      </c>
      <c r="B7661" s="1" t="str">
        <f>"9781849734981"</f>
        <v>9781849734981</v>
      </c>
      <c r="C7661" s="1" t="s">
        <v>13313</v>
      </c>
      <c r="D7661" s="2">
        <v>41312</v>
      </c>
      <c r="E7661" s="1" t="s">
        <v>15312</v>
      </c>
      <c r="F7661" s="1" t="s">
        <v>3875</v>
      </c>
    </row>
    <row r="7662" spans="1:6" ht="30" customHeight="1" x14ac:dyDescent="0.25">
      <c r="A7662" s="1" t="s">
        <v>15313</v>
      </c>
      <c r="B7662" s="1" t="str">
        <f>"9781135548896"</f>
        <v>9781135548896</v>
      </c>
      <c r="C7662" s="1" t="s">
        <v>99</v>
      </c>
      <c r="D7662" s="2">
        <v>42479</v>
      </c>
      <c r="E7662" s="1" t="s">
        <v>15314</v>
      </c>
      <c r="F7662" s="1" t="s">
        <v>13</v>
      </c>
    </row>
    <row r="7663" spans="1:6" ht="30" customHeight="1" x14ac:dyDescent="0.25">
      <c r="A7663" s="1" t="s">
        <v>15315</v>
      </c>
      <c r="B7663" s="1" t="str">
        <f>"9781608824083"</f>
        <v>9781608824083</v>
      </c>
      <c r="C7663" s="1" t="s">
        <v>10294</v>
      </c>
      <c r="D7663" s="2">
        <v>41821</v>
      </c>
      <c r="E7663" s="1" t="s">
        <v>15316</v>
      </c>
      <c r="F7663" s="1" t="s">
        <v>13</v>
      </c>
    </row>
    <row r="7664" spans="1:6" ht="30" customHeight="1" x14ac:dyDescent="0.25">
      <c r="A7664" s="1" t="s">
        <v>15317</v>
      </c>
      <c r="B7664" s="1" t="str">
        <f>"9781118801710"</f>
        <v>9781118801710</v>
      </c>
      <c r="C7664" s="1" t="s">
        <v>65</v>
      </c>
      <c r="D7664" s="2">
        <v>41807</v>
      </c>
      <c r="E7664" s="1" t="s">
        <v>3959</v>
      </c>
      <c r="F7664" s="1" t="s">
        <v>30</v>
      </c>
    </row>
    <row r="7665" spans="1:6" ht="30" customHeight="1" x14ac:dyDescent="0.25">
      <c r="A7665" s="1" t="s">
        <v>15318</v>
      </c>
      <c r="B7665" s="1" t="str">
        <f>"9780954323141"</f>
        <v>9780954323141</v>
      </c>
      <c r="C7665" s="1" t="s">
        <v>15319</v>
      </c>
      <c r="D7665" s="2">
        <v>41790</v>
      </c>
      <c r="E7665" s="1" t="s">
        <v>15320</v>
      </c>
      <c r="F7665" s="1" t="s">
        <v>13</v>
      </c>
    </row>
    <row r="7666" spans="1:6" ht="30" customHeight="1" x14ac:dyDescent="0.25">
      <c r="A7666" s="1" t="s">
        <v>15321</v>
      </c>
      <c r="B7666" s="1" t="str">
        <f>"9780954323165"</f>
        <v>9780954323165</v>
      </c>
      <c r="C7666" s="1" t="s">
        <v>15319</v>
      </c>
      <c r="D7666" s="2">
        <v>41790</v>
      </c>
      <c r="E7666" s="1" t="s">
        <v>15322</v>
      </c>
      <c r="F7666" s="1" t="s">
        <v>13</v>
      </c>
    </row>
    <row r="7667" spans="1:6" ht="30" customHeight="1" x14ac:dyDescent="0.25">
      <c r="A7667" s="1" t="s">
        <v>15323</v>
      </c>
      <c r="B7667" s="1" t="str">
        <f>"9780803640856"</f>
        <v>9780803640856</v>
      </c>
      <c r="C7667" s="1" t="s">
        <v>15038</v>
      </c>
      <c r="D7667" s="2">
        <v>41803</v>
      </c>
      <c r="E7667" s="1" t="s">
        <v>15324</v>
      </c>
      <c r="F7667" s="1" t="s">
        <v>268</v>
      </c>
    </row>
    <row r="7668" spans="1:6" ht="30" customHeight="1" x14ac:dyDescent="0.25">
      <c r="A7668" s="1" t="s">
        <v>15325</v>
      </c>
      <c r="B7668" s="1" t="str">
        <f>"9781118361351"</f>
        <v>9781118361351</v>
      </c>
      <c r="C7668" s="1" t="s">
        <v>65</v>
      </c>
      <c r="D7668" s="2">
        <v>41806</v>
      </c>
      <c r="E7668" s="1" t="s">
        <v>15326</v>
      </c>
      <c r="F7668" s="1" t="s">
        <v>13</v>
      </c>
    </row>
    <row r="7669" spans="1:6" ht="30" customHeight="1" x14ac:dyDescent="0.25">
      <c r="A7669" s="1" t="s">
        <v>15327</v>
      </c>
      <c r="B7669" s="1" t="str">
        <f>"9781118784679"</f>
        <v>9781118784679</v>
      </c>
      <c r="C7669" s="1" t="s">
        <v>11</v>
      </c>
      <c r="D7669" s="2">
        <v>41808</v>
      </c>
      <c r="E7669" s="1" t="s">
        <v>15328</v>
      </c>
      <c r="F7669" s="1" t="s">
        <v>268</v>
      </c>
    </row>
    <row r="7670" spans="1:6" ht="30" customHeight="1" x14ac:dyDescent="0.25">
      <c r="A7670" s="1" t="s">
        <v>15329</v>
      </c>
      <c r="B7670" s="1" t="str">
        <f>"9781118828700"</f>
        <v>9781118828700</v>
      </c>
      <c r="C7670" s="1" t="s">
        <v>11</v>
      </c>
      <c r="D7670" s="2">
        <v>41808</v>
      </c>
      <c r="E7670" s="1" t="s">
        <v>15330</v>
      </c>
      <c r="F7670" s="1" t="s">
        <v>13</v>
      </c>
    </row>
    <row r="7671" spans="1:6" ht="30" customHeight="1" x14ac:dyDescent="0.25">
      <c r="A7671" s="1" t="s">
        <v>15331</v>
      </c>
      <c r="B7671" s="1" t="str">
        <f>"9781118864982"</f>
        <v>9781118864982</v>
      </c>
      <c r="C7671" s="1" t="s">
        <v>65</v>
      </c>
      <c r="D7671" s="2">
        <v>41808</v>
      </c>
      <c r="E7671" s="1" t="s">
        <v>15332</v>
      </c>
      <c r="F7671" s="1" t="s">
        <v>13</v>
      </c>
    </row>
    <row r="7672" spans="1:6" ht="30" customHeight="1" x14ac:dyDescent="0.25">
      <c r="A7672" s="1" t="s">
        <v>15333</v>
      </c>
      <c r="B7672" s="1" t="str">
        <f>"9781776537082"</f>
        <v>9781776537082</v>
      </c>
      <c r="C7672" s="1" t="s">
        <v>15334</v>
      </c>
      <c r="D7672" s="2">
        <v>41791</v>
      </c>
      <c r="E7672" s="1" t="s">
        <v>15335</v>
      </c>
      <c r="F7672" s="1" t="s">
        <v>268</v>
      </c>
    </row>
    <row r="7673" spans="1:6" ht="30" customHeight="1" x14ac:dyDescent="0.25">
      <c r="A7673" s="1" t="s">
        <v>15336</v>
      </c>
      <c r="B7673" s="1" t="str">
        <f>"9780826196361"</f>
        <v>9780826196361</v>
      </c>
      <c r="C7673" s="1" t="s">
        <v>2339</v>
      </c>
      <c r="D7673" s="2">
        <v>41808</v>
      </c>
      <c r="E7673" s="1" t="s">
        <v>15337</v>
      </c>
      <c r="F7673" s="1" t="s">
        <v>283</v>
      </c>
    </row>
    <row r="7674" spans="1:6" ht="30" customHeight="1" x14ac:dyDescent="0.25">
      <c r="A7674" s="1" t="s">
        <v>15338</v>
      </c>
      <c r="B7674" s="1" t="str">
        <f>"9781118774014"</f>
        <v>9781118774014</v>
      </c>
      <c r="C7674" s="1" t="s">
        <v>11</v>
      </c>
      <c r="D7674" s="2">
        <v>41810</v>
      </c>
      <c r="E7674" s="1" t="s">
        <v>15339</v>
      </c>
      <c r="F7674" s="1" t="s">
        <v>13</v>
      </c>
    </row>
    <row r="7675" spans="1:6" ht="30" customHeight="1" x14ac:dyDescent="0.25">
      <c r="A7675" s="1" t="s">
        <v>15340</v>
      </c>
      <c r="B7675" s="1" t="str">
        <f>"9781118862780"</f>
        <v>9781118862780</v>
      </c>
      <c r="C7675" s="1" t="s">
        <v>65</v>
      </c>
      <c r="D7675" s="2">
        <v>41813</v>
      </c>
      <c r="E7675" s="1" t="s">
        <v>15341</v>
      </c>
      <c r="F7675" s="1" t="s">
        <v>95</v>
      </c>
    </row>
    <row r="7676" spans="1:6" ht="30" customHeight="1" x14ac:dyDescent="0.25">
      <c r="A7676" s="1" t="s">
        <v>15342</v>
      </c>
      <c r="B7676" s="1" t="str">
        <f>"9781118892466"</f>
        <v>9781118892466</v>
      </c>
      <c r="C7676" s="1" t="s">
        <v>11</v>
      </c>
      <c r="D7676" s="2">
        <v>41813</v>
      </c>
      <c r="E7676" s="1" t="s">
        <v>15343</v>
      </c>
      <c r="F7676" s="1" t="s">
        <v>13</v>
      </c>
    </row>
    <row r="7677" spans="1:6" ht="30" customHeight="1" x14ac:dyDescent="0.25">
      <c r="A7677" s="1" t="s">
        <v>15344</v>
      </c>
      <c r="B7677" s="1" t="str">
        <f>"9780875532639"</f>
        <v>9780875532639</v>
      </c>
      <c r="C7677" s="1" t="s">
        <v>10965</v>
      </c>
      <c r="D7677" s="2">
        <v>40755</v>
      </c>
      <c r="E7677" s="1" t="s">
        <v>15345</v>
      </c>
      <c r="F7677" s="1" t="s">
        <v>30</v>
      </c>
    </row>
    <row r="7678" spans="1:6" ht="30" customHeight="1" x14ac:dyDescent="0.25">
      <c r="A7678" s="1" t="s">
        <v>15346</v>
      </c>
      <c r="B7678" s="1" t="str">
        <f>"9781614993933"</f>
        <v>9781614993933</v>
      </c>
      <c r="C7678" s="1" t="s">
        <v>1390</v>
      </c>
      <c r="D7678" s="2">
        <v>41789</v>
      </c>
      <c r="E7678" s="1" t="s">
        <v>15347</v>
      </c>
      <c r="F7678" s="1" t="s">
        <v>13</v>
      </c>
    </row>
    <row r="7679" spans="1:6" ht="30" customHeight="1" x14ac:dyDescent="0.25">
      <c r="A7679" s="1" t="s">
        <v>15348</v>
      </c>
      <c r="B7679" s="1" t="str">
        <f>"9781614994015"</f>
        <v>9781614994015</v>
      </c>
      <c r="C7679" s="1" t="s">
        <v>1390</v>
      </c>
      <c r="D7679" s="2">
        <v>41789</v>
      </c>
      <c r="E7679" s="1" t="s">
        <v>7132</v>
      </c>
      <c r="F7679" s="1" t="s">
        <v>158</v>
      </c>
    </row>
    <row r="7680" spans="1:6" ht="30" customHeight="1" x14ac:dyDescent="0.25">
      <c r="A7680" s="1" t="s">
        <v>15349</v>
      </c>
      <c r="B7680" s="1" t="str">
        <f>"9781782412700"</f>
        <v>9781782412700</v>
      </c>
      <c r="C7680" s="1" t="s">
        <v>68</v>
      </c>
      <c r="D7680" s="2">
        <v>41829</v>
      </c>
      <c r="E7680" s="1" t="s">
        <v>10166</v>
      </c>
      <c r="F7680" s="1" t="s">
        <v>104</v>
      </c>
    </row>
    <row r="7681" spans="1:6" ht="30" customHeight="1" x14ac:dyDescent="0.25">
      <c r="A7681" s="1" t="s">
        <v>15350</v>
      </c>
      <c r="B7681" s="1" t="str">
        <f>"9783527672998"</f>
        <v>9783527672998</v>
      </c>
      <c r="C7681" s="1" t="s">
        <v>65</v>
      </c>
      <c r="D7681" s="2">
        <v>41816</v>
      </c>
      <c r="E7681" s="1" t="s">
        <v>15351</v>
      </c>
      <c r="F7681" s="1" t="s">
        <v>268</v>
      </c>
    </row>
    <row r="7682" spans="1:6" ht="30" customHeight="1" x14ac:dyDescent="0.25">
      <c r="A7682" s="1" t="s">
        <v>15352</v>
      </c>
      <c r="B7682" s="1" t="str">
        <f>"9781118903490"</f>
        <v>9781118903490</v>
      </c>
      <c r="C7682" s="1" t="s">
        <v>65</v>
      </c>
      <c r="D7682" s="2">
        <v>41817</v>
      </c>
      <c r="E7682" s="1" t="s">
        <v>15353</v>
      </c>
      <c r="F7682" s="1" t="s">
        <v>268</v>
      </c>
    </row>
    <row r="7683" spans="1:6" ht="30" customHeight="1" x14ac:dyDescent="0.25">
      <c r="A7683" s="1" t="s">
        <v>15354</v>
      </c>
      <c r="B7683" s="1" t="str">
        <f>"9781443863094"</f>
        <v>9781443863094</v>
      </c>
      <c r="C7683" s="1" t="s">
        <v>12699</v>
      </c>
      <c r="D7683" s="2">
        <v>41883</v>
      </c>
      <c r="E7683" s="1" t="s">
        <v>15355</v>
      </c>
      <c r="F7683" s="1" t="s">
        <v>70</v>
      </c>
    </row>
    <row r="7684" spans="1:6" ht="30" customHeight="1" x14ac:dyDescent="0.25">
      <c r="A7684" s="1" t="s">
        <v>15356</v>
      </c>
      <c r="B7684" s="1" t="str">
        <f>"9781608058907"</f>
        <v>9781608058907</v>
      </c>
      <c r="C7684" s="1" t="s">
        <v>11332</v>
      </c>
      <c r="D7684" s="2">
        <v>41816</v>
      </c>
      <c r="E7684" s="1" t="s">
        <v>15357</v>
      </c>
      <c r="F7684" s="1" t="s">
        <v>30</v>
      </c>
    </row>
    <row r="7685" spans="1:6" ht="30" customHeight="1" x14ac:dyDescent="0.25">
      <c r="A7685" s="1" t="s">
        <v>15358</v>
      </c>
      <c r="B7685" s="1" t="str">
        <f>"9780826198747"</f>
        <v>9780826198747</v>
      </c>
      <c r="C7685" s="1" t="s">
        <v>2339</v>
      </c>
      <c r="D7685" s="2">
        <v>41817</v>
      </c>
      <c r="E7685" s="1" t="s">
        <v>15359</v>
      </c>
      <c r="F7685" s="1" t="s">
        <v>13</v>
      </c>
    </row>
    <row r="7686" spans="1:6" ht="30" customHeight="1" x14ac:dyDescent="0.25">
      <c r="A7686" s="1" t="s">
        <v>15360</v>
      </c>
      <c r="B7686" s="1" t="str">
        <f>"9780826199348"</f>
        <v>9780826199348</v>
      </c>
      <c r="C7686" s="1" t="s">
        <v>2339</v>
      </c>
      <c r="D7686" s="2">
        <v>41817</v>
      </c>
      <c r="E7686" s="1" t="s">
        <v>15361</v>
      </c>
      <c r="F7686" s="1" t="s">
        <v>13</v>
      </c>
    </row>
    <row r="7687" spans="1:6" ht="30" customHeight="1" x14ac:dyDescent="0.25">
      <c r="A7687" s="1" t="s">
        <v>15362</v>
      </c>
      <c r="B7687" s="1" t="str">
        <f>"9781118898383"</f>
        <v>9781118898383</v>
      </c>
      <c r="C7687" s="1" t="s">
        <v>65</v>
      </c>
      <c r="D7687" s="2">
        <v>41821</v>
      </c>
      <c r="E7687" s="1" t="s">
        <v>15363</v>
      </c>
      <c r="F7687" s="1" t="s">
        <v>95</v>
      </c>
    </row>
    <row r="7688" spans="1:6" ht="30" customHeight="1" x14ac:dyDescent="0.25">
      <c r="A7688" s="1" t="s">
        <v>15364</v>
      </c>
      <c r="B7688" s="1" t="str">
        <f>"9781118927892"</f>
        <v>9781118927892</v>
      </c>
      <c r="C7688" s="1" t="s">
        <v>65</v>
      </c>
      <c r="D7688" s="2">
        <v>41820</v>
      </c>
      <c r="E7688" s="1" t="s">
        <v>15365</v>
      </c>
      <c r="F7688" s="1" t="s">
        <v>13</v>
      </c>
    </row>
    <row r="7689" spans="1:6" ht="30" customHeight="1" x14ac:dyDescent="0.25">
      <c r="A7689" s="1" t="s">
        <v>15366</v>
      </c>
      <c r="B7689" s="1" t="str">
        <f>"9781118414866"</f>
        <v>9781118414866</v>
      </c>
      <c r="C7689" s="1" t="s">
        <v>65</v>
      </c>
      <c r="D7689" s="2">
        <v>41820</v>
      </c>
      <c r="E7689" s="1" t="s">
        <v>15367</v>
      </c>
      <c r="F7689" s="1" t="s">
        <v>137</v>
      </c>
    </row>
    <row r="7690" spans="1:6" ht="30" customHeight="1" x14ac:dyDescent="0.25">
      <c r="A7690" s="1" t="s">
        <v>15368</v>
      </c>
      <c r="B7690" s="1" t="str">
        <f>"9781782413363"</f>
        <v>9781782413363</v>
      </c>
      <c r="C7690" s="1" t="s">
        <v>8994</v>
      </c>
      <c r="D7690" s="2">
        <v>41836</v>
      </c>
      <c r="E7690" s="1" t="s">
        <v>15369</v>
      </c>
      <c r="F7690" s="1" t="s">
        <v>13</v>
      </c>
    </row>
    <row r="7691" spans="1:6" ht="30" customHeight="1" x14ac:dyDescent="0.25">
      <c r="A7691" s="1" t="s">
        <v>15370</v>
      </c>
      <c r="B7691" s="1" t="str">
        <f>"9780826196156"</f>
        <v>9780826196156</v>
      </c>
      <c r="C7691" s="1" t="s">
        <v>2339</v>
      </c>
      <c r="D7691" s="2">
        <v>41848</v>
      </c>
      <c r="E7691" s="1" t="s">
        <v>15371</v>
      </c>
      <c r="F7691" s="1" t="s">
        <v>30</v>
      </c>
    </row>
    <row r="7692" spans="1:6" ht="30" customHeight="1" x14ac:dyDescent="0.25">
      <c r="A7692" s="1" t="s">
        <v>15372</v>
      </c>
      <c r="B7692" s="1" t="str">
        <f>"9780826196675"</f>
        <v>9780826196675</v>
      </c>
      <c r="C7692" s="1" t="s">
        <v>2339</v>
      </c>
      <c r="D7692" s="2">
        <v>41848</v>
      </c>
      <c r="E7692" s="1" t="s">
        <v>15373</v>
      </c>
      <c r="F7692" s="1" t="s">
        <v>30</v>
      </c>
    </row>
    <row r="7693" spans="1:6" ht="30" customHeight="1" x14ac:dyDescent="0.25">
      <c r="A7693" s="1" t="s">
        <v>15374</v>
      </c>
      <c r="B7693" s="1" t="str">
        <f>"9780826136442"</f>
        <v>9780826136442</v>
      </c>
      <c r="C7693" s="1" t="s">
        <v>2339</v>
      </c>
      <c r="D7693" s="2">
        <v>41848</v>
      </c>
      <c r="E7693" s="1" t="s">
        <v>15375</v>
      </c>
      <c r="F7693" s="1" t="s">
        <v>13</v>
      </c>
    </row>
    <row r="7694" spans="1:6" ht="30" customHeight="1" x14ac:dyDescent="0.25">
      <c r="A7694" s="1" t="s">
        <v>15376</v>
      </c>
      <c r="B7694" s="1" t="str">
        <f>"9781443863650"</f>
        <v>9781443863650</v>
      </c>
      <c r="C7694" s="1" t="s">
        <v>12699</v>
      </c>
      <c r="D7694" s="2">
        <v>41579</v>
      </c>
      <c r="E7694" s="1" t="s">
        <v>15377</v>
      </c>
      <c r="F7694" s="1" t="s">
        <v>30</v>
      </c>
    </row>
    <row r="7695" spans="1:6" ht="30" customHeight="1" x14ac:dyDescent="0.25">
      <c r="A7695" s="1" t="s">
        <v>15378</v>
      </c>
      <c r="B7695" s="1" t="str">
        <f>"9781464802256"</f>
        <v>9781464802256</v>
      </c>
      <c r="C7695" s="1" t="s">
        <v>6702</v>
      </c>
      <c r="D7695" s="2">
        <v>41640</v>
      </c>
      <c r="E7695" s="1" t="s">
        <v>15379</v>
      </c>
      <c r="F7695" s="1" t="s">
        <v>4264</v>
      </c>
    </row>
    <row r="7696" spans="1:6" ht="30" customHeight="1" x14ac:dyDescent="0.25">
      <c r="A7696" s="1" t="s">
        <v>15380</v>
      </c>
      <c r="B7696" s="1" t="str">
        <f>"9789988647186"</f>
        <v>9789988647186</v>
      </c>
      <c r="C7696" s="1" t="s">
        <v>13055</v>
      </c>
      <c r="D7696" s="2">
        <v>41804</v>
      </c>
      <c r="E7696" s="1" t="s">
        <v>15381</v>
      </c>
      <c r="F7696" s="1" t="s">
        <v>126</v>
      </c>
    </row>
    <row r="7697" spans="1:6" ht="30" customHeight="1" x14ac:dyDescent="0.25">
      <c r="A7697" s="1" t="s">
        <v>15382</v>
      </c>
      <c r="B7697" s="1" t="str">
        <f>"9789988647308"</f>
        <v>9789988647308</v>
      </c>
      <c r="C7697" s="1" t="s">
        <v>13055</v>
      </c>
      <c r="D7697" s="2">
        <v>41802</v>
      </c>
      <c r="E7697" s="1" t="s">
        <v>15383</v>
      </c>
      <c r="F7697" s="1" t="s">
        <v>95</v>
      </c>
    </row>
    <row r="7698" spans="1:6" ht="30" customHeight="1" x14ac:dyDescent="0.25">
      <c r="A7698" s="1" t="s">
        <v>15384</v>
      </c>
      <c r="B7698" s="1" t="str">
        <f>"9789994455782"</f>
        <v>9789994455782</v>
      </c>
      <c r="C7698" s="1" t="s">
        <v>15385</v>
      </c>
      <c r="D7698" s="2">
        <v>41407</v>
      </c>
      <c r="E7698" s="1" t="s">
        <v>15386</v>
      </c>
      <c r="F7698" s="1" t="s">
        <v>137</v>
      </c>
    </row>
    <row r="7699" spans="1:6" ht="30" customHeight="1" x14ac:dyDescent="0.25">
      <c r="A7699" s="1" t="s">
        <v>15387</v>
      </c>
      <c r="B7699" s="1" t="str">
        <f>"9781135587185"</f>
        <v>9781135587185</v>
      </c>
      <c r="C7699" s="1" t="s">
        <v>93</v>
      </c>
      <c r="D7699" s="2">
        <v>41830</v>
      </c>
      <c r="E7699" s="1" t="s">
        <v>15388</v>
      </c>
      <c r="F7699" s="1" t="s">
        <v>214</v>
      </c>
    </row>
    <row r="7700" spans="1:6" ht="30" customHeight="1" x14ac:dyDescent="0.25">
      <c r="A7700" s="1" t="s">
        <v>15389</v>
      </c>
      <c r="B7700" s="1" t="str">
        <f>"9780739192078"</f>
        <v>9780739192078</v>
      </c>
      <c r="C7700" s="1" t="s">
        <v>9841</v>
      </c>
      <c r="D7700" s="2">
        <v>41822</v>
      </c>
      <c r="E7700" s="1" t="s">
        <v>15390</v>
      </c>
      <c r="F7700" s="1" t="s">
        <v>95</v>
      </c>
    </row>
    <row r="7701" spans="1:6" ht="30" customHeight="1" x14ac:dyDescent="0.25">
      <c r="A7701" s="1" t="s">
        <v>15391</v>
      </c>
      <c r="B7701" s="1" t="str">
        <f>"9781409444992"</f>
        <v>9781409444992</v>
      </c>
      <c r="C7701" s="1" t="s">
        <v>68</v>
      </c>
      <c r="D7701" s="2">
        <v>41910</v>
      </c>
      <c r="E7701" s="1" t="s">
        <v>15392</v>
      </c>
      <c r="F7701" s="1" t="s">
        <v>95</v>
      </c>
    </row>
    <row r="7702" spans="1:6" ht="30" customHeight="1" x14ac:dyDescent="0.25">
      <c r="A7702" s="1" t="s">
        <v>15393</v>
      </c>
      <c r="B7702" s="1" t="str">
        <f>"9781118926659"</f>
        <v>9781118926659</v>
      </c>
      <c r="C7702" s="1" t="s">
        <v>65</v>
      </c>
      <c r="D7702" s="2">
        <v>41829</v>
      </c>
      <c r="E7702" s="1" t="s">
        <v>15394</v>
      </c>
      <c r="F7702" s="1" t="s">
        <v>13</v>
      </c>
    </row>
    <row r="7703" spans="1:6" ht="30" customHeight="1" x14ac:dyDescent="0.25">
      <c r="A7703" s="1" t="s">
        <v>15395</v>
      </c>
      <c r="B7703" s="1" t="str">
        <f>"9781782412830"</f>
        <v>9781782412830</v>
      </c>
      <c r="C7703" s="1" t="s">
        <v>68</v>
      </c>
      <c r="D7703" s="2">
        <v>41835</v>
      </c>
      <c r="E7703" s="1" t="s">
        <v>15396</v>
      </c>
      <c r="F7703" s="1" t="s">
        <v>13</v>
      </c>
    </row>
    <row r="7704" spans="1:6" ht="30" customHeight="1" x14ac:dyDescent="0.25">
      <c r="A7704" s="1" t="s">
        <v>15397</v>
      </c>
      <c r="B7704" s="1" t="str">
        <f>"9780826137463"</f>
        <v>9780826137463</v>
      </c>
      <c r="C7704" s="1" t="s">
        <v>2339</v>
      </c>
      <c r="D7704" s="2">
        <v>41841</v>
      </c>
      <c r="E7704" s="1" t="s">
        <v>15398</v>
      </c>
      <c r="F7704" s="1" t="s">
        <v>13</v>
      </c>
    </row>
    <row r="7705" spans="1:6" ht="30" customHeight="1" x14ac:dyDescent="0.25">
      <c r="A7705" s="1" t="s">
        <v>15399</v>
      </c>
      <c r="B7705" s="1" t="str">
        <f>"9781118515754"</f>
        <v>9781118515754</v>
      </c>
      <c r="C7705" s="1" t="s">
        <v>65</v>
      </c>
      <c r="D7705" s="2">
        <v>41841</v>
      </c>
      <c r="E7705" s="1" t="s">
        <v>15400</v>
      </c>
      <c r="F7705" s="1" t="s">
        <v>15401</v>
      </c>
    </row>
    <row r="7706" spans="1:6" ht="30" customHeight="1" x14ac:dyDescent="0.25">
      <c r="A7706" s="1" t="s">
        <v>15402</v>
      </c>
      <c r="B7706" s="1" t="str">
        <f>"9781118405482"</f>
        <v>9781118405482</v>
      </c>
      <c r="C7706" s="1" t="s">
        <v>65</v>
      </c>
      <c r="D7706" s="2">
        <v>41831</v>
      </c>
      <c r="E7706" s="1" t="s">
        <v>15403</v>
      </c>
      <c r="F7706" s="1" t="s">
        <v>13</v>
      </c>
    </row>
    <row r="7707" spans="1:6" ht="30" customHeight="1" x14ac:dyDescent="0.25">
      <c r="A7707" s="1" t="s">
        <v>15404</v>
      </c>
      <c r="B7707" s="1" t="str">
        <f>"9781118438831"</f>
        <v>9781118438831</v>
      </c>
      <c r="C7707" s="1" t="s">
        <v>11</v>
      </c>
      <c r="D7707" s="2">
        <v>41831</v>
      </c>
      <c r="E7707" s="1" t="s">
        <v>15405</v>
      </c>
      <c r="F7707" s="1" t="s">
        <v>234</v>
      </c>
    </row>
    <row r="7708" spans="1:6" ht="30" customHeight="1" x14ac:dyDescent="0.25">
      <c r="A7708" s="1" t="s">
        <v>15406</v>
      </c>
      <c r="B7708" s="1" t="str">
        <f>"9781907830457"</f>
        <v>9781907830457</v>
      </c>
      <c r="C7708" s="1" t="s">
        <v>11198</v>
      </c>
      <c r="D7708" s="2">
        <v>41848</v>
      </c>
      <c r="E7708" s="1" t="s">
        <v>11232</v>
      </c>
      <c r="F7708" s="1" t="s">
        <v>234</v>
      </c>
    </row>
    <row r="7709" spans="1:6" ht="30" customHeight="1" x14ac:dyDescent="0.25">
      <c r="A7709" s="1" t="s">
        <v>15407</v>
      </c>
      <c r="B7709" s="1" t="str">
        <f>"9789221287728"</f>
        <v>9789221287728</v>
      </c>
      <c r="C7709" s="1" t="s">
        <v>8374</v>
      </c>
      <c r="D7709" s="2">
        <v>41820</v>
      </c>
      <c r="E7709" s="1" t="s">
        <v>15409</v>
      </c>
      <c r="F7709" s="1" t="s">
        <v>95</v>
      </c>
    </row>
    <row r="7710" spans="1:6" ht="30" customHeight="1" x14ac:dyDescent="0.25">
      <c r="A7710" s="1" t="s">
        <v>15410</v>
      </c>
      <c r="B7710" s="1" t="str">
        <f>"9789240692251"</f>
        <v>9789240692251</v>
      </c>
      <c r="C7710" s="1" t="s">
        <v>1981</v>
      </c>
      <c r="D7710" s="2">
        <v>41802</v>
      </c>
      <c r="E7710" s="1" t="s">
        <v>3256</v>
      </c>
      <c r="F7710" s="1" t="s">
        <v>268</v>
      </c>
    </row>
    <row r="7711" spans="1:6" ht="30" customHeight="1" x14ac:dyDescent="0.25">
      <c r="A7711" s="1" t="s">
        <v>15411</v>
      </c>
      <c r="B7711" s="1" t="str">
        <f>"9789240692541"</f>
        <v>9789240692541</v>
      </c>
      <c r="C7711" s="1" t="s">
        <v>1981</v>
      </c>
      <c r="D7711" s="2">
        <v>41773</v>
      </c>
      <c r="E7711" s="1" t="s">
        <v>13994</v>
      </c>
      <c r="F7711" s="1" t="s">
        <v>137</v>
      </c>
    </row>
    <row r="7712" spans="1:6" ht="30" customHeight="1" x14ac:dyDescent="0.25">
      <c r="A7712" s="1" t="s">
        <v>15412</v>
      </c>
      <c r="B7712" s="1" t="str">
        <f>"9780826110282"</f>
        <v>9780826110282</v>
      </c>
      <c r="C7712" s="1" t="s">
        <v>2339</v>
      </c>
      <c r="D7712" s="2">
        <v>41848</v>
      </c>
      <c r="E7712" s="1" t="s">
        <v>15413</v>
      </c>
      <c r="F7712" s="1" t="s">
        <v>13</v>
      </c>
    </row>
    <row r="7713" spans="1:6" ht="30" customHeight="1" x14ac:dyDescent="0.25">
      <c r="A7713" s="1" t="s">
        <v>15414</v>
      </c>
      <c r="B7713" s="1" t="str">
        <f>"9780838919569"</f>
        <v>9780838919569</v>
      </c>
      <c r="C7713" s="1" t="s">
        <v>14215</v>
      </c>
      <c r="D7713" s="2">
        <v>41640</v>
      </c>
      <c r="E7713" s="1" t="s">
        <v>15415</v>
      </c>
      <c r="F7713" s="1" t="s">
        <v>15294</v>
      </c>
    </row>
    <row r="7714" spans="1:6" ht="30" customHeight="1" x14ac:dyDescent="0.25">
      <c r="A7714" s="1" t="s">
        <v>15416</v>
      </c>
      <c r="B7714" s="1" t="str">
        <f>"9781118298664"</f>
        <v>9781118298664</v>
      </c>
      <c r="C7714" s="1" t="s">
        <v>65</v>
      </c>
      <c r="D7714" s="2">
        <v>41834</v>
      </c>
      <c r="E7714" s="1" t="s">
        <v>15417</v>
      </c>
      <c r="F7714" s="1" t="s">
        <v>13</v>
      </c>
    </row>
    <row r="7715" spans="1:6" ht="30" customHeight="1" x14ac:dyDescent="0.25">
      <c r="A7715" s="1" t="s">
        <v>15418</v>
      </c>
      <c r="B7715" s="1" t="str">
        <f>"9780821444719"</f>
        <v>9780821444719</v>
      </c>
      <c r="C7715" s="1" t="s">
        <v>15419</v>
      </c>
      <c r="D7715" s="2">
        <v>41593</v>
      </c>
      <c r="E7715" s="1" t="s">
        <v>15420</v>
      </c>
      <c r="F7715" s="1" t="s">
        <v>33</v>
      </c>
    </row>
    <row r="7716" spans="1:6" ht="30" customHeight="1" x14ac:dyDescent="0.25">
      <c r="A7716" s="1" t="s">
        <v>15421</v>
      </c>
      <c r="B7716" s="1" t="str">
        <f>"9780821444535"</f>
        <v>9780821444535</v>
      </c>
      <c r="C7716" s="1" t="s">
        <v>15419</v>
      </c>
      <c r="D7716" s="2">
        <v>41470</v>
      </c>
      <c r="E7716" s="1" t="s">
        <v>23</v>
      </c>
      <c r="F7716" s="1" t="s">
        <v>14595</v>
      </c>
    </row>
    <row r="7717" spans="1:6" ht="30" customHeight="1" x14ac:dyDescent="0.25">
      <c r="A7717" s="1" t="s">
        <v>15422</v>
      </c>
      <c r="B7717" s="1" t="str">
        <f>"9780821444733"</f>
        <v>9780821444733</v>
      </c>
      <c r="C7717" s="1" t="s">
        <v>15419</v>
      </c>
      <c r="D7717" s="2">
        <v>41569</v>
      </c>
      <c r="E7717" s="1" t="s">
        <v>15423</v>
      </c>
      <c r="F7717" s="1" t="s">
        <v>148</v>
      </c>
    </row>
    <row r="7718" spans="1:6" ht="30" customHeight="1" x14ac:dyDescent="0.25">
      <c r="A7718" s="1" t="s">
        <v>15424</v>
      </c>
      <c r="B7718" s="1" t="str">
        <f>"9780821443026"</f>
        <v>9780821443026</v>
      </c>
      <c r="C7718" s="1" t="s">
        <v>15419</v>
      </c>
      <c r="D7718" s="2">
        <v>39742</v>
      </c>
      <c r="E7718" s="1" t="s">
        <v>15425</v>
      </c>
      <c r="F7718" s="1" t="s">
        <v>70</v>
      </c>
    </row>
    <row r="7719" spans="1:6" ht="30" customHeight="1" x14ac:dyDescent="0.25">
      <c r="A7719" s="1" t="s">
        <v>15426</v>
      </c>
      <c r="B7719" s="1" t="str">
        <f>"9780821444665"</f>
        <v>9780821444665</v>
      </c>
      <c r="C7719" s="1" t="s">
        <v>15419</v>
      </c>
      <c r="D7719" s="2">
        <v>41593</v>
      </c>
      <c r="E7719" s="1" t="s">
        <v>15427</v>
      </c>
      <c r="F7719" s="1" t="s">
        <v>30</v>
      </c>
    </row>
    <row r="7720" spans="1:6" ht="30" customHeight="1" x14ac:dyDescent="0.25">
      <c r="A7720" s="1" t="s">
        <v>15428</v>
      </c>
      <c r="B7720" s="1" t="str">
        <f>"9780821442326"</f>
        <v>9780821442326</v>
      </c>
      <c r="C7720" s="1" t="s">
        <v>15419</v>
      </c>
      <c r="D7720" s="2">
        <v>38961</v>
      </c>
      <c r="E7720" s="1" t="s">
        <v>15429</v>
      </c>
      <c r="F7720" s="1" t="s">
        <v>13</v>
      </c>
    </row>
    <row r="7721" spans="1:6" ht="30" customHeight="1" x14ac:dyDescent="0.25">
      <c r="A7721" s="1" t="s">
        <v>15430</v>
      </c>
      <c r="B7721" s="1" t="str">
        <f>"9780821443675"</f>
        <v>9780821443675</v>
      </c>
      <c r="C7721" s="1" t="s">
        <v>15419</v>
      </c>
      <c r="D7721" s="2">
        <v>40658</v>
      </c>
      <c r="E7721" s="1" t="s">
        <v>15431</v>
      </c>
      <c r="F7721" s="1" t="s">
        <v>95</v>
      </c>
    </row>
    <row r="7722" spans="1:6" ht="30" customHeight="1" x14ac:dyDescent="0.25">
      <c r="A7722" s="1" t="s">
        <v>15432</v>
      </c>
      <c r="B7722" s="1" t="str">
        <f>"9780871953575"</f>
        <v>9780871953575</v>
      </c>
      <c r="C7722" s="1" t="s">
        <v>15433</v>
      </c>
      <c r="D7722" s="2">
        <v>41518</v>
      </c>
      <c r="E7722" s="1" t="s">
        <v>15434</v>
      </c>
      <c r="F7722" s="1" t="s">
        <v>13</v>
      </c>
    </row>
    <row r="7723" spans="1:6" ht="30" customHeight="1" x14ac:dyDescent="0.25">
      <c r="A7723" s="1" t="s">
        <v>15435</v>
      </c>
      <c r="B7723" s="1" t="str">
        <f>"9789004273863"</f>
        <v>9789004273863</v>
      </c>
      <c r="C7723" s="1" t="s">
        <v>906</v>
      </c>
      <c r="D7723" s="2">
        <v>41851</v>
      </c>
      <c r="E7723" s="1" t="s">
        <v>15436</v>
      </c>
      <c r="F7723" s="1" t="s">
        <v>13</v>
      </c>
    </row>
    <row r="7724" spans="1:6" ht="30" customHeight="1" x14ac:dyDescent="0.25">
      <c r="A7724" s="1" t="s">
        <v>15437</v>
      </c>
      <c r="B7724" s="1" t="str">
        <f>"9783527665242"</f>
        <v>9783527665242</v>
      </c>
      <c r="C7724" s="1" t="s">
        <v>65</v>
      </c>
      <c r="D7724" s="2">
        <v>41836</v>
      </c>
      <c r="E7724" s="1" t="s">
        <v>15438</v>
      </c>
      <c r="F7724" s="1" t="s">
        <v>137</v>
      </c>
    </row>
    <row r="7725" spans="1:6" ht="30" customHeight="1" x14ac:dyDescent="0.25">
      <c r="A7725" s="1" t="s">
        <v>15439</v>
      </c>
      <c r="B7725" s="1" t="str">
        <f>"9780833086686"</f>
        <v>9780833086686</v>
      </c>
      <c r="C7725" s="1" t="s">
        <v>516</v>
      </c>
      <c r="D7725" s="2">
        <v>41813</v>
      </c>
      <c r="E7725" s="1" t="s">
        <v>15440</v>
      </c>
      <c r="F7725" s="1" t="s">
        <v>158</v>
      </c>
    </row>
    <row r="7726" spans="1:6" ht="30" customHeight="1" x14ac:dyDescent="0.25">
      <c r="A7726" s="1" t="s">
        <v>15441</v>
      </c>
      <c r="B7726" s="1" t="str">
        <f>"9781472411891"</f>
        <v>9781472411891</v>
      </c>
      <c r="C7726" s="1" t="s">
        <v>68</v>
      </c>
      <c r="D7726" s="2">
        <v>41910</v>
      </c>
      <c r="E7726" s="1" t="s">
        <v>15442</v>
      </c>
      <c r="F7726" s="1" t="s">
        <v>87</v>
      </c>
    </row>
    <row r="7727" spans="1:6" ht="30" customHeight="1" x14ac:dyDescent="0.25">
      <c r="A7727" s="1" t="s">
        <v>15443</v>
      </c>
      <c r="B7727" s="1" t="str">
        <f>"9780826134684"</f>
        <v>9780826134684</v>
      </c>
      <c r="C7727" s="1" t="s">
        <v>2339</v>
      </c>
      <c r="D7727" s="2">
        <v>41879</v>
      </c>
      <c r="E7727" s="1" t="s">
        <v>15444</v>
      </c>
      <c r="F7727" s="1" t="s">
        <v>126</v>
      </c>
    </row>
    <row r="7728" spans="1:6" ht="30" customHeight="1" x14ac:dyDescent="0.25">
      <c r="A7728" s="1" t="s">
        <v>15445</v>
      </c>
      <c r="B7728" s="1" t="str">
        <f>"9780826134660"</f>
        <v>9780826134660</v>
      </c>
      <c r="C7728" s="1" t="s">
        <v>2339</v>
      </c>
      <c r="D7728" s="2">
        <v>41879</v>
      </c>
      <c r="E7728" s="1" t="s">
        <v>15446</v>
      </c>
      <c r="F7728" s="1" t="s">
        <v>126</v>
      </c>
    </row>
    <row r="7729" spans="1:6" ht="30" customHeight="1" x14ac:dyDescent="0.25">
      <c r="A7729" s="1" t="s">
        <v>15447</v>
      </c>
      <c r="B7729" s="1" t="str">
        <f>"9781118448373"</f>
        <v>9781118448373</v>
      </c>
      <c r="C7729" s="1" t="s">
        <v>65</v>
      </c>
      <c r="D7729" s="2">
        <v>41842</v>
      </c>
      <c r="E7729" s="1" t="s">
        <v>15448</v>
      </c>
      <c r="F7729" s="1" t="s">
        <v>30</v>
      </c>
    </row>
    <row r="7730" spans="1:6" ht="30" customHeight="1" x14ac:dyDescent="0.25">
      <c r="A7730" s="1" t="s">
        <v>15449</v>
      </c>
      <c r="B7730" s="1" t="str">
        <f>"9781118889626"</f>
        <v>9781118889626</v>
      </c>
      <c r="C7730" s="1" t="s">
        <v>65</v>
      </c>
      <c r="D7730" s="2">
        <v>41841</v>
      </c>
      <c r="E7730" s="1" t="s">
        <v>15450</v>
      </c>
      <c r="F7730" s="1" t="s">
        <v>13</v>
      </c>
    </row>
    <row r="7731" spans="1:6" ht="30" customHeight="1" x14ac:dyDescent="0.25">
      <c r="A7731" s="1" t="s">
        <v>15451</v>
      </c>
      <c r="B7731" s="1" t="str">
        <f>"9781783507191"</f>
        <v>9781783507191</v>
      </c>
      <c r="C7731" s="1" t="s">
        <v>971</v>
      </c>
      <c r="D7731" s="2">
        <v>41788</v>
      </c>
      <c r="E7731" s="1" t="s">
        <v>15452</v>
      </c>
      <c r="F7731" s="1" t="s">
        <v>95</v>
      </c>
    </row>
    <row r="7732" spans="1:6" ht="30" customHeight="1" x14ac:dyDescent="0.25">
      <c r="A7732" s="1" t="s">
        <v>15453</v>
      </c>
      <c r="B7732" s="1" t="str">
        <f>"9781784411992"</f>
        <v>9781784411992</v>
      </c>
      <c r="C7732" s="1" t="s">
        <v>971</v>
      </c>
      <c r="D7732" s="2">
        <v>41803</v>
      </c>
      <c r="E7732" s="1" t="s">
        <v>15454</v>
      </c>
      <c r="F7732" s="1" t="s">
        <v>95</v>
      </c>
    </row>
    <row r="7733" spans="1:6" ht="30" customHeight="1" x14ac:dyDescent="0.25">
      <c r="A7733" s="1" t="s">
        <v>15455</v>
      </c>
      <c r="B7733" s="1" t="str">
        <f>"9781443864473"</f>
        <v>9781443864473</v>
      </c>
      <c r="C7733" s="1" t="s">
        <v>12699</v>
      </c>
      <c r="D7733" s="2">
        <v>41518</v>
      </c>
      <c r="E7733" s="1" t="s">
        <v>15456</v>
      </c>
      <c r="F7733" s="1" t="s">
        <v>13</v>
      </c>
    </row>
    <row r="7734" spans="1:6" ht="30" customHeight="1" x14ac:dyDescent="0.25">
      <c r="A7734" s="1" t="s">
        <v>15457</v>
      </c>
      <c r="B7734" s="1" t="str">
        <f>"9781118925447"</f>
        <v>9781118925447</v>
      </c>
      <c r="C7734" s="1" t="s">
        <v>65</v>
      </c>
      <c r="D7734" s="2">
        <v>41843</v>
      </c>
      <c r="E7734" s="1" t="s">
        <v>15458</v>
      </c>
      <c r="F7734" s="1" t="s">
        <v>13</v>
      </c>
    </row>
    <row r="7735" spans="1:6" ht="30" customHeight="1" x14ac:dyDescent="0.25">
      <c r="A7735" s="1" t="s">
        <v>15459</v>
      </c>
      <c r="B7735" s="1" t="str">
        <f>"9783527649716"</f>
        <v>9783527649716</v>
      </c>
      <c r="C7735" s="1" t="s">
        <v>65</v>
      </c>
      <c r="D7735" s="2">
        <v>41842</v>
      </c>
      <c r="E7735" s="1" t="s">
        <v>15460</v>
      </c>
      <c r="F7735" s="1" t="s">
        <v>15461</v>
      </c>
    </row>
    <row r="7736" spans="1:6" ht="30" customHeight="1" x14ac:dyDescent="0.25">
      <c r="A7736" s="1" t="s">
        <v>15462</v>
      </c>
      <c r="B7736" s="1" t="str">
        <f>"9783527676972"</f>
        <v>9783527676972</v>
      </c>
      <c r="C7736" s="1" t="s">
        <v>65</v>
      </c>
      <c r="D7736" s="2">
        <v>41842</v>
      </c>
      <c r="E7736" s="1" t="s">
        <v>15463</v>
      </c>
      <c r="F7736" s="1" t="s">
        <v>13</v>
      </c>
    </row>
    <row r="7737" spans="1:6" ht="30" customHeight="1" x14ac:dyDescent="0.25">
      <c r="A7737" s="1" t="s">
        <v>15464</v>
      </c>
      <c r="B7737" s="1" t="str">
        <f>"9781782412267"</f>
        <v>9781782412267</v>
      </c>
      <c r="C7737" s="1" t="s">
        <v>68</v>
      </c>
      <c r="D7737" s="2">
        <v>41856</v>
      </c>
      <c r="E7737" s="1" t="s">
        <v>10120</v>
      </c>
      <c r="F7737" s="1" t="s">
        <v>291</v>
      </c>
    </row>
    <row r="7738" spans="1:6" ht="30" customHeight="1" x14ac:dyDescent="0.25">
      <c r="A7738" s="1" t="s">
        <v>15465</v>
      </c>
      <c r="B7738" s="1" t="str">
        <f>"9781782413356"</f>
        <v>9781782413356</v>
      </c>
      <c r="C7738" s="1" t="s">
        <v>8994</v>
      </c>
      <c r="D7738" s="2">
        <v>41851</v>
      </c>
      <c r="E7738" s="1" t="s">
        <v>15466</v>
      </c>
      <c r="F7738" s="1" t="s">
        <v>13</v>
      </c>
    </row>
    <row r="7739" spans="1:6" ht="30" customHeight="1" x14ac:dyDescent="0.25">
      <c r="A7739" s="1" t="s">
        <v>15467</v>
      </c>
      <c r="B7739" s="1" t="str">
        <f>"9781443865128"</f>
        <v>9781443865128</v>
      </c>
      <c r="C7739" s="1" t="s">
        <v>12699</v>
      </c>
      <c r="D7739" s="2">
        <v>41456</v>
      </c>
      <c r="E7739" s="1" t="s">
        <v>15468</v>
      </c>
      <c r="F7739" s="1" t="s">
        <v>13</v>
      </c>
    </row>
    <row r="7740" spans="1:6" ht="30" customHeight="1" x14ac:dyDescent="0.25">
      <c r="A7740" s="1" t="s">
        <v>15469</v>
      </c>
      <c r="B7740" s="1" t="str">
        <f>"9781118543597"</f>
        <v>9781118543597</v>
      </c>
      <c r="C7740" s="1" t="s">
        <v>65</v>
      </c>
      <c r="D7740" s="2">
        <v>41844</v>
      </c>
      <c r="E7740" s="1" t="s">
        <v>15470</v>
      </c>
      <c r="F7740" s="1" t="s">
        <v>30</v>
      </c>
    </row>
    <row r="7741" spans="1:6" ht="30" customHeight="1" x14ac:dyDescent="0.25">
      <c r="A7741" s="1" t="s">
        <v>15471</v>
      </c>
      <c r="B7741" s="1" t="str">
        <f>"9781846422874"</f>
        <v>9781846422874</v>
      </c>
      <c r="C7741" s="1" t="s">
        <v>2387</v>
      </c>
      <c r="D7741" s="2">
        <v>37087</v>
      </c>
      <c r="E7741" s="1" t="s">
        <v>15472</v>
      </c>
      <c r="F7741" s="1" t="s">
        <v>13</v>
      </c>
    </row>
    <row r="7742" spans="1:6" ht="30" customHeight="1" x14ac:dyDescent="0.25">
      <c r="A7742" s="1" t="s">
        <v>15473</v>
      </c>
      <c r="B7742" s="1" t="str">
        <f>"9780826134646"</f>
        <v>9780826134646</v>
      </c>
      <c r="C7742" s="1" t="s">
        <v>2339</v>
      </c>
      <c r="D7742" s="2">
        <v>41879</v>
      </c>
      <c r="E7742" s="1" t="s">
        <v>15444</v>
      </c>
      <c r="F7742" s="1" t="s">
        <v>126</v>
      </c>
    </row>
    <row r="7743" spans="1:6" ht="30" customHeight="1" x14ac:dyDescent="0.25">
      <c r="A7743" s="1" t="s">
        <v>15474</v>
      </c>
      <c r="B7743" s="1" t="str">
        <f>"9781922084538"</f>
        <v>9781922084538</v>
      </c>
      <c r="C7743" s="1" t="s">
        <v>10888</v>
      </c>
      <c r="D7743" s="2">
        <v>41848</v>
      </c>
      <c r="E7743" s="1" t="s">
        <v>10889</v>
      </c>
      <c r="F7743" s="1" t="s">
        <v>30</v>
      </c>
    </row>
    <row r="7744" spans="1:6" ht="30" customHeight="1" x14ac:dyDescent="0.25">
      <c r="A7744" s="1" t="s">
        <v>4606</v>
      </c>
      <c r="B7744" s="1" t="str">
        <f>"9781118519417"</f>
        <v>9781118519417</v>
      </c>
      <c r="C7744" s="1" t="s">
        <v>65</v>
      </c>
      <c r="D7744" s="2">
        <v>41848</v>
      </c>
      <c r="E7744" s="1" t="s">
        <v>4607</v>
      </c>
      <c r="F7744" s="1" t="s">
        <v>70</v>
      </c>
    </row>
    <row r="7745" spans="1:6" ht="30" customHeight="1" x14ac:dyDescent="0.25">
      <c r="A7745" s="1" t="s">
        <v>15475</v>
      </c>
      <c r="B7745" s="1" t="str">
        <f>"9783527679379"</f>
        <v>9783527679379</v>
      </c>
      <c r="C7745" s="1" t="s">
        <v>65</v>
      </c>
      <c r="D7745" s="2">
        <v>41848</v>
      </c>
      <c r="E7745" s="1" t="s">
        <v>15476</v>
      </c>
      <c r="F7745" s="1" t="s">
        <v>137</v>
      </c>
    </row>
    <row r="7746" spans="1:6" ht="30" customHeight="1" x14ac:dyDescent="0.25">
      <c r="A7746" s="1" t="s">
        <v>15477</v>
      </c>
      <c r="B7746" s="1" t="str">
        <f>"9780803640818"</f>
        <v>9780803640818</v>
      </c>
      <c r="C7746" s="1" t="s">
        <v>15038</v>
      </c>
      <c r="D7746" s="2">
        <v>41849</v>
      </c>
      <c r="E7746" s="1" t="s">
        <v>15478</v>
      </c>
      <c r="F7746" s="1" t="s">
        <v>13</v>
      </c>
    </row>
    <row r="7747" spans="1:6" ht="30" customHeight="1" x14ac:dyDescent="0.25">
      <c r="A7747" s="1" t="s">
        <v>15479</v>
      </c>
      <c r="B7747" s="1" t="str">
        <f>"9780803640801"</f>
        <v>9780803640801</v>
      </c>
      <c r="C7747" s="1" t="s">
        <v>15038</v>
      </c>
      <c r="D7747" s="2">
        <v>41857</v>
      </c>
      <c r="E7747" s="1" t="s">
        <v>15480</v>
      </c>
      <c r="F7747" s="1" t="s">
        <v>13</v>
      </c>
    </row>
    <row r="7748" spans="1:6" ht="30" customHeight="1" x14ac:dyDescent="0.25">
      <c r="A7748" s="1" t="s">
        <v>15481</v>
      </c>
      <c r="B7748" s="1" t="str">
        <f>"9780803643901"</f>
        <v>9780803643901</v>
      </c>
      <c r="C7748" s="1" t="s">
        <v>15038</v>
      </c>
      <c r="D7748" s="2">
        <v>41862</v>
      </c>
      <c r="E7748" s="1" t="s">
        <v>15482</v>
      </c>
      <c r="F7748" s="1" t="s">
        <v>2073</v>
      </c>
    </row>
    <row r="7749" spans="1:6" ht="30" customHeight="1" x14ac:dyDescent="0.25">
      <c r="A7749" s="1" t="s">
        <v>15483</v>
      </c>
      <c r="B7749" s="1" t="str">
        <f>"9781464802621"</f>
        <v>9781464802621</v>
      </c>
      <c r="C7749" s="1" t="s">
        <v>6702</v>
      </c>
      <c r="D7749" s="2">
        <v>41640</v>
      </c>
      <c r="E7749" s="1" t="s">
        <v>15484</v>
      </c>
      <c r="F7749" s="1" t="s">
        <v>30</v>
      </c>
    </row>
    <row r="7750" spans="1:6" ht="30" customHeight="1" x14ac:dyDescent="0.25">
      <c r="A7750" s="1" t="s">
        <v>15485</v>
      </c>
      <c r="B7750" s="1" t="str">
        <f>"9781464802980"</f>
        <v>9781464802980</v>
      </c>
      <c r="C7750" s="1" t="s">
        <v>6702</v>
      </c>
      <c r="D7750" s="2">
        <v>41640</v>
      </c>
      <c r="E7750" s="1" t="s">
        <v>15486</v>
      </c>
      <c r="F7750" s="1" t="s">
        <v>30</v>
      </c>
    </row>
    <row r="7751" spans="1:6" ht="30" customHeight="1" x14ac:dyDescent="0.25">
      <c r="A7751" s="1" t="s">
        <v>15487</v>
      </c>
      <c r="B7751" s="1" t="str">
        <f>"9781118889596"</f>
        <v>9781118889596</v>
      </c>
      <c r="C7751" s="1" t="s">
        <v>11</v>
      </c>
      <c r="D7751" s="2">
        <v>41849</v>
      </c>
      <c r="E7751" s="1" t="s">
        <v>15488</v>
      </c>
      <c r="F7751" s="1" t="s">
        <v>137</v>
      </c>
    </row>
    <row r="7752" spans="1:6" ht="30" customHeight="1" x14ac:dyDescent="0.25">
      <c r="A7752" s="1" t="s">
        <v>15489</v>
      </c>
      <c r="B7752" s="1" t="str">
        <f>"9781118624210"</f>
        <v>9781118624210</v>
      </c>
      <c r="C7752" s="1" t="s">
        <v>65</v>
      </c>
      <c r="D7752" s="2">
        <v>41850</v>
      </c>
      <c r="E7752" s="1" t="s">
        <v>15490</v>
      </c>
      <c r="F7752" s="1" t="s">
        <v>13</v>
      </c>
    </row>
    <row r="7753" spans="1:6" ht="30" customHeight="1" x14ac:dyDescent="0.25">
      <c r="A7753" s="1" t="s">
        <v>15491</v>
      </c>
      <c r="B7753" s="1" t="str">
        <f>"9781782412151"</f>
        <v>9781782412151</v>
      </c>
      <c r="C7753" s="1" t="s">
        <v>68</v>
      </c>
      <c r="D7753" s="2">
        <v>41862</v>
      </c>
      <c r="E7753" s="1" t="s">
        <v>15492</v>
      </c>
      <c r="F7753" s="1" t="s">
        <v>291</v>
      </c>
    </row>
    <row r="7754" spans="1:6" ht="30" customHeight="1" x14ac:dyDescent="0.25">
      <c r="A7754" s="1" t="s">
        <v>15493</v>
      </c>
      <c r="B7754" s="1" t="str">
        <f>"9781782413240"</f>
        <v>9781782413240</v>
      </c>
      <c r="C7754" s="1" t="s">
        <v>8994</v>
      </c>
      <c r="D7754" s="2">
        <v>41882</v>
      </c>
      <c r="E7754" s="1" t="s">
        <v>15494</v>
      </c>
      <c r="F7754" s="1" t="s">
        <v>13</v>
      </c>
    </row>
    <row r="7755" spans="1:6" ht="30" customHeight="1" x14ac:dyDescent="0.25">
      <c r="A7755" s="1" t="s">
        <v>15495</v>
      </c>
      <c r="B7755" s="1" t="str">
        <f>"9781118618400"</f>
        <v>9781118618400</v>
      </c>
      <c r="C7755" s="1" t="s">
        <v>65</v>
      </c>
      <c r="D7755" s="2">
        <v>41852</v>
      </c>
      <c r="E7755" s="1" t="s">
        <v>15496</v>
      </c>
      <c r="F7755" s="1" t="s">
        <v>13</v>
      </c>
    </row>
    <row r="7756" spans="1:6" ht="30" customHeight="1" x14ac:dyDescent="0.25">
      <c r="A7756" s="1" t="s">
        <v>15497</v>
      </c>
      <c r="B7756" s="1" t="str">
        <f>"9781846422621"</f>
        <v>9781846422621</v>
      </c>
      <c r="C7756" s="1" t="s">
        <v>2387</v>
      </c>
      <c r="D7756" s="2">
        <v>36693</v>
      </c>
      <c r="E7756" s="1" t="s">
        <v>15498</v>
      </c>
      <c r="F7756" s="1" t="s">
        <v>176</v>
      </c>
    </row>
    <row r="7757" spans="1:6" ht="30" customHeight="1" x14ac:dyDescent="0.25">
      <c r="A7757" s="1" t="s">
        <v>15499</v>
      </c>
      <c r="B7757" s="1" t="str">
        <f>"9781846426988"</f>
        <v>9781846426988</v>
      </c>
      <c r="C7757" s="1" t="s">
        <v>2387</v>
      </c>
      <c r="D7757" s="2">
        <v>36831</v>
      </c>
      <c r="E7757" s="1" t="s">
        <v>2468</v>
      </c>
      <c r="F7757" s="1" t="s">
        <v>13</v>
      </c>
    </row>
    <row r="7758" spans="1:6" ht="30" customHeight="1" x14ac:dyDescent="0.25">
      <c r="A7758" s="1" t="s">
        <v>15500</v>
      </c>
      <c r="B7758" s="1" t="str">
        <f>"9781846426995"</f>
        <v>9781846426995</v>
      </c>
      <c r="C7758" s="1" t="s">
        <v>2387</v>
      </c>
      <c r="D7758" s="2">
        <v>36875</v>
      </c>
      <c r="E7758" s="1" t="s">
        <v>15501</v>
      </c>
      <c r="F7758" s="1" t="s">
        <v>13</v>
      </c>
    </row>
    <row r="7759" spans="1:6" ht="30" customHeight="1" x14ac:dyDescent="0.25">
      <c r="A7759" s="1" t="s">
        <v>15502</v>
      </c>
      <c r="B7759" s="1" t="str">
        <f>"9781118554692"</f>
        <v>9781118554692</v>
      </c>
      <c r="C7759" s="1" t="s">
        <v>65</v>
      </c>
      <c r="D7759" s="2">
        <v>41852</v>
      </c>
      <c r="E7759" s="1" t="s">
        <v>15503</v>
      </c>
      <c r="F7759" s="1" t="s">
        <v>137</v>
      </c>
    </row>
    <row r="7760" spans="1:6" ht="30" customHeight="1" x14ac:dyDescent="0.25">
      <c r="A7760" s="1" t="s">
        <v>15504</v>
      </c>
      <c r="B7760" s="1" t="str">
        <f>"9780826336415"</f>
        <v>9780826336415</v>
      </c>
      <c r="C7760" s="1" t="s">
        <v>12882</v>
      </c>
      <c r="D7760" s="2">
        <v>41866</v>
      </c>
      <c r="E7760" s="1" t="s">
        <v>15505</v>
      </c>
      <c r="F7760" s="1" t="s">
        <v>13</v>
      </c>
    </row>
    <row r="7761" spans="1:6" ht="30" customHeight="1" x14ac:dyDescent="0.25">
      <c r="A7761" s="1" t="s">
        <v>15506</v>
      </c>
      <c r="B7761" s="1" t="str">
        <f>"9780826339621"</f>
        <v>9780826339621</v>
      </c>
      <c r="C7761" s="1" t="s">
        <v>12882</v>
      </c>
      <c r="D7761" s="2">
        <v>41866</v>
      </c>
      <c r="E7761" s="1" t="s">
        <v>15505</v>
      </c>
      <c r="F7761" s="1" t="s">
        <v>137</v>
      </c>
    </row>
    <row r="7762" spans="1:6" ht="30" customHeight="1" x14ac:dyDescent="0.25">
      <c r="A7762" s="1" t="s">
        <v>15507</v>
      </c>
      <c r="B7762" s="1" t="str">
        <f>"9780826352156"</f>
        <v>9780826352156</v>
      </c>
      <c r="C7762" s="1" t="s">
        <v>12882</v>
      </c>
      <c r="D7762" s="2">
        <v>41927</v>
      </c>
      <c r="E7762" s="1" t="s">
        <v>15508</v>
      </c>
      <c r="F7762" s="1" t="s">
        <v>541</v>
      </c>
    </row>
    <row r="7763" spans="1:6" ht="30" customHeight="1" x14ac:dyDescent="0.25">
      <c r="A7763" s="1" t="s">
        <v>15509</v>
      </c>
      <c r="B7763" s="1" t="str">
        <f>"9781118657409"</f>
        <v>9781118657409</v>
      </c>
      <c r="C7763" s="1" t="s">
        <v>65</v>
      </c>
      <c r="D7763" s="2">
        <v>41855</v>
      </c>
      <c r="E7763" s="1" t="s">
        <v>13032</v>
      </c>
      <c r="F7763" s="1" t="s">
        <v>126</v>
      </c>
    </row>
    <row r="7764" spans="1:6" ht="30" customHeight="1" x14ac:dyDescent="0.25">
      <c r="A7764" s="1" t="s">
        <v>15510</v>
      </c>
      <c r="B7764" s="1" t="str">
        <f>"9783527682454"</f>
        <v>9783527682454</v>
      </c>
      <c r="C7764" s="1" t="s">
        <v>65</v>
      </c>
      <c r="D7764" s="2">
        <v>41855</v>
      </c>
      <c r="E7764" s="1" t="s">
        <v>15511</v>
      </c>
      <c r="F7764" s="1" t="s">
        <v>268</v>
      </c>
    </row>
    <row r="7765" spans="1:6" ht="30" customHeight="1" x14ac:dyDescent="0.25">
      <c r="A7765" s="1" t="s">
        <v>15512</v>
      </c>
      <c r="B7765" s="1" t="str">
        <f>"9780826127099"</f>
        <v>9780826127099</v>
      </c>
      <c r="C7765" s="1" t="s">
        <v>2339</v>
      </c>
      <c r="D7765" s="2">
        <v>41849</v>
      </c>
      <c r="E7765" s="1" t="s">
        <v>15513</v>
      </c>
      <c r="F7765" s="1" t="s">
        <v>126</v>
      </c>
    </row>
    <row r="7766" spans="1:6" ht="30" customHeight="1" x14ac:dyDescent="0.25">
      <c r="A7766" s="1" t="s">
        <v>15514</v>
      </c>
      <c r="B7766" s="1" t="str">
        <f>"9780826171276"</f>
        <v>9780826171276</v>
      </c>
      <c r="C7766" s="1" t="s">
        <v>2339</v>
      </c>
      <c r="D7766" s="2">
        <v>41879</v>
      </c>
      <c r="E7766" s="1" t="s">
        <v>15515</v>
      </c>
      <c r="F7766" s="1" t="s">
        <v>13</v>
      </c>
    </row>
    <row r="7767" spans="1:6" ht="30" customHeight="1" x14ac:dyDescent="0.25">
      <c r="A7767" s="1" t="s">
        <v>15516</v>
      </c>
      <c r="B7767" s="1" t="str">
        <f>"9781118914908"</f>
        <v>9781118914908</v>
      </c>
      <c r="C7767" s="1" t="s">
        <v>65</v>
      </c>
      <c r="D7767" s="2">
        <v>41856</v>
      </c>
      <c r="E7767" s="1" t="s">
        <v>15517</v>
      </c>
      <c r="F7767" s="1" t="s">
        <v>13</v>
      </c>
    </row>
    <row r="7768" spans="1:6" ht="30" customHeight="1" x14ac:dyDescent="0.25">
      <c r="A7768" s="1" t="s">
        <v>15518</v>
      </c>
      <c r="B7768" s="1" t="str">
        <f>"9781442234925"</f>
        <v>9781442234925</v>
      </c>
      <c r="C7768" s="1" t="s">
        <v>8723</v>
      </c>
      <c r="D7768" s="2">
        <v>41850</v>
      </c>
      <c r="E7768" s="1" t="s">
        <v>15519</v>
      </c>
      <c r="F7768" s="1" t="s">
        <v>13</v>
      </c>
    </row>
    <row r="7769" spans="1:6" ht="30" customHeight="1" x14ac:dyDescent="0.25">
      <c r="A7769" s="1" t="s">
        <v>15520</v>
      </c>
      <c r="B7769" s="1" t="str">
        <f>"9781118589915"</f>
        <v>9781118589915</v>
      </c>
      <c r="C7769" s="1" t="s">
        <v>65</v>
      </c>
      <c r="D7769" s="2">
        <v>41857</v>
      </c>
      <c r="E7769" s="1" t="s">
        <v>4605</v>
      </c>
      <c r="F7769" s="1" t="s">
        <v>13</v>
      </c>
    </row>
    <row r="7770" spans="1:6" ht="30" customHeight="1" x14ac:dyDescent="0.25">
      <c r="A7770" s="1" t="s">
        <v>15521</v>
      </c>
      <c r="B7770" s="1" t="str">
        <f>"9780821444429"</f>
        <v>9780821444429</v>
      </c>
      <c r="C7770" s="1" t="s">
        <v>15419</v>
      </c>
      <c r="D7770" s="2">
        <v>41164</v>
      </c>
      <c r="E7770" s="1" t="s">
        <v>15522</v>
      </c>
      <c r="F7770" s="1" t="s">
        <v>214</v>
      </c>
    </row>
    <row r="7771" spans="1:6" ht="30" customHeight="1" x14ac:dyDescent="0.25">
      <c r="A7771" s="1" t="s">
        <v>15523</v>
      </c>
      <c r="B7771" s="1" t="str">
        <f>"9781782413325"</f>
        <v>9781782413325</v>
      </c>
      <c r="C7771" s="1" t="s">
        <v>8994</v>
      </c>
      <c r="D7771" s="2">
        <v>41890</v>
      </c>
      <c r="E7771" s="1" t="s">
        <v>15524</v>
      </c>
      <c r="F7771" s="1" t="s">
        <v>13</v>
      </c>
    </row>
    <row r="7772" spans="1:6" ht="30" customHeight="1" x14ac:dyDescent="0.25">
      <c r="A7772" s="1" t="s">
        <v>15525</v>
      </c>
      <c r="B7772" s="1" t="str">
        <f>"9781617051524"</f>
        <v>9781617051524</v>
      </c>
      <c r="C7772" s="1" t="s">
        <v>2342</v>
      </c>
      <c r="D7772" s="2">
        <v>41879</v>
      </c>
      <c r="E7772" s="1" t="s">
        <v>15526</v>
      </c>
      <c r="F7772" s="1" t="s">
        <v>13</v>
      </c>
    </row>
    <row r="7773" spans="1:6" ht="30" customHeight="1" x14ac:dyDescent="0.25">
      <c r="A7773" s="1" t="s">
        <v>15527</v>
      </c>
      <c r="B7773" s="1" t="str">
        <f>"9780826161734"</f>
        <v>9780826161734</v>
      </c>
      <c r="C7773" s="1" t="s">
        <v>2339</v>
      </c>
      <c r="D7773" s="2">
        <v>41879</v>
      </c>
      <c r="E7773" s="1" t="s">
        <v>15528</v>
      </c>
      <c r="F7773" s="1" t="s">
        <v>30</v>
      </c>
    </row>
    <row r="7774" spans="1:6" ht="30" customHeight="1" x14ac:dyDescent="0.25">
      <c r="A7774" s="1" t="s">
        <v>15529</v>
      </c>
      <c r="B7774" s="1" t="str">
        <f>"9780231538046"</f>
        <v>9780231538046</v>
      </c>
      <c r="C7774" s="1" t="s">
        <v>11751</v>
      </c>
      <c r="D7774" s="2">
        <v>41905</v>
      </c>
      <c r="E7774" s="1" t="s">
        <v>15530</v>
      </c>
      <c r="F7774" s="1" t="s">
        <v>13</v>
      </c>
    </row>
    <row r="7775" spans="1:6" ht="30" customHeight="1" x14ac:dyDescent="0.25">
      <c r="A7775" s="1" t="s">
        <v>15531</v>
      </c>
      <c r="B7775" s="1" t="str">
        <f>"9781118257289"</f>
        <v>9781118257289</v>
      </c>
      <c r="C7775" s="1" t="s">
        <v>65</v>
      </c>
      <c r="D7775" s="2">
        <v>41851</v>
      </c>
      <c r="E7775" s="1" t="s">
        <v>15532</v>
      </c>
      <c r="F7775" s="1" t="s">
        <v>268</v>
      </c>
    </row>
    <row r="7776" spans="1:6" ht="30" customHeight="1" x14ac:dyDescent="0.25">
      <c r="A7776" s="1" t="s">
        <v>15533</v>
      </c>
      <c r="B7776" s="1" t="str">
        <f>"9781118302750"</f>
        <v>9781118302750</v>
      </c>
      <c r="C7776" s="1" t="s">
        <v>65</v>
      </c>
      <c r="D7776" s="2">
        <v>41850</v>
      </c>
      <c r="E7776" s="1" t="s">
        <v>15534</v>
      </c>
      <c r="F7776" s="1" t="s">
        <v>13</v>
      </c>
    </row>
    <row r="7777" spans="1:6" ht="30" customHeight="1" x14ac:dyDescent="0.25">
      <c r="A7777" s="1" t="s">
        <v>15535</v>
      </c>
      <c r="B7777" s="1" t="str">
        <f>"9781118496787"</f>
        <v>9781118496787</v>
      </c>
      <c r="C7777" s="1" t="s">
        <v>65</v>
      </c>
      <c r="D7777" s="2">
        <v>41858</v>
      </c>
      <c r="E7777" s="1" t="s">
        <v>15536</v>
      </c>
      <c r="F7777" s="1" t="s">
        <v>126</v>
      </c>
    </row>
    <row r="7778" spans="1:6" ht="30" customHeight="1" x14ac:dyDescent="0.25">
      <c r="A7778" s="1" t="s">
        <v>15537</v>
      </c>
      <c r="B7778" s="1" t="str">
        <f>"9781118767511"</f>
        <v>9781118767511</v>
      </c>
      <c r="C7778" s="1" t="s">
        <v>65</v>
      </c>
      <c r="D7778" s="2">
        <v>41862</v>
      </c>
      <c r="E7778" s="1" t="s">
        <v>15538</v>
      </c>
      <c r="F7778" s="1" t="s">
        <v>126</v>
      </c>
    </row>
    <row r="7779" spans="1:6" ht="30" customHeight="1" x14ac:dyDescent="0.25">
      <c r="A7779" s="1" t="s">
        <v>15539</v>
      </c>
      <c r="B7779" s="1" t="str">
        <f>"9781118907917"</f>
        <v>9781118907917</v>
      </c>
      <c r="C7779" s="1" t="s">
        <v>11</v>
      </c>
      <c r="D7779" s="2">
        <v>41858</v>
      </c>
      <c r="E7779" s="1" t="s">
        <v>15540</v>
      </c>
      <c r="F7779" s="1" t="s">
        <v>95</v>
      </c>
    </row>
    <row r="7780" spans="1:6" ht="30" customHeight="1" x14ac:dyDescent="0.25">
      <c r="A7780" s="1" t="s">
        <v>15541</v>
      </c>
      <c r="B7780" s="1" t="str">
        <f>"9781118773888"</f>
        <v>9781118773888</v>
      </c>
      <c r="C7780" s="1" t="s">
        <v>65</v>
      </c>
      <c r="D7780" s="2">
        <v>41870</v>
      </c>
      <c r="E7780" s="1" t="s">
        <v>15542</v>
      </c>
      <c r="F7780" s="1" t="s">
        <v>3875</v>
      </c>
    </row>
    <row r="7781" spans="1:6" ht="30" customHeight="1" x14ac:dyDescent="0.25">
      <c r="A7781" s="1" t="s">
        <v>15543</v>
      </c>
      <c r="B7781" s="1" t="str">
        <f>"9789814271196"</f>
        <v>9789814271196</v>
      </c>
      <c r="C7781" s="1" t="s">
        <v>881</v>
      </c>
      <c r="D7781" s="2">
        <v>40000</v>
      </c>
      <c r="E7781" s="1" t="s">
        <v>15544</v>
      </c>
      <c r="F7781" s="1" t="s">
        <v>15031</v>
      </c>
    </row>
    <row r="7782" spans="1:6" ht="30" customHeight="1" x14ac:dyDescent="0.25">
      <c r="A7782" s="1" t="s">
        <v>15545</v>
      </c>
      <c r="B7782" s="1" t="str">
        <f>"9783527676149"</f>
        <v>9783527676149</v>
      </c>
      <c r="C7782" s="1" t="s">
        <v>65</v>
      </c>
      <c r="D7782" s="2">
        <v>41862</v>
      </c>
      <c r="E7782" s="1" t="s">
        <v>15546</v>
      </c>
      <c r="F7782" s="1" t="s">
        <v>11460</v>
      </c>
    </row>
    <row r="7783" spans="1:6" ht="30" customHeight="1" x14ac:dyDescent="0.25">
      <c r="A7783" s="1" t="s">
        <v>15547</v>
      </c>
      <c r="B7783" s="1" t="str">
        <f>"9780761858027"</f>
        <v>9780761858027</v>
      </c>
      <c r="C7783" s="1" t="s">
        <v>7461</v>
      </c>
      <c r="D7783" s="2">
        <v>40893</v>
      </c>
      <c r="E7783" s="1" t="s">
        <v>15548</v>
      </c>
      <c r="F7783" s="1" t="s">
        <v>13</v>
      </c>
    </row>
    <row r="7784" spans="1:6" ht="30" customHeight="1" x14ac:dyDescent="0.25">
      <c r="A7784" s="1" t="s">
        <v>15549</v>
      </c>
      <c r="B7784" s="1" t="str">
        <f>"9781118437780"</f>
        <v>9781118437780</v>
      </c>
      <c r="C7784" s="1" t="s">
        <v>65</v>
      </c>
      <c r="D7784" s="2">
        <v>41864</v>
      </c>
      <c r="E7784" s="1" t="s">
        <v>15550</v>
      </c>
      <c r="F7784" s="1" t="s">
        <v>13</v>
      </c>
    </row>
    <row r="7785" spans="1:6" ht="30" customHeight="1" x14ac:dyDescent="0.25">
      <c r="A7785" s="1" t="s">
        <v>15551</v>
      </c>
      <c r="B7785" s="1" t="str">
        <f>"9781118455289"</f>
        <v>9781118455289</v>
      </c>
      <c r="C7785" s="1" t="s">
        <v>65</v>
      </c>
      <c r="D7785" s="2">
        <v>41865</v>
      </c>
      <c r="E7785" s="1" t="s">
        <v>15552</v>
      </c>
      <c r="F7785" s="1" t="s">
        <v>95</v>
      </c>
    </row>
    <row r="7786" spans="1:6" ht="30" customHeight="1" x14ac:dyDescent="0.25">
      <c r="A7786" s="1" t="s">
        <v>15553</v>
      </c>
      <c r="B7786" s="1" t="str">
        <f>"9781617051975"</f>
        <v>9781617051975</v>
      </c>
      <c r="C7786" s="1" t="s">
        <v>2342</v>
      </c>
      <c r="D7786" s="2">
        <v>41879</v>
      </c>
      <c r="E7786" s="1" t="s">
        <v>15554</v>
      </c>
      <c r="F7786" s="1" t="s">
        <v>13</v>
      </c>
    </row>
    <row r="7787" spans="1:6" ht="30" customHeight="1" x14ac:dyDescent="0.25">
      <c r="A7787" s="1" t="s">
        <v>15555</v>
      </c>
      <c r="B7787" s="1" t="str">
        <f>"9781909030411"</f>
        <v>9781909030411</v>
      </c>
      <c r="C7787" s="1" t="s">
        <v>14201</v>
      </c>
      <c r="D7787" s="2">
        <v>41816</v>
      </c>
      <c r="E7787" s="1" t="s">
        <v>15556</v>
      </c>
      <c r="F7787" s="1" t="s">
        <v>13</v>
      </c>
    </row>
    <row r="7788" spans="1:6" ht="30" customHeight="1" x14ac:dyDescent="0.25">
      <c r="A7788" s="1" t="s">
        <v>15557</v>
      </c>
      <c r="B7788" s="1" t="str">
        <f>"9789240693043"</f>
        <v>9789240693043</v>
      </c>
      <c r="C7788" s="1" t="s">
        <v>1981</v>
      </c>
      <c r="D7788" s="2">
        <v>41829</v>
      </c>
      <c r="E7788" s="1" t="s">
        <v>1981</v>
      </c>
      <c r="F7788" s="1" t="s">
        <v>362</v>
      </c>
    </row>
    <row r="7789" spans="1:6" ht="30" customHeight="1" x14ac:dyDescent="0.25">
      <c r="A7789" s="1" t="s">
        <v>15558</v>
      </c>
      <c r="B7789" s="1" t="str">
        <f>"9781906716646"</f>
        <v>9781906716646</v>
      </c>
      <c r="C7789" s="1" t="s">
        <v>15559</v>
      </c>
      <c r="D7789" s="2">
        <v>40129</v>
      </c>
      <c r="E7789" s="1" t="s">
        <v>15560</v>
      </c>
      <c r="F7789" s="1" t="s">
        <v>158</v>
      </c>
    </row>
    <row r="7790" spans="1:6" ht="30" customHeight="1" x14ac:dyDescent="0.25">
      <c r="A7790" s="1" t="s">
        <v>15561</v>
      </c>
      <c r="B7790" s="1" t="str">
        <f>"9789240690585"</f>
        <v>9789240690585</v>
      </c>
      <c r="C7790" s="1" t="s">
        <v>1981</v>
      </c>
      <c r="D7790" s="2">
        <v>41848</v>
      </c>
      <c r="E7790" s="1" t="s">
        <v>15562</v>
      </c>
      <c r="F7790" s="1" t="s">
        <v>6795</v>
      </c>
    </row>
    <row r="7791" spans="1:6" ht="30" customHeight="1" x14ac:dyDescent="0.25">
      <c r="A7791" s="1" t="s">
        <v>15563</v>
      </c>
      <c r="B7791" s="1" t="str">
        <f>"9781782412854"</f>
        <v>9781782412854</v>
      </c>
      <c r="C7791" s="1" t="s">
        <v>8994</v>
      </c>
      <c r="D7791" s="2">
        <v>41882</v>
      </c>
      <c r="E7791" s="1" t="s">
        <v>15564</v>
      </c>
      <c r="F7791" s="1" t="s">
        <v>148</v>
      </c>
    </row>
    <row r="7792" spans="1:6" ht="30" customHeight="1" x14ac:dyDescent="0.25">
      <c r="A7792" s="1" t="s">
        <v>15565</v>
      </c>
      <c r="B7792" s="1" t="str">
        <f>"9781782413080"</f>
        <v>9781782413080</v>
      </c>
      <c r="C7792" s="1" t="s">
        <v>68</v>
      </c>
      <c r="D7792" s="2">
        <v>41874</v>
      </c>
      <c r="E7792" s="1" t="s">
        <v>15566</v>
      </c>
      <c r="F7792" s="1" t="s">
        <v>33</v>
      </c>
    </row>
    <row r="7793" spans="1:6" ht="30" customHeight="1" x14ac:dyDescent="0.25">
      <c r="A7793" s="1" t="s">
        <v>15567</v>
      </c>
      <c r="B7793" s="1" t="str">
        <f>"9781118278659"</f>
        <v>9781118278659</v>
      </c>
      <c r="C7793" s="1" t="s">
        <v>65</v>
      </c>
      <c r="D7793" s="2">
        <v>41880</v>
      </c>
      <c r="E7793" s="1" t="s">
        <v>15568</v>
      </c>
      <c r="F7793" s="1" t="s">
        <v>7304</v>
      </c>
    </row>
    <row r="7794" spans="1:6" ht="30" customHeight="1" x14ac:dyDescent="0.25">
      <c r="A7794" s="1" t="s">
        <v>15569</v>
      </c>
      <c r="B7794" s="1" t="str">
        <f>"9781118419045"</f>
        <v>9781118419045</v>
      </c>
      <c r="C7794" s="1" t="s">
        <v>65</v>
      </c>
      <c r="D7794" s="2">
        <v>41872</v>
      </c>
      <c r="E7794" s="1" t="s">
        <v>15570</v>
      </c>
      <c r="F7794" s="1" t="s">
        <v>176</v>
      </c>
    </row>
    <row r="7795" spans="1:6" ht="30" customHeight="1" x14ac:dyDescent="0.25">
      <c r="A7795" s="1" t="s">
        <v>15571</v>
      </c>
      <c r="B7795" s="1" t="str">
        <f>"9781927327234"</f>
        <v>9781927327234</v>
      </c>
      <c r="C7795" s="1" t="s">
        <v>15572</v>
      </c>
      <c r="D7795" s="2">
        <v>40909</v>
      </c>
      <c r="E7795" s="1" t="s">
        <v>15573</v>
      </c>
      <c r="F7795" s="1" t="s">
        <v>13</v>
      </c>
    </row>
    <row r="7796" spans="1:6" ht="30" customHeight="1" x14ac:dyDescent="0.25">
      <c r="A7796" s="1" t="s">
        <v>15574</v>
      </c>
      <c r="B7796" s="1" t="str">
        <f>"9780804040372"</f>
        <v>9780804040372</v>
      </c>
      <c r="C7796" s="1" t="s">
        <v>15419</v>
      </c>
      <c r="D7796" s="2">
        <v>40071</v>
      </c>
      <c r="E7796" s="1" t="s">
        <v>15576</v>
      </c>
      <c r="F7796" s="1" t="s">
        <v>33</v>
      </c>
    </row>
    <row r="7797" spans="1:6" ht="30" customHeight="1" x14ac:dyDescent="0.25">
      <c r="A7797" s="1" t="s">
        <v>15577</v>
      </c>
      <c r="B7797" s="1" t="str">
        <f>"9780821444269"</f>
        <v>9780821444269</v>
      </c>
      <c r="C7797" s="1" t="s">
        <v>15419</v>
      </c>
      <c r="D7797" s="2">
        <v>40951</v>
      </c>
      <c r="E7797" s="1" t="s">
        <v>15578</v>
      </c>
      <c r="F7797" s="1" t="s">
        <v>70</v>
      </c>
    </row>
    <row r="7798" spans="1:6" ht="30" customHeight="1" x14ac:dyDescent="0.25">
      <c r="A7798" s="1" t="s">
        <v>15579</v>
      </c>
      <c r="B7798" s="1" t="str">
        <f>"9780896804456"</f>
        <v>9780896804456</v>
      </c>
      <c r="C7798" s="1" t="s">
        <v>15419</v>
      </c>
      <c r="D7798" s="2">
        <v>37922</v>
      </c>
      <c r="E7798" s="1" t="s">
        <v>15580</v>
      </c>
      <c r="F7798" s="1" t="s">
        <v>13</v>
      </c>
    </row>
    <row r="7799" spans="1:6" ht="30" customHeight="1" x14ac:dyDescent="0.25">
      <c r="A7799" s="1" t="s">
        <v>15581</v>
      </c>
      <c r="B7799" s="1" t="str">
        <f>"9780826169075"</f>
        <v>9780826169075</v>
      </c>
      <c r="C7799" s="1" t="s">
        <v>2339</v>
      </c>
      <c r="D7799" s="2">
        <v>41873</v>
      </c>
      <c r="E7799" s="1" t="s">
        <v>15582</v>
      </c>
      <c r="F7799" s="1" t="s">
        <v>13</v>
      </c>
    </row>
    <row r="7800" spans="1:6" ht="30" customHeight="1" x14ac:dyDescent="0.25">
      <c r="A7800" s="1" t="s">
        <v>15583</v>
      </c>
      <c r="B7800" s="1" t="str">
        <f>"9781472428141"</f>
        <v>9781472428141</v>
      </c>
      <c r="C7800" s="1" t="s">
        <v>68</v>
      </c>
      <c r="D7800" s="2">
        <v>41940</v>
      </c>
      <c r="E7800" s="1" t="s">
        <v>15584</v>
      </c>
      <c r="F7800" s="1" t="s">
        <v>13</v>
      </c>
    </row>
    <row r="7801" spans="1:6" ht="30" customHeight="1" x14ac:dyDescent="0.25">
      <c r="A7801" s="1" t="s">
        <v>15585</v>
      </c>
      <c r="B7801" s="1" t="str">
        <f>"9780826119889"</f>
        <v>9780826119889</v>
      </c>
      <c r="C7801" s="1" t="s">
        <v>2339</v>
      </c>
      <c r="D7801" s="2">
        <v>41908</v>
      </c>
      <c r="E7801" s="1" t="s">
        <v>15586</v>
      </c>
      <c r="F7801" s="1" t="s">
        <v>126</v>
      </c>
    </row>
    <row r="7802" spans="1:6" ht="30" customHeight="1" x14ac:dyDescent="0.25">
      <c r="A7802" s="1" t="s">
        <v>15587</v>
      </c>
      <c r="B7802" s="1" t="str">
        <f>"9781118510278"</f>
        <v>9781118510278</v>
      </c>
      <c r="C7802" s="1" t="s">
        <v>65</v>
      </c>
      <c r="D7802" s="2">
        <v>41876</v>
      </c>
      <c r="E7802" s="1" t="s">
        <v>15588</v>
      </c>
      <c r="F7802" s="1" t="s">
        <v>13</v>
      </c>
    </row>
    <row r="7803" spans="1:6" ht="30" customHeight="1" x14ac:dyDescent="0.25">
      <c r="A7803" s="1" t="s">
        <v>15589</v>
      </c>
      <c r="B7803" s="1" t="str">
        <f>"9781118928639"</f>
        <v>9781118928639</v>
      </c>
      <c r="C7803" s="1" t="s">
        <v>65</v>
      </c>
      <c r="D7803" s="2">
        <v>41880</v>
      </c>
      <c r="E7803" s="1" t="s">
        <v>15590</v>
      </c>
      <c r="F7803" s="1" t="s">
        <v>158</v>
      </c>
    </row>
    <row r="7804" spans="1:6" ht="30" customHeight="1" x14ac:dyDescent="0.25">
      <c r="A7804" s="1" t="s">
        <v>15591</v>
      </c>
      <c r="B7804" s="1" t="str">
        <f>"9781782412717"</f>
        <v>9781782412717</v>
      </c>
      <c r="C7804" s="1" t="s">
        <v>68</v>
      </c>
      <c r="D7804" s="2">
        <v>41891</v>
      </c>
      <c r="E7804" s="1" t="s">
        <v>15592</v>
      </c>
      <c r="F7804" s="1" t="s">
        <v>13</v>
      </c>
    </row>
    <row r="7805" spans="1:6" ht="30" customHeight="1" x14ac:dyDescent="0.25">
      <c r="A7805" s="1" t="s">
        <v>15593</v>
      </c>
      <c r="B7805" s="1" t="str">
        <f>"9781782413066"</f>
        <v>9781782413066</v>
      </c>
      <c r="C7805" s="1" t="s">
        <v>68</v>
      </c>
      <c r="D7805" s="2">
        <v>41912</v>
      </c>
      <c r="E7805" s="1" t="s">
        <v>15594</v>
      </c>
      <c r="F7805" s="1" t="s">
        <v>13</v>
      </c>
    </row>
    <row r="7806" spans="1:6" ht="30" customHeight="1" x14ac:dyDescent="0.25">
      <c r="A7806" s="1" t="s">
        <v>15595</v>
      </c>
      <c r="B7806" s="1" t="str">
        <f>"9781782413257"</f>
        <v>9781782413257</v>
      </c>
      <c r="C7806" s="1" t="s">
        <v>68</v>
      </c>
      <c r="D7806" s="2">
        <v>41887</v>
      </c>
      <c r="E7806" s="1" t="s">
        <v>9611</v>
      </c>
      <c r="F7806" s="1" t="s">
        <v>13</v>
      </c>
    </row>
    <row r="7807" spans="1:6" ht="30" customHeight="1" x14ac:dyDescent="0.25">
      <c r="A7807" s="1" t="s">
        <v>15596</v>
      </c>
      <c r="B7807" s="1" t="str">
        <f>"9780803643956"</f>
        <v>9780803643956</v>
      </c>
      <c r="C7807" s="1" t="s">
        <v>15038</v>
      </c>
      <c r="D7807" s="2">
        <v>41869</v>
      </c>
      <c r="E7807" s="1" t="s">
        <v>15597</v>
      </c>
      <c r="F7807" s="1" t="s">
        <v>13</v>
      </c>
    </row>
    <row r="7808" spans="1:6" ht="30" customHeight="1" x14ac:dyDescent="0.25">
      <c r="A7808" s="1" t="s">
        <v>15598</v>
      </c>
      <c r="B7808" s="1" t="str">
        <f>"9780803643963"</f>
        <v>9780803643963</v>
      </c>
      <c r="C7808" s="1" t="s">
        <v>15038</v>
      </c>
      <c r="D7808" s="2">
        <v>41871</v>
      </c>
      <c r="E7808" s="1" t="s">
        <v>15597</v>
      </c>
      <c r="F7808" s="1" t="s">
        <v>13</v>
      </c>
    </row>
    <row r="7809" spans="1:6" ht="30" customHeight="1" x14ac:dyDescent="0.25">
      <c r="A7809" s="1" t="s">
        <v>15599</v>
      </c>
      <c r="B7809" s="1" t="str">
        <f>"9780803641099"</f>
        <v>9780803641099</v>
      </c>
      <c r="C7809" s="1" t="s">
        <v>15038</v>
      </c>
      <c r="D7809" s="2">
        <v>41879</v>
      </c>
      <c r="E7809" s="1" t="s">
        <v>15600</v>
      </c>
      <c r="F7809" s="1" t="s">
        <v>234</v>
      </c>
    </row>
    <row r="7810" spans="1:6" ht="30" customHeight="1" x14ac:dyDescent="0.25">
      <c r="A7810" s="1" t="s">
        <v>15601</v>
      </c>
      <c r="B7810" s="1" t="str">
        <f>"9780803640986"</f>
        <v>9780803640986</v>
      </c>
      <c r="C7810" s="1" t="s">
        <v>15038</v>
      </c>
      <c r="D7810" s="2">
        <v>41869</v>
      </c>
      <c r="E7810" s="1" t="s">
        <v>15602</v>
      </c>
      <c r="F7810" s="1" t="s">
        <v>13</v>
      </c>
    </row>
    <row r="7811" spans="1:6" ht="30" customHeight="1" x14ac:dyDescent="0.25">
      <c r="A7811" s="1" t="s">
        <v>15603</v>
      </c>
      <c r="B7811" s="1" t="str">
        <f>"9781442239906"</f>
        <v>9781442239906</v>
      </c>
      <c r="C7811" s="1" t="s">
        <v>8723</v>
      </c>
      <c r="D7811" s="2">
        <v>41871</v>
      </c>
      <c r="E7811" s="1" t="s">
        <v>15604</v>
      </c>
      <c r="F7811" s="1" t="s">
        <v>13</v>
      </c>
    </row>
    <row r="7812" spans="1:6" ht="30" customHeight="1" x14ac:dyDescent="0.25">
      <c r="A7812" s="1" t="s">
        <v>15605</v>
      </c>
      <c r="B7812" s="1" t="str">
        <f>"9781118646748"</f>
        <v>9781118646748</v>
      </c>
      <c r="C7812" s="1" t="s">
        <v>65</v>
      </c>
      <c r="D7812" s="2">
        <v>41880</v>
      </c>
      <c r="E7812" s="1" t="s">
        <v>15606</v>
      </c>
      <c r="F7812" s="1" t="s">
        <v>13</v>
      </c>
    </row>
    <row r="7813" spans="1:6" ht="30" customHeight="1" x14ac:dyDescent="0.25">
      <c r="A7813" s="1" t="s">
        <v>15607</v>
      </c>
      <c r="B7813" s="1" t="str">
        <f>"9780826122322"</f>
        <v>9780826122322</v>
      </c>
      <c r="C7813" s="1" t="s">
        <v>2339</v>
      </c>
      <c r="D7813" s="2">
        <v>41908</v>
      </c>
      <c r="E7813" s="1" t="s">
        <v>15608</v>
      </c>
      <c r="F7813" s="1" t="s">
        <v>13</v>
      </c>
    </row>
    <row r="7814" spans="1:6" ht="30" customHeight="1" x14ac:dyDescent="0.25">
      <c r="A7814" s="1" t="s">
        <v>15609</v>
      </c>
      <c r="B7814" s="1" t="str">
        <f>"9781118920558"</f>
        <v>9781118920558</v>
      </c>
      <c r="C7814" s="1" t="s">
        <v>65</v>
      </c>
      <c r="D7814" s="2">
        <v>41884</v>
      </c>
      <c r="E7814" s="1" t="s">
        <v>15610</v>
      </c>
      <c r="F7814" s="1" t="s">
        <v>15611</v>
      </c>
    </row>
    <row r="7815" spans="1:6" ht="30" customHeight="1" x14ac:dyDescent="0.25">
      <c r="A7815" s="1" t="s">
        <v>15612</v>
      </c>
      <c r="B7815" s="1" t="str">
        <f>"9781118521502"</f>
        <v>9781118521502</v>
      </c>
      <c r="C7815" s="1" t="s">
        <v>65</v>
      </c>
      <c r="D7815" s="2">
        <v>41884</v>
      </c>
      <c r="E7815" s="1" t="s">
        <v>15613</v>
      </c>
      <c r="F7815" s="1" t="s">
        <v>95</v>
      </c>
    </row>
    <row r="7816" spans="1:6" ht="30" customHeight="1" x14ac:dyDescent="0.25">
      <c r="A7816" s="1" t="s">
        <v>15614</v>
      </c>
      <c r="B7816" s="1" t="str">
        <f>"9781118589175"</f>
        <v>9781118589175</v>
      </c>
      <c r="C7816" s="1" t="s">
        <v>65</v>
      </c>
      <c r="D7816" s="2">
        <v>41806</v>
      </c>
      <c r="E7816" s="1" t="s">
        <v>15615</v>
      </c>
      <c r="F7816" s="1" t="s">
        <v>13</v>
      </c>
    </row>
    <row r="7817" spans="1:6" ht="30" customHeight="1" x14ac:dyDescent="0.25">
      <c r="A7817" s="1" t="s">
        <v>15616</v>
      </c>
      <c r="B7817" s="1" t="str">
        <f>"9781118819517"</f>
        <v>9781118819517</v>
      </c>
      <c r="C7817" s="1" t="s">
        <v>65</v>
      </c>
      <c r="D7817" s="2">
        <v>41885</v>
      </c>
      <c r="E7817" s="1" t="s">
        <v>15617</v>
      </c>
      <c r="F7817" s="1" t="s">
        <v>13</v>
      </c>
    </row>
    <row r="7818" spans="1:6" ht="30" customHeight="1" x14ac:dyDescent="0.25">
      <c r="A7818" s="1" t="s">
        <v>15618</v>
      </c>
      <c r="B7818" s="1" t="str">
        <f>"9781782412311"</f>
        <v>9781782412311</v>
      </c>
      <c r="C7818" s="1" t="s">
        <v>68</v>
      </c>
      <c r="D7818" s="2">
        <v>41897</v>
      </c>
      <c r="E7818" s="1" t="s">
        <v>15619</v>
      </c>
      <c r="F7818" s="1" t="s">
        <v>104</v>
      </c>
    </row>
    <row r="7819" spans="1:6" ht="30" customHeight="1" x14ac:dyDescent="0.25">
      <c r="A7819" s="1" t="s">
        <v>15620</v>
      </c>
      <c r="B7819" s="1" t="str">
        <f>"9781782413028"</f>
        <v>9781782413028</v>
      </c>
      <c r="C7819" s="1" t="s">
        <v>68</v>
      </c>
      <c r="D7819" s="2">
        <v>41891</v>
      </c>
      <c r="E7819" s="1" t="s">
        <v>15621</v>
      </c>
      <c r="F7819" s="1" t="s">
        <v>291</v>
      </c>
    </row>
    <row r="7820" spans="1:6" ht="30" customHeight="1" x14ac:dyDescent="0.25">
      <c r="A7820" s="1" t="s">
        <v>15622</v>
      </c>
      <c r="B7820" s="1" t="str">
        <f>"9780803269507"</f>
        <v>9780803269507</v>
      </c>
      <c r="C7820" s="1" t="s">
        <v>15623</v>
      </c>
      <c r="D7820" s="2">
        <v>41944</v>
      </c>
      <c r="E7820" s="1" t="s">
        <v>15624</v>
      </c>
      <c r="F7820" s="1" t="s">
        <v>15625</v>
      </c>
    </row>
    <row r="7821" spans="1:6" ht="30" customHeight="1" x14ac:dyDescent="0.25">
      <c r="A7821" s="1" t="s">
        <v>15626</v>
      </c>
      <c r="B7821" s="1" t="str">
        <f>"9780826107374"</f>
        <v>9780826107374</v>
      </c>
      <c r="C7821" s="1" t="s">
        <v>2339</v>
      </c>
      <c r="D7821" s="2">
        <v>41878</v>
      </c>
      <c r="E7821" s="1" t="s">
        <v>15627</v>
      </c>
      <c r="F7821" s="1" t="s">
        <v>158</v>
      </c>
    </row>
    <row r="7822" spans="1:6" ht="30" customHeight="1" x14ac:dyDescent="0.25">
      <c r="A7822" s="1" t="s">
        <v>15628</v>
      </c>
      <c r="B7822" s="1" t="str">
        <f>"9780826195968"</f>
        <v>9780826195968</v>
      </c>
      <c r="C7822" s="1" t="s">
        <v>2339</v>
      </c>
      <c r="D7822" s="2">
        <v>41880</v>
      </c>
      <c r="E7822" s="1" t="s">
        <v>15629</v>
      </c>
      <c r="F7822" s="1" t="s">
        <v>13</v>
      </c>
    </row>
    <row r="7823" spans="1:6" ht="30" customHeight="1" x14ac:dyDescent="0.25">
      <c r="A7823" s="1" t="s">
        <v>15630</v>
      </c>
      <c r="B7823" s="1" t="str">
        <f>"9781783506361"</f>
        <v>9781783506361</v>
      </c>
      <c r="C7823" s="1" t="s">
        <v>971</v>
      </c>
      <c r="D7823" s="2">
        <v>41884</v>
      </c>
      <c r="E7823" s="1" t="s">
        <v>6549</v>
      </c>
      <c r="F7823" s="1" t="s">
        <v>95</v>
      </c>
    </row>
    <row r="7824" spans="1:6" ht="30" customHeight="1" x14ac:dyDescent="0.25">
      <c r="A7824" s="1" t="s">
        <v>15631</v>
      </c>
      <c r="B7824" s="1" t="str">
        <f>"9781118721452"</f>
        <v>9781118721452</v>
      </c>
      <c r="C7824" s="1" t="s">
        <v>65</v>
      </c>
      <c r="D7824" s="2">
        <v>41890</v>
      </c>
      <c r="E7824" s="1" t="s">
        <v>15632</v>
      </c>
      <c r="F7824" s="1" t="s">
        <v>70</v>
      </c>
    </row>
    <row r="7825" spans="1:6" ht="30" customHeight="1" x14ac:dyDescent="0.25">
      <c r="A7825" s="1" t="s">
        <v>15633</v>
      </c>
      <c r="B7825" s="1" t="str">
        <f>"9780253014580"</f>
        <v>9780253014580</v>
      </c>
      <c r="C7825" s="1" t="s">
        <v>19</v>
      </c>
      <c r="D7825" s="2">
        <v>41764</v>
      </c>
      <c r="E7825" s="1" t="s">
        <v>15634</v>
      </c>
      <c r="F7825" s="1" t="s">
        <v>95</v>
      </c>
    </row>
    <row r="7826" spans="1:6" ht="30" customHeight="1" x14ac:dyDescent="0.25">
      <c r="A7826" s="1" t="s">
        <v>15635</v>
      </c>
      <c r="B7826" s="1" t="str">
        <f>"9780253014955"</f>
        <v>9780253014955</v>
      </c>
      <c r="C7826" s="1" t="s">
        <v>19</v>
      </c>
      <c r="D7826" s="2">
        <v>41913</v>
      </c>
      <c r="E7826" s="1" t="s">
        <v>15636</v>
      </c>
      <c r="F7826" s="1" t="s">
        <v>95</v>
      </c>
    </row>
    <row r="7827" spans="1:6" ht="30" customHeight="1" x14ac:dyDescent="0.25">
      <c r="A7827" s="1" t="s">
        <v>15637</v>
      </c>
      <c r="B7827" s="1" t="str">
        <f>"9780253014948"</f>
        <v>9780253014948</v>
      </c>
      <c r="C7827" s="1" t="s">
        <v>19</v>
      </c>
      <c r="D7827" s="2">
        <v>41865</v>
      </c>
      <c r="E7827" s="1" t="s">
        <v>15638</v>
      </c>
      <c r="F7827" s="1" t="s">
        <v>13</v>
      </c>
    </row>
    <row r="7828" spans="1:6" ht="30" customHeight="1" x14ac:dyDescent="0.25">
      <c r="A7828" s="1" t="s">
        <v>15639</v>
      </c>
      <c r="B7828" s="1" t="str">
        <f>"9781317544869"</f>
        <v>9781317544869</v>
      </c>
      <c r="C7828" s="1" t="s">
        <v>68</v>
      </c>
      <c r="D7828" s="2">
        <v>41893</v>
      </c>
      <c r="E7828" s="1" t="s">
        <v>15640</v>
      </c>
      <c r="F7828" s="1" t="s">
        <v>13</v>
      </c>
    </row>
    <row r="7829" spans="1:6" ht="30" customHeight="1" x14ac:dyDescent="0.25">
      <c r="A7829" s="1" t="s">
        <v>15641</v>
      </c>
      <c r="B7829" s="1" t="str">
        <f>"9780826129949"</f>
        <v>9780826129949</v>
      </c>
      <c r="C7829" s="1" t="s">
        <v>2339</v>
      </c>
      <c r="D7829" s="2">
        <v>41908</v>
      </c>
      <c r="E7829" s="1" t="s">
        <v>15642</v>
      </c>
      <c r="F7829" s="1" t="s">
        <v>13</v>
      </c>
    </row>
    <row r="7830" spans="1:6" ht="30" customHeight="1" x14ac:dyDescent="0.25">
      <c r="A7830" s="1" t="s">
        <v>15643</v>
      </c>
      <c r="B7830" s="1" t="str">
        <f>"9780826130280"</f>
        <v>9780826130280</v>
      </c>
      <c r="C7830" s="1" t="s">
        <v>2339</v>
      </c>
      <c r="D7830" s="2">
        <v>41908</v>
      </c>
      <c r="E7830" s="1" t="s">
        <v>15644</v>
      </c>
      <c r="F7830" s="1" t="s">
        <v>126</v>
      </c>
    </row>
    <row r="7831" spans="1:6" ht="30" customHeight="1" x14ac:dyDescent="0.25">
      <c r="A7831" s="1" t="s">
        <v>15645</v>
      </c>
      <c r="B7831" s="1" t="str">
        <f>"9781409448150"</f>
        <v>9781409448150</v>
      </c>
      <c r="C7831" s="1" t="s">
        <v>6126</v>
      </c>
      <c r="D7831" s="2">
        <v>41971</v>
      </c>
      <c r="E7831" s="1" t="s">
        <v>15646</v>
      </c>
      <c r="F7831" s="1" t="s">
        <v>30</v>
      </c>
    </row>
    <row r="7832" spans="1:6" ht="30" customHeight="1" x14ac:dyDescent="0.25">
      <c r="A7832" s="1" t="s">
        <v>15647</v>
      </c>
      <c r="B7832" s="1" t="str">
        <f>"9781617051937"</f>
        <v>9781617051937</v>
      </c>
      <c r="C7832" s="1" t="s">
        <v>2342</v>
      </c>
      <c r="D7832" s="2">
        <v>41891</v>
      </c>
      <c r="E7832" s="1" t="s">
        <v>15648</v>
      </c>
      <c r="F7832" s="1" t="s">
        <v>13</v>
      </c>
    </row>
    <row r="7833" spans="1:6" ht="30" customHeight="1" x14ac:dyDescent="0.25">
      <c r="A7833" s="1" t="s">
        <v>15649</v>
      </c>
      <c r="B7833" s="1" t="str">
        <f>"9781907969690"</f>
        <v>9781907969690</v>
      </c>
      <c r="C7833" s="1" t="s">
        <v>2387</v>
      </c>
      <c r="D7833" s="2">
        <v>36161</v>
      </c>
      <c r="E7833" s="1" t="s">
        <v>15650</v>
      </c>
      <c r="F7833" s="1" t="s">
        <v>87</v>
      </c>
    </row>
    <row r="7834" spans="1:6" ht="30" customHeight="1" x14ac:dyDescent="0.25">
      <c r="A7834" s="1" t="s">
        <v>15651</v>
      </c>
      <c r="B7834" s="1" t="str">
        <f>"9781907969669"</f>
        <v>9781907969669</v>
      </c>
      <c r="C7834" s="1" t="s">
        <v>2387</v>
      </c>
      <c r="D7834" s="2">
        <v>38875</v>
      </c>
      <c r="E7834" s="1" t="s">
        <v>15652</v>
      </c>
      <c r="F7834" s="1" t="s">
        <v>95</v>
      </c>
    </row>
    <row r="7835" spans="1:6" ht="30" customHeight="1" x14ac:dyDescent="0.25">
      <c r="A7835" s="1" t="s">
        <v>15653</v>
      </c>
      <c r="B7835" s="1" t="str">
        <f>"9781784500368"</f>
        <v>9781784500368</v>
      </c>
      <c r="C7835" s="1" t="s">
        <v>2387</v>
      </c>
      <c r="D7835" s="2">
        <v>41933</v>
      </c>
      <c r="E7835" s="1" t="s">
        <v>15654</v>
      </c>
      <c r="F7835" s="1" t="s">
        <v>158</v>
      </c>
    </row>
    <row r="7836" spans="1:6" ht="30" customHeight="1" x14ac:dyDescent="0.25">
      <c r="A7836" s="1" t="s">
        <v>15655</v>
      </c>
      <c r="B7836" s="1" t="str">
        <f>"9780826130266"</f>
        <v>9780826130266</v>
      </c>
      <c r="C7836" s="1" t="s">
        <v>2339</v>
      </c>
      <c r="D7836" s="2">
        <v>41927</v>
      </c>
      <c r="E7836" s="1" t="s">
        <v>15656</v>
      </c>
      <c r="F7836" s="1" t="s">
        <v>126</v>
      </c>
    </row>
    <row r="7837" spans="1:6" ht="30" customHeight="1" x14ac:dyDescent="0.25">
      <c r="A7837" s="1" t="s">
        <v>15657</v>
      </c>
      <c r="B7837" s="1" t="str">
        <f>"9781598578515"</f>
        <v>9781598578515</v>
      </c>
      <c r="C7837" s="1" t="s">
        <v>15658</v>
      </c>
      <c r="D7837" s="2">
        <v>41830</v>
      </c>
      <c r="E7837" s="1" t="s">
        <v>15659</v>
      </c>
      <c r="F7837" s="1" t="s">
        <v>13</v>
      </c>
    </row>
    <row r="7838" spans="1:6" ht="30" customHeight="1" x14ac:dyDescent="0.25">
      <c r="A7838" s="1" t="s">
        <v>15660</v>
      </c>
      <c r="B7838" s="1" t="str">
        <f>"9781598576658"</f>
        <v>9781598576658</v>
      </c>
      <c r="C7838" s="1" t="s">
        <v>15658</v>
      </c>
      <c r="D7838" s="2">
        <v>41694</v>
      </c>
      <c r="E7838" s="1" t="s">
        <v>15661</v>
      </c>
      <c r="F7838" s="1" t="s">
        <v>13</v>
      </c>
    </row>
    <row r="7839" spans="1:6" ht="30" customHeight="1" x14ac:dyDescent="0.25">
      <c r="A7839" s="1" t="s">
        <v>15662</v>
      </c>
      <c r="B7839" s="1" t="str">
        <f>"9781598577044"</f>
        <v>9781598577044</v>
      </c>
      <c r="C7839" s="1" t="s">
        <v>15658</v>
      </c>
      <c r="D7839" s="2">
        <v>41724</v>
      </c>
      <c r="E7839" s="1" t="s">
        <v>15663</v>
      </c>
      <c r="F7839" s="1" t="s">
        <v>13</v>
      </c>
    </row>
    <row r="7840" spans="1:6" ht="30" customHeight="1" x14ac:dyDescent="0.25">
      <c r="A7840" s="1" t="s">
        <v>15664</v>
      </c>
      <c r="B7840" s="1" t="str">
        <f>"9781598576009"</f>
        <v>9781598576009</v>
      </c>
      <c r="C7840" s="1" t="s">
        <v>15658</v>
      </c>
      <c r="D7840" s="2">
        <v>41655</v>
      </c>
      <c r="E7840" s="1" t="s">
        <v>15665</v>
      </c>
      <c r="F7840" s="1" t="s">
        <v>2443</v>
      </c>
    </row>
    <row r="7841" spans="1:6" ht="30" customHeight="1" x14ac:dyDescent="0.25">
      <c r="A7841" s="1" t="s">
        <v>15666</v>
      </c>
      <c r="B7841" s="1" t="str">
        <f>"9781118843567"</f>
        <v>9781118843567</v>
      </c>
      <c r="C7841" s="1" t="s">
        <v>65</v>
      </c>
      <c r="D7841" s="2">
        <v>41904</v>
      </c>
      <c r="E7841" s="1" t="s">
        <v>15667</v>
      </c>
      <c r="F7841" s="1" t="s">
        <v>13</v>
      </c>
    </row>
    <row r="7842" spans="1:6" ht="30" customHeight="1" x14ac:dyDescent="0.25">
      <c r="A7842" s="1" t="s">
        <v>15668</v>
      </c>
      <c r="B7842" s="1" t="str">
        <f>"9780826119827"</f>
        <v>9780826119827</v>
      </c>
      <c r="C7842" s="1" t="s">
        <v>2339</v>
      </c>
      <c r="D7842" s="2">
        <v>41890</v>
      </c>
      <c r="E7842" s="1" t="s">
        <v>15669</v>
      </c>
      <c r="F7842" s="1" t="s">
        <v>82</v>
      </c>
    </row>
    <row r="7843" spans="1:6" ht="30" customHeight="1" x14ac:dyDescent="0.25">
      <c r="A7843" s="1" t="s">
        <v>15670</v>
      </c>
      <c r="B7843" s="1" t="str">
        <f>"9789382076087"</f>
        <v>9789382076087</v>
      </c>
      <c r="C7843" s="1" t="s">
        <v>1671</v>
      </c>
      <c r="D7843" s="2">
        <v>41609</v>
      </c>
      <c r="E7843" s="1" t="s">
        <v>15671</v>
      </c>
      <c r="F7843" s="1" t="s">
        <v>13</v>
      </c>
    </row>
    <row r="7844" spans="1:6" ht="30" customHeight="1" x14ac:dyDescent="0.25">
      <c r="A7844" s="1" t="s">
        <v>15672</v>
      </c>
      <c r="B7844" s="1" t="str">
        <f>"9783131987716"</f>
        <v>9783131987716</v>
      </c>
      <c r="C7844" s="1" t="s">
        <v>1671</v>
      </c>
      <c r="D7844" s="2">
        <v>41773</v>
      </c>
      <c r="E7844" s="1" t="s">
        <v>15673</v>
      </c>
      <c r="F7844" s="1" t="s">
        <v>13</v>
      </c>
    </row>
    <row r="7845" spans="1:6" ht="30" customHeight="1" x14ac:dyDescent="0.25">
      <c r="A7845" s="1" t="s">
        <v>15674</v>
      </c>
      <c r="B7845" s="1" t="str">
        <f>"9781617051715"</f>
        <v>9781617051715</v>
      </c>
      <c r="C7845" s="1" t="s">
        <v>2342</v>
      </c>
      <c r="D7845" s="2">
        <v>41908</v>
      </c>
      <c r="E7845" s="1" t="s">
        <v>15675</v>
      </c>
      <c r="F7845" s="1" t="s">
        <v>13</v>
      </c>
    </row>
    <row r="7846" spans="1:6" ht="30" customHeight="1" x14ac:dyDescent="0.25">
      <c r="A7846" s="1" t="s">
        <v>15676</v>
      </c>
      <c r="B7846" s="1" t="str">
        <f>"9781617051333"</f>
        <v>9781617051333</v>
      </c>
      <c r="C7846" s="1" t="s">
        <v>2342</v>
      </c>
      <c r="D7846" s="2">
        <v>41886</v>
      </c>
      <c r="E7846" s="1" t="s">
        <v>15677</v>
      </c>
      <c r="F7846" s="1" t="s">
        <v>13</v>
      </c>
    </row>
    <row r="7847" spans="1:6" ht="30" customHeight="1" x14ac:dyDescent="0.25">
      <c r="A7847" s="1" t="s">
        <v>15678</v>
      </c>
      <c r="B7847" s="1" t="str">
        <f>"9781845407735"</f>
        <v>9781845407735</v>
      </c>
      <c r="C7847" s="1" t="s">
        <v>9846</v>
      </c>
      <c r="D7847" s="2">
        <v>41835</v>
      </c>
      <c r="E7847" s="1" t="s">
        <v>15679</v>
      </c>
      <c r="F7847" s="1" t="s">
        <v>13</v>
      </c>
    </row>
    <row r="7848" spans="1:6" ht="30" customHeight="1" x14ac:dyDescent="0.25">
      <c r="A7848" s="1" t="s">
        <v>15680</v>
      </c>
      <c r="B7848" s="1" t="str">
        <f>"9781856424813"</f>
        <v>9781856424813</v>
      </c>
      <c r="C7848" s="1" t="s">
        <v>9846</v>
      </c>
      <c r="D7848" s="2">
        <v>40236</v>
      </c>
      <c r="E7848" s="1" t="s">
        <v>15681</v>
      </c>
      <c r="F7848" s="1" t="s">
        <v>126</v>
      </c>
    </row>
    <row r="7849" spans="1:6" ht="30" customHeight="1" x14ac:dyDescent="0.25">
      <c r="A7849" s="1" t="s">
        <v>15682</v>
      </c>
      <c r="B7849" s="1" t="str">
        <f>"9781856424516"</f>
        <v>9781856424516</v>
      </c>
      <c r="C7849" s="1" t="s">
        <v>9846</v>
      </c>
      <c r="D7849" s="2">
        <v>41891</v>
      </c>
      <c r="E7849" s="1" t="s">
        <v>15683</v>
      </c>
      <c r="F7849" s="1" t="s">
        <v>291</v>
      </c>
    </row>
    <row r="7850" spans="1:6" ht="30" customHeight="1" x14ac:dyDescent="0.25">
      <c r="A7850" s="1" t="s">
        <v>15684</v>
      </c>
      <c r="B7850" s="1" t="str">
        <f>"9781856424691"</f>
        <v>9781856424691</v>
      </c>
      <c r="C7850" s="1" t="s">
        <v>9846</v>
      </c>
      <c r="D7850" s="2">
        <v>41890</v>
      </c>
      <c r="E7850" s="1" t="s">
        <v>15685</v>
      </c>
      <c r="F7850" s="1" t="s">
        <v>13</v>
      </c>
    </row>
    <row r="7851" spans="1:6" ht="30" customHeight="1" x14ac:dyDescent="0.25">
      <c r="A7851" s="1" t="s">
        <v>15686</v>
      </c>
      <c r="B7851" s="1" t="str">
        <f>"9780762762620"</f>
        <v>9780762762620</v>
      </c>
      <c r="C7851" s="1" t="s">
        <v>15687</v>
      </c>
      <c r="D7851" s="2">
        <v>40239</v>
      </c>
      <c r="E7851" s="1" t="s">
        <v>15688</v>
      </c>
      <c r="F7851" s="1" t="s">
        <v>13</v>
      </c>
    </row>
    <row r="7852" spans="1:6" ht="30" customHeight="1" x14ac:dyDescent="0.25">
      <c r="A7852" s="1" t="s">
        <v>15689</v>
      </c>
      <c r="B7852" s="1" t="str">
        <f>"9780762791187"</f>
        <v>9780762791187</v>
      </c>
      <c r="C7852" s="1" t="s">
        <v>15687</v>
      </c>
      <c r="D7852" s="2">
        <v>41219</v>
      </c>
      <c r="E7852" s="1" t="s">
        <v>15690</v>
      </c>
      <c r="F7852" s="1" t="s">
        <v>13</v>
      </c>
    </row>
    <row r="7853" spans="1:6" ht="30" customHeight="1" x14ac:dyDescent="0.25">
      <c r="A7853" s="1" t="s">
        <v>15691</v>
      </c>
      <c r="B7853" s="1" t="str">
        <f>"9781118834633"</f>
        <v>9781118834633</v>
      </c>
      <c r="C7853" s="1" t="s">
        <v>65</v>
      </c>
      <c r="D7853" s="2">
        <v>41899</v>
      </c>
      <c r="E7853" s="1" t="s">
        <v>15692</v>
      </c>
      <c r="F7853" s="1" t="s">
        <v>158</v>
      </c>
    </row>
    <row r="7854" spans="1:6" ht="30" customHeight="1" x14ac:dyDescent="0.25">
      <c r="A7854" s="1" t="s">
        <v>15693</v>
      </c>
      <c r="B7854" s="1" t="str">
        <f>"9781118875261"</f>
        <v>9781118875261</v>
      </c>
      <c r="C7854" s="1" t="s">
        <v>65</v>
      </c>
      <c r="D7854" s="2">
        <v>41901</v>
      </c>
      <c r="E7854" s="1" t="s">
        <v>15694</v>
      </c>
      <c r="F7854" s="1" t="s">
        <v>13</v>
      </c>
    </row>
    <row r="7855" spans="1:6" ht="30" customHeight="1" x14ac:dyDescent="0.25">
      <c r="A7855" s="1" t="s">
        <v>15695</v>
      </c>
      <c r="B7855" s="1" t="str">
        <f>"9780813564814"</f>
        <v>9780813564814</v>
      </c>
      <c r="C7855" s="1" t="s">
        <v>3656</v>
      </c>
      <c r="D7855" s="2">
        <v>41884</v>
      </c>
      <c r="E7855" s="1" t="s">
        <v>15696</v>
      </c>
      <c r="F7855" s="1" t="s">
        <v>13</v>
      </c>
    </row>
    <row r="7856" spans="1:6" ht="30" customHeight="1" x14ac:dyDescent="0.25">
      <c r="A7856" s="1" t="s">
        <v>15697</v>
      </c>
      <c r="B7856" s="1" t="str">
        <f>"9781907830860"</f>
        <v>9781907830860</v>
      </c>
      <c r="C7856" s="1" t="s">
        <v>11198</v>
      </c>
      <c r="D7856" s="2">
        <v>41913</v>
      </c>
      <c r="E7856" s="1" t="s">
        <v>15698</v>
      </c>
      <c r="F7856" s="1" t="s">
        <v>13</v>
      </c>
    </row>
    <row r="7857" spans="1:6" ht="30" customHeight="1" x14ac:dyDescent="0.25">
      <c r="A7857" s="1" t="s">
        <v>15699</v>
      </c>
      <c r="B7857" s="1" t="str">
        <f>"9789240691018"</f>
        <v>9789240691018</v>
      </c>
      <c r="C7857" s="1" t="s">
        <v>1981</v>
      </c>
      <c r="D7857" s="2">
        <v>41390</v>
      </c>
      <c r="E7857" s="1" t="s">
        <v>1981</v>
      </c>
      <c r="F7857" s="1" t="s">
        <v>13</v>
      </c>
    </row>
    <row r="7858" spans="1:6" ht="30" customHeight="1" x14ac:dyDescent="0.25">
      <c r="A7858" s="1" t="s">
        <v>15700</v>
      </c>
      <c r="B7858" s="1" t="str">
        <f>"9781118973882"</f>
        <v>9781118973882</v>
      </c>
      <c r="C7858" s="1" t="s">
        <v>65</v>
      </c>
      <c r="D7858" s="2">
        <v>41905</v>
      </c>
      <c r="E7858" s="1" t="s">
        <v>15701</v>
      </c>
      <c r="F7858" s="1" t="s">
        <v>30</v>
      </c>
    </row>
    <row r="7859" spans="1:6" ht="30" customHeight="1" x14ac:dyDescent="0.25">
      <c r="A7859" s="1" t="s">
        <v>15702</v>
      </c>
      <c r="B7859" s="1" t="str">
        <f>"9781118760741"</f>
        <v>9781118760741</v>
      </c>
      <c r="C7859" s="1" t="s">
        <v>65</v>
      </c>
      <c r="D7859" s="2">
        <v>41906</v>
      </c>
      <c r="E7859" s="1" t="s">
        <v>13967</v>
      </c>
      <c r="F7859" s="1" t="s">
        <v>13</v>
      </c>
    </row>
    <row r="7860" spans="1:6" ht="30" customHeight="1" x14ac:dyDescent="0.25">
      <c r="A7860" s="1" t="s">
        <v>15703</v>
      </c>
      <c r="B7860" s="1" t="str">
        <f>"9781119000792"</f>
        <v>9781119000792</v>
      </c>
      <c r="C7860" s="1" t="s">
        <v>65</v>
      </c>
      <c r="D7860" s="2">
        <v>41906</v>
      </c>
      <c r="E7860" s="1" t="s">
        <v>15704</v>
      </c>
      <c r="F7860" s="1" t="s">
        <v>30</v>
      </c>
    </row>
    <row r="7861" spans="1:6" ht="30" customHeight="1" x14ac:dyDescent="0.25">
      <c r="A7861" s="1" t="s">
        <v>15705</v>
      </c>
      <c r="B7861" s="1" t="str">
        <f>"9781443867597"</f>
        <v>9781443867597</v>
      </c>
      <c r="C7861" s="1" t="s">
        <v>12699</v>
      </c>
      <c r="D7861" s="2">
        <v>41365</v>
      </c>
      <c r="E7861" s="1" t="s">
        <v>15706</v>
      </c>
      <c r="F7861" s="1" t="s">
        <v>30</v>
      </c>
    </row>
    <row r="7862" spans="1:6" ht="30" customHeight="1" x14ac:dyDescent="0.25">
      <c r="A7862" s="1" t="s">
        <v>15707</v>
      </c>
      <c r="B7862" s="1" t="str">
        <f>"9781443867955"</f>
        <v>9781443867955</v>
      </c>
      <c r="C7862" s="1" t="s">
        <v>12699</v>
      </c>
      <c r="D7862" s="2">
        <v>41365</v>
      </c>
      <c r="E7862" s="1" t="s">
        <v>15708</v>
      </c>
      <c r="F7862" s="1" t="s">
        <v>13</v>
      </c>
    </row>
    <row r="7863" spans="1:6" ht="30" customHeight="1" x14ac:dyDescent="0.25">
      <c r="A7863" s="1" t="s">
        <v>15709</v>
      </c>
      <c r="B7863" s="1" t="str">
        <f>"9781907830853"</f>
        <v>9781907830853</v>
      </c>
      <c r="C7863" s="1" t="s">
        <v>11198</v>
      </c>
      <c r="D7863" s="2">
        <v>41913</v>
      </c>
      <c r="E7863" s="1" t="s">
        <v>15710</v>
      </c>
      <c r="F7863" s="1" t="s">
        <v>126</v>
      </c>
    </row>
    <row r="7864" spans="1:6" ht="30" customHeight="1" x14ac:dyDescent="0.25">
      <c r="A7864" s="1" t="s">
        <v>15711</v>
      </c>
      <c r="B7864" s="1" t="str">
        <f>"9780231537155"</f>
        <v>9780231537155</v>
      </c>
      <c r="C7864" s="1" t="s">
        <v>11751</v>
      </c>
      <c r="D7864" s="2">
        <v>41919</v>
      </c>
      <c r="E7864" s="1" t="s">
        <v>15712</v>
      </c>
      <c r="F7864" s="1" t="s">
        <v>13</v>
      </c>
    </row>
    <row r="7865" spans="1:6" ht="30" customHeight="1" x14ac:dyDescent="0.25">
      <c r="A7865" s="1" t="s">
        <v>15713</v>
      </c>
      <c r="B7865" s="1" t="str">
        <f>"9781118387764"</f>
        <v>9781118387764</v>
      </c>
      <c r="C7865" s="1" t="s">
        <v>11</v>
      </c>
      <c r="D7865" s="2">
        <v>41908</v>
      </c>
      <c r="E7865" s="1" t="s">
        <v>15714</v>
      </c>
      <c r="F7865" s="1" t="s">
        <v>13</v>
      </c>
    </row>
    <row r="7866" spans="1:6" ht="30" customHeight="1" x14ac:dyDescent="0.25">
      <c r="A7866" s="1" t="s">
        <v>15715</v>
      </c>
      <c r="B7866" s="1" t="str">
        <f>"9781118437971"</f>
        <v>9781118437971</v>
      </c>
      <c r="C7866" s="1" t="s">
        <v>65</v>
      </c>
      <c r="D7866" s="2">
        <v>41907</v>
      </c>
      <c r="E7866" s="1" t="s">
        <v>15716</v>
      </c>
      <c r="F7866" s="1" t="s">
        <v>13</v>
      </c>
    </row>
    <row r="7867" spans="1:6" ht="30" customHeight="1" x14ac:dyDescent="0.25">
      <c r="A7867" s="1" t="s">
        <v>15717</v>
      </c>
      <c r="B7867" s="1" t="str">
        <f>"9780803643949"</f>
        <v>9780803643949</v>
      </c>
      <c r="C7867" s="1" t="s">
        <v>15038</v>
      </c>
      <c r="D7867" s="2">
        <v>41897</v>
      </c>
      <c r="F7867" s="1" t="s">
        <v>13</v>
      </c>
    </row>
    <row r="7868" spans="1:6" ht="30" customHeight="1" x14ac:dyDescent="0.25">
      <c r="A7868" s="1" t="s">
        <v>15718</v>
      </c>
      <c r="B7868" s="1" t="str">
        <f>"9780803644847"</f>
        <v>9780803644847</v>
      </c>
      <c r="C7868" s="1" t="s">
        <v>15038</v>
      </c>
      <c r="D7868" s="2">
        <v>41911</v>
      </c>
      <c r="E7868" s="1" t="s">
        <v>15719</v>
      </c>
      <c r="F7868" s="1" t="s">
        <v>126</v>
      </c>
    </row>
    <row r="7869" spans="1:6" ht="30" customHeight="1" x14ac:dyDescent="0.25">
      <c r="A7869" s="1" t="s">
        <v>15720</v>
      </c>
      <c r="B7869" s="1" t="str">
        <f>"9780826119056"</f>
        <v>9780826119056</v>
      </c>
      <c r="C7869" s="1" t="s">
        <v>2339</v>
      </c>
      <c r="D7869" s="2">
        <v>41940</v>
      </c>
      <c r="E7869" s="1" t="s">
        <v>15721</v>
      </c>
      <c r="F7869" s="1" t="s">
        <v>13</v>
      </c>
    </row>
    <row r="7870" spans="1:6" ht="30" customHeight="1" x14ac:dyDescent="0.25">
      <c r="A7870" s="1" t="s">
        <v>15722</v>
      </c>
      <c r="B7870" s="1" t="str">
        <f>"9780826121189"</f>
        <v>9780826121189</v>
      </c>
      <c r="C7870" s="1" t="s">
        <v>2339</v>
      </c>
      <c r="D7870" s="2">
        <v>41940</v>
      </c>
      <c r="E7870" s="1" t="s">
        <v>15723</v>
      </c>
      <c r="F7870" s="1" t="s">
        <v>126</v>
      </c>
    </row>
    <row r="7871" spans="1:6" ht="30" customHeight="1" x14ac:dyDescent="0.25">
      <c r="A7871" s="1" t="s">
        <v>15724</v>
      </c>
      <c r="B7871" s="1" t="str">
        <f>"9789240691827"</f>
        <v>9789240691827</v>
      </c>
      <c r="C7871" s="1" t="s">
        <v>1981</v>
      </c>
      <c r="D7871" s="2">
        <v>41586</v>
      </c>
      <c r="E7871" s="1" t="s">
        <v>1981</v>
      </c>
      <c r="F7871" s="1" t="s">
        <v>148</v>
      </c>
    </row>
    <row r="7872" spans="1:6" ht="30" customHeight="1" x14ac:dyDescent="0.25">
      <c r="A7872" s="1" t="s">
        <v>15725</v>
      </c>
      <c r="B7872" s="1" t="str">
        <f>"9789240691551"</f>
        <v>9789240691551</v>
      </c>
      <c r="C7872" s="1" t="s">
        <v>1981</v>
      </c>
      <c r="D7872" s="2">
        <v>41470</v>
      </c>
      <c r="E7872" s="1" t="s">
        <v>1981</v>
      </c>
      <c r="F7872" s="1" t="s">
        <v>30</v>
      </c>
    </row>
    <row r="7873" spans="1:6" ht="30" customHeight="1" x14ac:dyDescent="0.25">
      <c r="A7873" s="1" t="s">
        <v>15726</v>
      </c>
      <c r="B7873" s="1" t="str">
        <f>"9789240693357"</f>
        <v>9789240693357</v>
      </c>
      <c r="C7873" s="1" t="s">
        <v>1981</v>
      </c>
      <c r="D7873" s="2">
        <v>41900</v>
      </c>
      <c r="E7873" s="1" t="s">
        <v>15727</v>
      </c>
      <c r="F7873" s="1" t="s">
        <v>33</v>
      </c>
    </row>
    <row r="7874" spans="1:6" ht="30" customHeight="1" x14ac:dyDescent="0.25">
      <c r="A7874" s="1" t="s">
        <v>15728</v>
      </c>
      <c r="B7874" s="1" t="str">
        <f>"9789240690592"</f>
        <v>9789240690592</v>
      </c>
      <c r="C7874" s="1" t="s">
        <v>1981</v>
      </c>
      <c r="D7874" s="2">
        <v>41474</v>
      </c>
      <c r="E7874" s="1" t="s">
        <v>15729</v>
      </c>
      <c r="F7874" s="1" t="s">
        <v>13</v>
      </c>
    </row>
    <row r="7875" spans="1:6" ht="30" customHeight="1" x14ac:dyDescent="0.25">
      <c r="A7875" s="1" t="s">
        <v>15730</v>
      </c>
      <c r="B7875" s="1" t="str">
        <f>"9789240692091"</f>
        <v>9789240692091</v>
      </c>
      <c r="C7875" s="1" t="s">
        <v>1981</v>
      </c>
      <c r="D7875" s="2">
        <v>41639</v>
      </c>
      <c r="E7875" s="1" t="s">
        <v>13994</v>
      </c>
      <c r="F7875" s="1" t="s">
        <v>214</v>
      </c>
    </row>
    <row r="7876" spans="1:6" ht="30" customHeight="1" x14ac:dyDescent="0.25">
      <c r="A7876" s="1" t="s">
        <v>15731</v>
      </c>
      <c r="B7876" s="1" t="str">
        <f>"9789240692749"</f>
        <v>9789240692749</v>
      </c>
      <c r="C7876" s="1" t="s">
        <v>1981</v>
      </c>
      <c r="D7876" s="2">
        <v>41620</v>
      </c>
      <c r="E7876" s="1" t="s">
        <v>1981</v>
      </c>
      <c r="F7876" s="1" t="s">
        <v>13</v>
      </c>
    </row>
    <row r="7877" spans="1:6" ht="30" customHeight="1" x14ac:dyDescent="0.25">
      <c r="A7877" s="1" t="s">
        <v>15732</v>
      </c>
      <c r="B7877" s="1" t="str">
        <f>"9783110412628"</f>
        <v>9783110412628</v>
      </c>
      <c r="C7877" s="1" t="s">
        <v>13524</v>
      </c>
      <c r="D7877" s="2">
        <v>42033</v>
      </c>
      <c r="E7877" s="1" t="s">
        <v>15733</v>
      </c>
      <c r="F7877" s="1" t="s">
        <v>13</v>
      </c>
    </row>
    <row r="7878" spans="1:6" ht="30" customHeight="1" x14ac:dyDescent="0.25">
      <c r="A7878" s="1" t="s">
        <v>15734</v>
      </c>
      <c r="B7878" s="1" t="str">
        <f>"9781118661826"</f>
        <v>9781118661826</v>
      </c>
      <c r="C7878" s="1" t="s">
        <v>65</v>
      </c>
      <c r="D7878" s="2">
        <v>41911</v>
      </c>
      <c r="E7878" s="1" t="s">
        <v>15735</v>
      </c>
      <c r="F7878" s="1" t="s">
        <v>13</v>
      </c>
    </row>
    <row r="7879" spans="1:6" ht="30" customHeight="1" x14ac:dyDescent="0.25">
      <c r="A7879" s="1" t="s">
        <v>15736</v>
      </c>
      <c r="B7879" s="1" t="str">
        <f>"9781443868662"</f>
        <v>9781443868662</v>
      </c>
      <c r="C7879" s="1" t="s">
        <v>12699</v>
      </c>
      <c r="D7879" s="2">
        <v>41395</v>
      </c>
      <c r="E7879" s="1" t="s">
        <v>15737</v>
      </c>
      <c r="F7879" s="1" t="s">
        <v>13</v>
      </c>
    </row>
    <row r="7880" spans="1:6" ht="30" customHeight="1" x14ac:dyDescent="0.25">
      <c r="A7880" s="1" t="s">
        <v>15738</v>
      </c>
      <c r="B7880" s="1" t="str">
        <f>"9780826196699"</f>
        <v>9780826196699</v>
      </c>
      <c r="C7880" s="1" t="s">
        <v>2339</v>
      </c>
      <c r="D7880" s="2">
        <v>41940</v>
      </c>
      <c r="E7880" s="1" t="s">
        <v>15739</v>
      </c>
      <c r="F7880" s="1" t="s">
        <v>13</v>
      </c>
    </row>
    <row r="7881" spans="1:6" ht="30" customHeight="1" x14ac:dyDescent="0.25">
      <c r="A7881" s="1" t="s">
        <v>15740</v>
      </c>
      <c r="B7881" s="1" t="str">
        <f>"9781118634004"</f>
        <v>9781118634004</v>
      </c>
      <c r="C7881" s="1" t="s">
        <v>65</v>
      </c>
      <c r="D7881" s="2">
        <v>41913</v>
      </c>
      <c r="E7881" s="1" t="s">
        <v>15741</v>
      </c>
      <c r="F7881" s="1" t="s">
        <v>13</v>
      </c>
    </row>
    <row r="7882" spans="1:6" ht="30" customHeight="1" x14ac:dyDescent="0.25">
      <c r="A7882" s="1" t="s">
        <v>15742</v>
      </c>
      <c r="B7882" s="1" t="str">
        <f>"9781464804090"</f>
        <v>9781464804090</v>
      </c>
      <c r="C7882" s="1" t="s">
        <v>6702</v>
      </c>
      <c r="D7882" s="2">
        <v>41640</v>
      </c>
      <c r="E7882" s="1" t="s">
        <v>15743</v>
      </c>
      <c r="F7882" s="1" t="s">
        <v>2256</v>
      </c>
    </row>
    <row r="7883" spans="1:6" ht="30" customHeight="1" x14ac:dyDescent="0.25">
      <c r="A7883" s="1" t="s">
        <v>15744</v>
      </c>
      <c r="B7883" s="1" t="str">
        <f>"9781118756867"</f>
        <v>9781118756867</v>
      </c>
      <c r="C7883" s="1" t="s">
        <v>65</v>
      </c>
      <c r="D7883" s="2">
        <v>41935</v>
      </c>
      <c r="E7883" s="1" t="s">
        <v>15745</v>
      </c>
      <c r="F7883" s="1" t="s">
        <v>13</v>
      </c>
    </row>
    <row r="7884" spans="1:6" ht="30" customHeight="1" x14ac:dyDescent="0.25">
      <c r="A7884" s="1" t="s">
        <v>15746</v>
      </c>
      <c r="B7884" s="1" t="str">
        <f>"9780826110565"</f>
        <v>9780826110565</v>
      </c>
      <c r="C7884" s="1" t="s">
        <v>2339</v>
      </c>
      <c r="D7884" s="2">
        <v>41927</v>
      </c>
      <c r="E7884" s="1" t="s">
        <v>15747</v>
      </c>
      <c r="F7884" s="1" t="s">
        <v>126</v>
      </c>
    </row>
    <row r="7885" spans="1:6" ht="30" customHeight="1" x14ac:dyDescent="0.25">
      <c r="A7885" s="1" t="s">
        <v>15748</v>
      </c>
      <c r="B7885" s="1" t="str">
        <f>"9780826123091"</f>
        <v>9780826123091</v>
      </c>
      <c r="C7885" s="1" t="s">
        <v>2339</v>
      </c>
      <c r="D7885" s="2">
        <v>41922</v>
      </c>
      <c r="E7885" s="1" t="s">
        <v>15749</v>
      </c>
      <c r="F7885" s="1" t="s">
        <v>13</v>
      </c>
    </row>
    <row r="7886" spans="1:6" ht="30" customHeight="1" x14ac:dyDescent="0.25">
      <c r="A7886" s="1" t="s">
        <v>15750</v>
      </c>
      <c r="B7886" s="1" t="str">
        <f>"9781886624726"</f>
        <v>9781886624726</v>
      </c>
      <c r="C7886" s="1" t="s">
        <v>14277</v>
      </c>
      <c r="D7886" s="2">
        <v>41394</v>
      </c>
      <c r="E7886" s="1" t="s">
        <v>15751</v>
      </c>
      <c r="F7886" s="1" t="s">
        <v>126</v>
      </c>
    </row>
    <row r="7887" spans="1:6" ht="30" customHeight="1" x14ac:dyDescent="0.25">
      <c r="A7887" s="1" t="s">
        <v>15752</v>
      </c>
      <c r="B7887" s="1" t="str">
        <f>"9781118468708"</f>
        <v>9781118468708</v>
      </c>
      <c r="C7887" s="1" t="s">
        <v>11</v>
      </c>
      <c r="D7887" s="2">
        <v>41915</v>
      </c>
      <c r="E7887" s="1" t="s">
        <v>15753</v>
      </c>
      <c r="F7887" s="1" t="s">
        <v>13</v>
      </c>
    </row>
    <row r="7888" spans="1:6" ht="30" customHeight="1" x14ac:dyDescent="0.25">
      <c r="A7888" s="1" t="s">
        <v>15754</v>
      </c>
      <c r="B7888" s="1" t="str">
        <f>"9789027270320"</f>
        <v>9789027270320</v>
      </c>
      <c r="C7888" s="1" t="s">
        <v>8479</v>
      </c>
      <c r="D7888" s="2">
        <v>41927</v>
      </c>
      <c r="E7888" s="1" t="s">
        <v>15755</v>
      </c>
      <c r="F7888" s="1" t="s">
        <v>13</v>
      </c>
    </row>
    <row r="7889" spans="1:6" ht="30" customHeight="1" x14ac:dyDescent="0.25">
      <c r="A7889" s="1" t="s">
        <v>15756</v>
      </c>
      <c r="B7889" s="1" t="str">
        <f>"9781118862018"</f>
        <v>9781118862018</v>
      </c>
      <c r="C7889" s="1" t="s">
        <v>11</v>
      </c>
      <c r="D7889" s="2">
        <v>41918</v>
      </c>
      <c r="E7889" s="1" t="s">
        <v>15757</v>
      </c>
      <c r="F7889" s="1" t="s">
        <v>13</v>
      </c>
    </row>
    <row r="7890" spans="1:6" ht="30" customHeight="1" x14ac:dyDescent="0.25">
      <c r="A7890" s="1" t="s">
        <v>15758</v>
      </c>
      <c r="B7890" s="1" t="str">
        <f>"9781118913062"</f>
        <v>9781118913062</v>
      </c>
      <c r="C7890" s="1" t="s">
        <v>65</v>
      </c>
      <c r="D7890" s="2">
        <v>41920</v>
      </c>
      <c r="E7890" s="1" t="s">
        <v>15759</v>
      </c>
      <c r="F7890" s="1" t="s">
        <v>95</v>
      </c>
    </row>
    <row r="7891" spans="1:6" ht="30" customHeight="1" x14ac:dyDescent="0.25">
      <c r="A7891" s="1" t="s">
        <v>15760</v>
      </c>
      <c r="B7891" s="1" t="str">
        <f>"9781118430989"</f>
        <v>9781118430989</v>
      </c>
      <c r="C7891" s="1" t="s">
        <v>65</v>
      </c>
      <c r="D7891" s="2">
        <v>41921</v>
      </c>
      <c r="E7891" s="1" t="s">
        <v>15761</v>
      </c>
      <c r="F7891" s="1" t="s">
        <v>158</v>
      </c>
    </row>
    <row r="7892" spans="1:6" ht="30" customHeight="1" x14ac:dyDescent="0.25">
      <c r="A7892" s="1" t="s">
        <v>15762</v>
      </c>
      <c r="B7892" s="1" t="str">
        <f>"9781118702512"</f>
        <v>9781118702512</v>
      </c>
      <c r="C7892" s="1" t="s">
        <v>65</v>
      </c>
      <c r="D7892" s="2">
        <v>41428</v>
      </c>
      <c r="E7892" s="1" t="s">
        <v>15763</v>
      </c>
      <c r="F7892" s="1" t="s">
        <v>95</v>
      </c>
    </row>
    <row r="7893" spans="1:6" ht="30" customHeight="1" x14ac:dyDescent="0.25">
      <c r="A7893" s="1" t="s">
        <v>15764</v>
      </c>
      <c r="B7893" s="1" t="str">
        <f>"9781118516263"</f>
        <v>9781118516263</v>
      </c>
      <c r="C7893" s="1" t="s">
        <v>65</v>
      </c>
      <c r="D7893" s="2">
        <v>43193</v>
      </c>
      <c r="E7893" s="1" t="s">
        <v>15765</v>
      </c>
      <c r="F7893" s="1" t="s">
        <v>13</v>
      </c>
    </row>
    <row r="7894" spans="1:6" ht="30" customHeight="1" x14ac:dyDescent="0.25">
      <c r="A7894" s="1" t="s">
        <v>15766</v>
      </c>
      <c r="B7894" s="1" t="str">
        <f>"9780826355263"</f>
        <v>9780826355263</v>
      </c>
      <c r="C7894" s="1" t="s">
        <v>15767</v>
      </c>
      <c r="D7894" s="2">
        <v>42003</v>
      </c>
      <c r="E7894" s="1" t="s">
        <v>15768</v>
      </c>
      <c r="F7894" s="1" t="s">
        <v>13</v>
      </c>
    </row>
    <row r="7895" spans="1:6" ht="30" customHeight="1" x14ac:dyDescent="0.25">
      <c r="A7895" s="1" t="s">
        <v>15769</v>
      </c>
      <c r="B7895" s="1" t="str">
        <f>"9781119043683"</f>
        <v>9781119043683</v>
      </c>
      <c r="C7895" s="1" t="s">
        <v>65</v>
      </c>
      <c r="D7895" s="2">
        <v>41925</v>
      </c>
      <c r="E7895" s="1" t="s">
        <v>15770</v>
      </c>
      <c r="F7895" s="1" t="s">
        <v>13</v>
      </c>
    </row>
    <row r="7896" spans="1:6" ht="30" customHeight="1" x14ac:dyDescent="0.25">
      <c r="A7896" s="1" t="s">
        <v>15771</v>
      </c>
      <c r="B7896" s="1" t="str">
        <f>"9783527674206"</f>
        <v>9783527674206</v>
      </c>
      <c r="C7896" s="1" t="s">
        <v>65</v>
      </c>
      <c r="D7896" s="2">
        <v>41960</v>
      </c>
      <c r="E7896" s="1" t="s">
        <v>15772</v>
      </c>
      <c r="F7896" s="1" t="s">
        <v>158</v>
      </c>
    </row>
    <row r="7897" spans="1:6" ht="30" customHeight="1" x14ac:dyDescent="0.25">
      <c r="A7897" s="1" t="s">
        <v>15773</v>
      </c>
      <c r="B7897" s="1" t="str">
        <f>"9781443869881"</f>
        <v>9781443869881</v>
      </c>
      <c r="C7897" s="1" t="s">
        <v>12699</v>
      </c>
      <c r="D7897" s="2">
        <v>41913</v>
      </c>
      <c r="E7897" s="1" t="s">
        <v>15774</v>
      </c>
      <c r="F7897" s="1" t="s">
        <v>13</v>
      </c>
    </row>
    <row r="7898" spans="1:6" ht="30" customHeight="1" x14ac:dyDescent="0.25">
      <c r="A7898" s="1" t="s">
        <v>15775</v>
      </c>
      <c r="B7898" s="1" t="str">
        <f>"9781118274866"</f>
        <v>9781118274866</v>
      </c>
      <c r="C7898" s="1" t="s">
        <v>65</v>
      </c>
      <c r="D7898" s="2">
        <v>41927</v>
      </c>
      <c r="E7898" s="1" t="s">
        <v>15776</v>
      </c>
      <c r="F7898" s="1" t="s">
        <v>158</v>
      </c>
    </row>
    <row r="7899" spans="1:6" ht="30" customHeight="1" x14ac:dyDescent="0.25">
      <c r="A7899" s="1" t="s">
        <v>15777</v>
      </c>
      <c r="B7899" s="1" t="str">
        <f>"9781443870214"</f>
        <v>9781443870214</v>
      </c>
      <c r="C7899" s="1" t="s">
        <v>12699</v>
      </c>
      <c r="D7899" s="2">
        <v>41852</v>
      </c>
      <c r="E7899" s="1" t="s">
        <v>15778</v>
      </c>
      <c r="F7899" s="1" t="s">
        <v>70</v>
      </c>
    </row>
    <row r="7900" spans="1:6" ht="30" customHeight="1" x14ac:dyDescent="0.25">
      <c r="A7900" s="1" t="s">
        <v>15779</v>
      </c>
      <c r="B7900" s="1" t="str">
        <f>"9781856424417"</f>
        <v>9781856424417</v>
      </c>
      <c r="C7900" s="1" t="s">
        <v>9846</v>
      </c>
      <c r="D7900" s="2">
        <v>41925</v>
      </c>
      <c r="E7900" s="1" t="s">
        <v>15780</v>
      </c>
      <c r="F7900" s="1" t="s">
        <v>126</v>
      </c>
    </row>
    <row r="7901" spans="1:6" ht="30" customHeight="1" x14ac:dyDescent="0.25">
      <c r="A7901" s="1" t="s">
        <v>15781</v>
      </c>
      <c r="B7901" s="1" t="str">
        <f>"9781118690314"</f>
        <v>9781118690314</v>
      </c>
      <c r="C7901" s="1" t="s">
        <v>65</v>
      </c>
      <c r="D7901" s="2">
        <v>41932</v>
      </c>
      <c r="E7901" s="1" t="s">
        <v>15782</v>
      </c>
      <c r="F7901" s="1" t="s">
        <v>13</v>
      </c>
    </row>
    <row r="7902" spans="1:6" ht="30" customHeight="1" x14ac:dyDescent="0.25">
      <c r="A7902" s="1" t="s">
        <v>15783</v>
      </c>
      <c r="B7902" s="1" t="str">
        <f>"9781118391594"</f>
        <v>9781118391594</v>
      </c>
      <c r="C7902" s="1" t="s">
        <v>11</v>
      </c>
      <c r="D7902" s="2">
        <v>41933</v>
      </c>
      <c r="E7902" s="1" t="s">
        <v>15784</v>
      </c>
      <c r="F7902" s="1" t="s">
        <v>15785</v>
      </c>
    </row>
    <row r="7903" spans="1:6" ht="30" customHeight="1" x14ac:dyDescent="0.25">
      <c r="A7903" s="1" t="s">
        <v>15786</v>
      </c>
      <c r="B7903" s="1" t="str">
        <f>"9781780233932"</f>
        <v>9781780233932</v>
      </c>
      <c r="C7903" s="1" t="s">
        <v>8471</v>
      </c>
      <c r="D7903" s="2">
        <v>41897</v>
      </c>
      <c r="E7903" s="1" t="s">
        <v>15787</v>
      </c>
      <c r="F7903" s="1" t="s">
        <v>30</v>
      </c>
    </row>
    <row r="7904" spans="1:6" ht="30" customHeight="1" x14ac:dyDescent="0.25">
      <c r="A7904" s="1" t="s">
        <v>15788</v>
      </c>
      <c r="B7904" s="1" t="str">
        <f>"9781118470992"</f>
        <v>9781118470992</v>
      </c>
      <c r="C7904" s="1" t="s">
        <v>11</v>
      </c>
      <c r="D7904" s="2">
        <v>41935</v>
      </c>
      <c r="E7904" s="1" t="s">
        <v>15789</v>
      </c>
      <c r="F7904" s="1" t="s">
        <v>137</v>
      </c>
    </row>
    <row r="7905" spans="1:6" ht="30" customHeight="1" x14ac:dyDescent="0.25">
      <c r="A7905" s="1" t="s">
        <v>15790</v>
      </c>
      <c r="B7905" s="1" t="str">
        <f>"9780826168788"</f>
        <v>9780826168788</v>
      </c>
      <c r="C7905" s="1" t="s">
        <v>2339</v>
      </c>
      <c r="D7905" s="2">
        <v>41936</v>
      </c>
      <c r="E7905" s="1" t="s">
        <v>15791</v>
      </c>
      <c r="F7905" s="1" t="s">
        <v>126</v>
      </c>
    </row>
    <row r="7906" spans="1:6" ht="30" customHeight="1" x14ac:dyDescent="0.25">
      <c r="A7906" s="1" t="s">
        <v>15792</v>
      </c>
      <c r="B7906" s="1" t="str">
        <f>"9781617051883"</f>
        <v>9781617051883</v>
      </c>
      <c r="C7906" s="1" t="s">
        <v>2342</v>
      </c>
      <c r="D7906" s="2">
        <v>41922</v>
      </c>
      <c r="E7906" s="1" t="s">
        <v>15793</v>
      </c>
      <c r="F7906" s="1" t="s">
        <v>13</v>
      </c>
    </row>
    <row r="7907" spans="1:6" ht="30" customHeight="1" x14ac:dyDescent="0.25">
      <c r="A7907" s="1" t="s">
        <v>15794</v>
      </c>
      <c r="B7907" s="1" t="str">
        <f>"9781617051418"</f>
        <v>9781617051418</v>
      </c>
      <c r="C7907" s="1" t="s">
        <v>2342</v>
      </c>
      <c r="D7907" s="2">
        <v>41935</v>
      </c>
      <c r="E7907" s="1" t="s">
        <v>15795</v>
      </c>
      <c r="F7907" s="1" t="s">
        <v>13</v>
      </c>
    </row>
    <row r="7908" spans="1:6" ht="30" customHeight="1" x14ac:dyDescent="0.25">
      <c r="A7908" s="1" t="s">
        <v>15796</v>
      </c>
      <c r="B7908" s="1" t="str">
        <f>"9781118465837"</f>
        <v>9781118465837</v>
      </c>
      <c r="C7908" s="1" t="s">
        <v>65</v>
      </c>
      <c r="D7908" s="2">
        <v>41940</v>
      </c>
      <c r="E7908" s="1" t="s">
        <v>15797</v>
      </c>
      <c r="F7908" s="1" t="s">
        <v>13</v>
      </c>
    </row>
    <row r="7909" spans="1:6" ht="30" customHeight="1" x14ac:dyDescent="0.25">
      <c r="A7909" s="1" t="s">
        <v>15798</v>
      </c>
      <c r="B7909" s="1" t="str">
        <f>"9781118777299"</f>
        <v>9781118777299</v>
      </c>
      <c r="C7909" s="1" t="s">
        <v>65</v>
      </c>
      <c r="D7909" s="2">
        <v>41943</v>
      </c>
      <c r="E7909" s="1" t="s">
        <v>15799</v>
      </c>
      <c r="F7909" s="1" t="s">
        <v>13</v>
      </c>
    </row>
    <row r="7910" spans="1:6" ht="30" customHeight="1" x14ac:dyDescent="0.25">
      <c r="A7910" s="1" t="s">
        <v>15800</v>
      </c>
      <c r="B7910" s="1" t="str">
        <f>"9781846422850"</f>
        <v>9781846422850</v>
      </c>
      <c r="C7910" s="1" t="s">
        <v>2387</v>
      </c>
      <c r="D7910" s="2">
        <v>37087</v>
      </c>
      <c r="E7910" s="1" t="s">
        <v>15801</v>
      </c>
      <c r="F7910" s="1" t="s">
        <v>294</v>
      </c>
    </row>
    <row r="7911" spans="1:6" ht="30" customHeight="1" x14ac:dyDescent="0.25">
      <c r="A7911" s="1" t="s">
        <v>15802</v>
      </c>
      <c r="B7911" s="1" t="str">
        <f>"9781626250161"</f>
        <v>9781626250161</v>
      </c>
      <c r="C7911" s="1" t="s">
        <v>10294</v>
      </c>
      <c r="D7911" s="2">
        <v>41650</v>
      </c>
      <c r="E7911" s="1" t="s">
        <v>15803</v>
      </c>
      <c r="F7911" s="1" t="s">
        <v>13</v>
      </c>
    </row>
    <row r="7912" spans="1:6" ht="30" customHeight="1" x14ac:dyDescent="0.25">
      <c r="A7912" s="1" t="s">
        <v>15804</v>
      </c>
      <c r="B7912" s="1" t="str">
        <f>"9781118504512"</f>
        <v>9781118504512</v>
      </c>
      <c r="C7912" s="1" t="s">
        <v>65</v>
      </c>
      <c r="D7912" s="2">
        <v>41946</v>
      </c>
      <c r="E7912" s="1" t="s">
        <v>15805</v>
      </c>
      <c r="F7912" s="1" t="s">
        <v>13</v>
      </c>
    </row>
    <row r="7913" spans="1:6" ht="30" customHeight="1" x14ac:dyDescent="0.25">
      <c r="A7913" s="1" t="s">
        <v>15806</v>
      </c>
      <c r="B7913" s="1" t="str">
        <f>"9781119019237"</f>
        <v>9781119019237</v>
      </c>
      <c r="C7913" s="1" t="s">
        <v>15807</v>
      </c>
      <c r="D7913" s="2">
        <v>41946</v>
      </c>
      <c r="E7913" s="1" t="s">
        <v>15808</v>
      </c>
      <c r="F7913" s="1" t="s">
        <v>33</v>
      </c>
    </row>
    <row r="7914" spans="1:6" ht="30" customHeight="1" x14ac:dyDescent="0.25">
      <c r="A7914" s="1" t="s">
        <v>15809</v>
      </c>
      <c r="B7914" s="1" t="str">
        <f>"9781783602551"</f>
        <v>9781783602551</v>
      </c>
      <c r="C7914" s="1" t="s">
        <v>8476</v>
      </c>
      <c r="D7914" s="2">
        <v>41956</v>
      </c>
      <c r="E7914" s="1" t="s">
        <v>15810</v>
      </c>
      <c r="F7914" s="1" t="s">
        <v>30</v>
      </c>
    </row>
    <row r="7915" spans="1:6" ht="30" customHeight="1" x14ac:dyDescent="0.25">
      <c r="A7915" s="1" t="s">
        <v>15811</v>
      </c>
      <c r="B7915" s="1" t="str">
        <f>"9780253014559"</f>
        <v>9780253014559</v>
      </c>
      <c r="C7915" s="1" t="s">
        <v>19</v>
      </c>
      <c r="D7915" s="2">
        <v>41953</v>
      </c>
      <c r="E7915" s="1" t="s">
        <v>15812</v>
      </c>
      <c r="F7915" s="1" t="s">
        <v>13</v>
      </c>
    </row>
    <row r="7916" spans="1:6" ht="30" customHeight="1" x14ac:dyDescent="0.25">
      <c r="A7916" s="1" t="s">
        <v>15813</v>
      </c>
      <c r="B7916" s="1" t="str">
        <f>"9781782413387"</f>
        <v>9781782413387</v>
      </c>
      <c r="C7916" s="1" t="s">
        <v>8994</v>
      </c>
      <c r="D7916" s="2">
        <v>41962</v>
      </c>
      <c r="E7916" s="1" t="s">
        <v>15814</v>
      </c>
      <c r="F7916" s="1" t="s">
        <v>104</v>
      </c>
    </row>
    <row r="7917" spans="1:6" ht="30" customHeight="1" x14ac:dyDescent="0.25">
      <c r="A7917" s="1" t="s">
        <v>15815</v>
      </c>
      <c r="B7917" s="1" t="str">
        <f>"9781118760956"</f>
        <v>9781118760956</v>
      </c>
      <c r="C7917" s="1" t="s">
        <v>65</v>
      </c>
      <c r="D7917" s="2">
        <v>41947</v>
      </c>
      <c r="E7917" s="1" t="s">
        <v>15816</v>
      </c>
      <c r="F7917" s="1" t="s">
        <v>126</v>
      </c>
    </row>
    <row r="7918" spans="1:6" ht="30" customHeight="1" x14ac:dyDescent="0.25">
      <c r="A7918" s="1" t="s">
        <v>15817</v>
      </c>
      <c r="B7918" s="1" t="str">
        <f>"9781118418970"</f>
        <v>9781118418970</v>
      </c>
      <c r="C7918" s="1" t="s">
        <v>65</v>
      </c>
      <c r="D7918" s="2">
        <v>41950</v>
      </c>
      <c r="E7918" s="1" t="s">
        <v>15818</v>
      </c>
      <c r="F7918" s="1" t="s">
        <v>13</v>
      </c>
    </row>
    <row r="7919" spans="1:6" ht="30" customHeight="1" x14ac:dyDescent="0.25">
      <c r="A7919" s="1" t="s">
        <v>15819</v>
      </c>
      <c r="B7919" s="1" t="str">
        <f>"9781118799598"</f>
        <v>9781118799598</v>
      </c>
      <c r="C7919" s="1" t="s">
        <v>65</v>
      </c>
      <c r="D7919" s="2">
        <v>41949</v>
      </c>
      <c r="E7919" s="1" t="s">
        <v>15820</v>
      </c>
      <c r="F7919" s="1" t="s">
        <v>13</v>
      </c>
    </row>
    <row r="7920" spans="1:6" ht="30" customHeight="1" x14ac:dyDescent="0.25">
      <c r="A7920" s="1" t="s">
        <v>15821</v>
      </c>
      <c r="B7920" s="1" t="str">
        <f>"9781784411961"</f>
        <v>9781784411961</v>
      </c>
      <c r="C7920" s="1" t="s">
        <v>971</v>
      </c>
      <c r="D7920" s="2">
        <v>41929</v>
      </c>
      <c r="E7920" s="1" t="s">
        <v>15822</v>
      </c>
      <c r="F7920" s="1" t="s">
        <v>95</v>
      </c>
    </row>
    <row r="7921" spans="1:6" ht="30" customHeight="1" x14ac:dyDescent="0.25">
      <c r="A7921" s="1" t="s">
        <v>15823</v>
      </c>
      <c r="B7921" s="1" t="str">
        <f>"9781784410148"</f>
        <v>9781784410148</v>
      </c>
      <c r="C7921" s="1" t="s">
        <v>971</v>
      </c>
      <c r="D7921" s="2">
        <v>41925</v>
      </c>
      <c r="E7921" s="1" t="s">
        <v>15824</v>
      </c>
      <c r="F7921" s="1" t="s">
        <v>87</v>
      </c>
    </row>
    <row r="7922" spans="1:6" ht="30" customHeight="1" x14ac:dyDescent="0.25">
      <c r="A7922" s="1" t="s">
        <v>15825</v>
      </c>
      <c r="B7922" s="1" t="str">
        <f>"9781784411251"</f>
        <v>9781784411251</v>
      </c>
      <c r="C7922" s="1" t="s">
        <v>971</v>
      </c>
      <c r="D7922" s="2">
        <v>41934</v>
      </c>
      <c r="E7922" s="1" t="s">
        <v>15824</v>
      </c>
      <c r="F7922" s="1" t="s">
        <v>87</v>
      </c>
    </row>
    <row r="7923" spans="1:6" ht="30" customHeight="1" x14ac:dyDescent="0.25">
      <c r="A7923" s="1" t="s">
        <v>15826</v>
      </c>
      <c r="B7923" s="1" t="str">
        <f>"9781118581704"</f>
        <v>9781118581704</v>
      </c>
      <c r="C7923" s="1" t="s">
        <v>65</v>
      </c>
      <c r="D7923" s="2">
        <v>41954</v>
      </c>
      <c r="E7923" s="1" t="s">
        <v>15827</v>
      </c>
      <c r="F7923" s="1" t="s">
        <v>13</v>
      </c>
    </row>
    <row r="7924" spans="1:6" ht="30" customHeight="1" x14ac:dyDescent="0.25">
      <c r="A7924" s="1" t="s">
        <v>15828</v>
      </c>
      <c r="B7924" s="1" t="str">
        <f>"9781118952054"</f>
        <v>9781118952054</v>
      </c>
      <c r="C7924" s="1" t="s">
        <v>65</v>
      </c>
      <c r="D7924" s="2">
        <v>41953</v>
      </c>
      <c r="E7924" s="1" t="s">
        <v>15829</v>
      </c>
      <c r="F7924" s="1" t="s">
        <v>13</v>
      </c>
    </row>
    <row r="7925" spans="1:6" ht="30" customHeight="1" x14ac:dyDescent="0.25">
      <c r="A7925" s="1" t="s">
        <v>15830</v>
      </c>
      <c r="B7925" s="1" t="str">
        <f>"9781118850978"</f>
        <v>9781118850978</v>
      </c>
      <c r="C7925" s="1" t="s">
        <v>65</v>
      </c>
      <c r="D7925" s="2">
        <v>41962</v>
      </c>
      <c r="E7925" s="1" t="s">
        <v>15831</v>
      </c>
      <c r="F7925" s="1" t="s">
        <v>13</v>
      </c>
    </row>
    <row r="7926" spans="1:6" ht="30" customHeight="1" x14ac:dyDescent="0.25">
      <c r="A7926" s="1" t="s">
        <v>15832</v>
      </c>
      <c r="B7926" s="1" t="str">
        <f>"9781782412526"</f>
        <v>9781782412526</v>
      </c>
      <c r="C7926" s="1" t="s">
        <v>68</v>
      </c>
      <c r="D7926" s="2">
        <v>41960</v>
      </c>
      <c r="E7926" s="1" t="s">
        <v>15833</v>
      </c>
      <c r="F7926" s="1" t="s">
        <v>104</v>
      </c>
    </row>
    <row r="7927" spans="1:6" ht="30" customHeight="1" x14ac:dyDescent="0.25">
      <c r="A7927" s="1" t="s">
        <v>15834</v>
      </c>
      <c r="B7927" s="1" t="str">
        <f>"9781782412809"</f>
        <v>9781782412809</v>
      </c>
      <c r="C7927" s="1" t="s">
        <v>68</v>
      </c>
      <c r="D7927" s="2">
        <v>41962</v>
      </c>
      <c r="E7927" s="1" t="s">
        <v>15835</v>
      </c>
      <c r="F7927" s="1" t="s">
        <v>304</v>
      </c>
    </row>
    <row r="7928" spans="1:6" ht="30" customHeight="1" x14ac:dyDescent="0.25">
      <c r="A7928" s="1" t="s">
        <v>15836</v>
      </c>
      <c r="B7928" s="1" t="str">
        <f>"9781118932742"</f>
        <v>9781118932742</v>
      </c>
      <c r="C7928" s="1" t="s">
        <v>65</v>
      </c>
      <c r="D7928" s="2">
        <v>41956</v>
      </c>
      <c r="E7928" s="1" t="s">
        <v>15837</v>
      </c>
      <c r="F7928" s="1" t="s">
        <v>13</v>
      </c>
    </row>
    <row r="7929" spans="1:6" ht="30" customHeight="1" x14ac:dyDescent="0.25">
      <c r="A7929" s="1" t="s">
        <v>15838</v>
      </c>
      <c r="B7929" s="1" t="str">
        <f>"9781118938300"</f>
        <v>9781118938300</v>
      </c>
      <c r="C7929" s="1" t="s">
        <v>65</v>
      </c>
      <c r="D7929" s="2">
        <v>41956</v>
      </c>
      <c r="E7929" s="1" t="s">
        <v>15839</v>
      </c>
      <c r="F7929" s="1" t="s">
        <v>221</v>
      </c>
    </row>
    <row r="7930" spans="1:6" ht="30" customHeight="1" x14ac:dyDescent="0.25">
      <c r="A7930" s="1" t="s">
        <v>15840</v>
      </c>
      <c r="B7930" s="1" t="str">
        <f>"9781118650004"</f>
        <v>9781118650004</v>
      </c>
      <c r="C7930" s="1" t="s">
        <v>65</v>
      </c>
      <c r="D7930" s="2">
        <v>41960</v>
      </c>
      <c r="E7930" s="1" t="s">
        <v>15841</v>
      </c>
      <c r="F7930" s="1" t="s">
        <v>95</v>
      </c>
    </row>
    <row r="7931" spans="1:6" ht="30" customHeight="1" x14ac:dyDescent="0.25">
      <c r="A7931" s="1" t="s">
        <v>15842</v>
      </c>
      <c r="B7931" s="1" t="str">
        <f>"9781780233918"</f>
        <v>9781780233918</v>
      </c>
      <c r="C7931" s="1" t="s">
        <v>8471</v>
      </c>
      <c r="D7931" s="2">
        <v>42014</v>
      </c>
      <c r="E7931" s="1" t="s">
        <v>15843</v>
      </c>
      <c r="F7931" s="1" t="s">
        <v>10464</v>
      </c>
    </row>
    <row r="7932" spans="1:6" ht="30" customHeight="1" x14ac:dyDescent="0.25">
      <c r="A7932" s="1" t="s">
        <v>15844</v>
      </c>
      <c r="B7932" s="1" t="str">
        <f>"9783038131014"</f>
        <v>9783038131014</v>
      </c>
      <c r="C7932" s="1" t="s">
        <v>15845</v>
      </c>
      <c r="D7932" s="2">
        <v>38991</v>
      </c>
      <c r="E7932" s="1" t="s">
        <v>15846</v>
      </c>
      <c r="F7932" s="1" t="s">
        <v>13</v>
      </c>
    </row>
    <row r="7933" spans="1:6" ht="30" customHeight="1" x14ac:dyDescent="0.25">
      <c r="A7933" s="1" t="s">
        <v>15847</v>
      </c>
      <c r="B7933" s="1" t="str">
        <f>"9781784412623"</f>
        <v>9781784412623</v>
      </c>
      <c r="C7933" s="1" t="s">
        <v>971</v>
      </c>
      <c r="D7933" s="2">
        <v>41950</v>
      </c>
      <c r="E7933" s="1" t="s">
        <v>15848</v>
      </c>
      <c r="F7933" s="1" t="s">
        <v>87</v>
      </c>
    </row>
    <row r="7934" spans="1:6" ht="30" customHeight="1" x14ac:dyDescent="0.25">
      <c r="A7934" s="1" t="s">
        <v>15849</v>
      </c>
      <c r="B7934" s="1" t="str">
        <f>"9780826355607"</f>
        <v>9780826355607</v>
      </c>
      <c r="C7934" s="1" t="s">
        <v>12882</v>
      </c>
      <c r="D7934" s="2">
        <v>42095</v>
      </c>
      <c r="E7934" s="1" t="s">
        <v>15850</v>
      </c>
      <c r="F7934" s="1" t="s">
        <v>30</v>
      </c>
    </row>
    <row r="7935" spans="1:6" ht="30" customHeight="1" x14ac:dyDescent="0.25">
      <c r="A7935" s="1" t="s">
        <v>15851</v>
      </c>
      <c r="B7935" s="1" t="str">
        <f>"9780813564708"</f>
        <v>9780813564708</v>
      </c>
      <c r="C7935" s="1" t="s">
        <v>3656</v>
      </c>
      <c r="D7935" s="2">
        <v>41982</v>
      </c>
      <c r="E7935" s="1" t="s">
        <v>15852</v>
      </c>
      <c r="F7935" s="1" t="s">
        <v>214</v>
      </c>
    </row>
    <row r="7936" spans="1:6" ht="30" customHeight="1" x14ac:dyDescent="0.25">
      <c r="A7936" s="1" t="s">
        <v>15853</v>
      </c>
      <c r="B7936" s="1" t="str">
        <f>"9781118272381"</f>
        <v>9781118272381</v>
      </c>
      <c r="C7936" s="1" t="s">
        <v>65</v>
      </c>
      <c r="D7936" s="2">
        <v>41962</v>
      </c>
      <c r="E7936" s="1" t="s">
        <v>15854</v>
      </c>
      <c r="F7936" s="1" t="s">
        <v>13</v>
      </c>
    </row>
    <row r="7937" spans="1:6" ht="30" customHeight="1" x14ac:dyDescent="0.25">
      <c r="A7937" s="1" t="s">
        <v>15855</v>
      </c>
      <c r="B7937" s="1" t="str">
        <f>"9781118509746"</f>
        <v>9781118509746</v>
      </c>
      <c r="C7937" s="1" t="s">
        <v>65</v>
      </c>
      <c r="D7937" s="2">
        <v>41962</v>
      </c>
      <c r="E7937" s="1" t="s">
        <v>15856</v>
      </c>
      <c r="F7937" s="1" t="s">
        <v>13</v>
      </c>
    </row>
    <row r="7938" spans="1:6" ht="30" customHeight="1" x14ac:dyDescent="0.25">
      <c r="A7938" s="1" t="s">
        <v>15857</v>
      </c>
      <c r="B7938" s="1" t="str">
        <f>"9780826125187"</f>
        <v>9780826125187</v>
      </c>
      <c r="C7938" s="1" t="s">
        <v>2339</v>
      </c>
      <c r="D7938" s="2">
        <v>41988</v>
      </c>
      <c r="E7938" s="1" t="s">
        <v>15858</v>
      </c>
      <c r="F7938" s="1" t="s">
        <v>13</v>
      </c>
    </row>
    <row r="7939" spans="1:6" ht="30" customHeight="1" x14ac:dyDescent="0.25">
      <c r="A7939" s="1" t="s">
        <v>15859</v>
      </c>
      <c r="B7939" s="1" t="str">
        <f>"9780826171481"</f>
        <v>9780826171481</v>
      </c>
      <c r="C7939" s="1" t="s">
        <v>2339</v>
      </c>
      <c r="D7939" s="2">
        <v>41955</v>
      </c>
      <c r="E7939" s="1" t="s">
        <v>15860</v>
      </c>
      <c r="F7939" s="1" t="s">
        <v>148</v>
      </c>
    </row>
    <row r="7940" spans="1:6" ht="30" customHeight="1" x14ac:dyDescent="0.25">
      <c r="A7940" s="1" t="s">
        <v>15861</v>
      </c>
      <c r="B7940" s="1" t="str">
        <f>"9780826198921"</f>
        <v>9780826198921</v>
      </c>
      <c r="C7940" s="1" t="s">
        <v>2339</v>
      </c>
      <c r="D7940" s="2">
        <v>41963</v>
      </c>
      <c r="E7940" s="1" t="s">
        <v>15862</v>
      </c>
      <c r="F7940" s="1" t="s">
        <v>126</v>
      </c>
    </row>
    <row r="7941" spans="1:6" ht="30" customHeight="1" x14ac:dyDescent="0.25">
      <c r="A7941" s="1" t="s">
        <v>15863</v>
      </c>
      <c r="B7941" s="1" t="str">
        <f>"9783110334043"</f>
        <v>9783110334043</v>
      </c>
      <c r="C7941" s="1" t="s">
        <v>1848</v>
      </c>
      <c r="D7941" s="2">
        <v>42247</v>
      </c>
      <c r="E7941" s="1" t="s">
        <v>15864</v>
      </c>
      <c r="F7941" s="1" t="s">
        <v>13</v>
      </c>
    </row>
    <row r="7942" spans="1:6" ht="30" customHeight="1" x14ac:dyDescent="0.25">
      <c r="A7942" s="1" t="s">
        <v>15865</v>
      </c>
      <c r="B7942" s="1" t="str">
        <f>"9781118760390"</f>
        <v>9781118760390</v>
      </c>
      <c r="C7942" s="1" t="s">
        <v>65</v>
      </c>
      <c r="D7942" s="2">
        <v>41963</v>
      </c>
      <c r="E7942" s="1" t="s">
        <v>15866</v>
      </c>
      <c r="F7942" s="1" t="s">
        <v>13</v>
      </c>
    </row>
    <row r="7943" spans="1:6" ht="30" customHeight="1" x14ac:dyDescent="0.25">
      <c r="A7943" s="1" t="s">
        <v>15867</v>
      </c>
      <c r="B7943" s="1" t="str">
        <f>"9783038132370"</f>
        <v>9783038132370</v>
      </c>
      <c r="C7943" s="1" t="s">
        <v>15845</v>
      </c>
      <c r="D7943" s="2">
        <v>39723</v>
      </c>
      <c r="E7943" s="1" t="s">
        <v>15868</v>
      </c>
      <c r="F7943" s="1" t="s">
        <v>3803</v>
      </c>
    </row>
    <row r="7944" spans="1:6" ht="30" customHeight="1" x14ac:dyDescent="0.25">
      <c r="A7944" s="1" t="s">
        <v>15869</v>
      </c>
      <c r="B7944" s="1" t="str">
        <f>"9783038134428"</f>
        <v>9783038134428</v>
      </c>
      <c r="C7944" s="1" t="s">
        <v>15845</v>
      </c>
      <c r="D7944" s="2">
        <v>40238</v>
      </c>
      <c r="E7944" s="1" t="s">
        <v>15870</v>
      </c>
      <c r="F7944" s="1" t="s">
        <v>13</v>
      </c>
    </row>
    <row r="7945" spans="1:6" ht="30" customHeight="1" x14ac:dyDescent="0.25">
      <c r="A7945" s="1" t="s">
        <v>15871</v>
      </c>
      <c r="B7945" s="1" t="str">
        <f>"9783038134336"</f>
        <v>9783038134336</v>
      </c>
      <c r="C7945" s="1" t="s">
        <v>15845</v>
      </c>
      <c r="D7945" s="2">
        <v>40478</v>
      </c>
      <c r="E7945" s="1" t="s">
        <v>15872</v>
      </c>
      <c r="F7945" s="1" t="s">
        <v>13</v>
      </c>
    </row>
    <row r="7946" spans="1:6" ht="30" customHeight="1" x14ac:dyDescent="0.25">
      <c r="A7946" s="1" t="s">
        <v>15873</v>
      </c>
      <c r="B7946" s="1" t="str">
        <f>"9783038139638"</f>
        <v>9783038139638</v>
      </c>
      <c r="C7946" s="1" t="s">
        <v>15845</v>
      </c>
      <c r="D7946" s="2">
        <v>41332</v>
      </c>
      <c r="E7946" s="1" t="s">
        <v>15874</v>
      </c>
      <c r="F7946" s="1" t="s">
        <v>13</v>
      </c>
    </row>
    <row r="7947" spans="1:6" ht="30" customHeight="1" x14ac:dyDescent="0.25">
      <c r="A7947" s="1" t="s">
        <v>15875</v>
      </c>
      <c r="B7947" s="1" t="str">
        <f>"9781119026396"</f>
        <v>9781119026396</v>
      </c>
      <c r="C7947" s="1" t="s">
        <v>15807</v>
      </c>
      <c r="D7947" s="2">
        <v>41967</v>
      </c>
      <c r="E7947" s="1" t="s">
        <v>15876</v>
      </c>
      <c r="F7947" s="1" t="s">
        <v>13</v>
      </c>
    </row>
    <row r="7948" spans="1:6" ht="30" customHeight="1" x14ac:dyDescent="0.25">
      <c r="A7948" s="1" t="s">
        <v>15877</v>
      </c>
      <c r="B7948" s="1" t="str">
        <f>"9781317491781"</f>
        <v>9781317491781</v>
      </c>
      <c r="C7948" s="1" t="s">
        <v>93</v>
      </c>
      <c r="D7948" s="2">
        <v>41871</v>
      </c>
      <c r="E7948" s="1" t="s">
        <v>15878</v>
      </c>
      <c r="F7948" s="1" t="s">
        <v>304</v>
      </c>
    </row>
    <row r="7949" spans="1:6" ht="30" customHeight="1" x14ac:dyDescent="0.25">
      <c r="A7949" s="1" t="s">
        <v>15879</v>
      </c>
      <c r="B7949" s="1" t="str">
        <f>"9780826107275"</f>
        <v>9780826107275</v>
      </c>
      <c r="C7949" s="1" t="s">
        <v>2339</v>
      </c>
      <c r="D7949" s="2">
        <v>41988</v>
      </c>
      <c r="E7949" s="1" t="s">
        <v>15880</v>
      </c>
      <c r="F7949" s="1" t="s">
        <v>13</v>
      </c>
    </row>
    <row r="7950" spans="1:6" ht="30" customHeight="1" x14ac:dyDescent="0.25">
      <c r="A7950" s="1" t="s">
        <v>15881</v>
      </c>
      <c r="B7950" s="1" t="str">
        <f>"9780826123695"</f>
        <v>9780826123695</v>
      </c>
      <c r="C7950" s="1" t="s">
        <v>2339</v>
      </c>
      <c r="D7950" s="2">
        <v>41978</v>
      </c>
      <c r="E7950" s="1" t="s">
        <v>15882</v>
      </c>
      <c r="F7950" s="1" t="s">
        <v>13</v>
      </c>
    </row>
    <row r="7951" spans="1:6" ht="30" customHeight="1" x14ac:dyDescent="0.25">
      <c r="A7951" s="1" t="s">
        <v>15883</v>
      </c>
      <c r="B7951" s="1" t="str">
        <f>"9780826126146"</f>
        <v>9780826126146</v>
      </c>
      <c r="C7951" s="1" t="s">
        <v>2339</v>
      </c>
      <c r="D7951" s="2">
        <v>41988</v>
      </c>
      <c r="E7951" s="1" t="s">
        <v>15446</v>
      </c>
      <c r="F7951" s="1" t="s">
        <v>126</v>
      </c>
    </row>
    <row r="7952" spans="1:6" ht="30" customHeight="1" x14ac:dyDescent="0.25">
      <c r="A7952" s="1" t="s">
        <v>15884</v>
      </c>
      <c r="B7952" s="1" t="str">
        <f>"9780826126184"</f>
        <v>9780826126184</v>
      </c>
      <c r="C7952" s="1" t="s">
        <v>2339</v>
      </c>
      <c r="D7952" s="2">
        <v>41988</v>
      </c>
      <c r="E7952" s="1" t="s">
        <v>15446</v>
      </c>
      <c r="F7952" s="1" t="s">
        <v>126</v>
      </c>
    </row>
    <row r="7953" spans="1:6" ht="30" customHeight="1" x14ac:dyDescent="0.25">
      <c r="A7953" s="1" t="s">
        <v>15885</v>
      </c>
      <c r="B7953" s="1" t="str">
        <f>"9780826126894"</f>
        <v>9780826126894</v>
      </c>
      <c r="C7953" s="1" t="s">
        <v>2339</v>
      </c>
      <c r="D7953" s="2">
        <v>41988</v>
      </c>
      <c r="E7953" s="1" t="s">
        <v>15446</v>
      </c>
      <c r="F7953" s="1" t="s">
        <v>126</v>
      </c>
    </row>
    <row r="7954" spans="1:6" ht="30" customHeight="1" x14ac:dyDescent="0.25">
      <c r="A7954" s="1" t="s">
        <v>15886</v>
      </c>
      <c r="B7954" s="1" t="str">
        <f>"9780826129987"</f>
        <v>9780826129987</v>
      </c>
      <c r="C7954" s="1" t="s">
        <v>2339</v>
      </c>
      <c r="D7954" s="2">
        <v>41974</v>
      </c>
      <c r="E7954" s="1" t="s">
        <v>15887</v>
      </c>
      <c r="F7954" s="1" t="s">
        <v>13</v>
      </c>
    </row>
    <row r="7955" spans="1:6" ht="30" customHeight="1" x14ac:dyDescent="0.25">
      <c r="A7955" s="1" t="s">
        <v>15888</v>
      </c>
      <c r="B7955" s="1" t="str">
        <f>"9780826198181"</f>
        <v>9780826198181</v>
      </c>
      <c r="C7955" s="1" t="s">
        <v>2339</v>
      </c>
      <c r="D7955" s="2">
        <v>41988</v>
      </c>
      <c r="E7955" s="1" t="s">
        <v>15889</v>
      </c>
      <c r="F7955" s="1" t="s">
        <v>158</v>
      </c>
    </row>
    <row r="7956" spans="1:6" ht="30" customHeight="1" x14ac:dyDescent="0.25">
      <c r="A7956" s="1" t="s">
        <v>15890</v>
      </c>
      <c r="B7956" s="1" t="str">
        <f>"9780702255786"</f>
        <v>9780702255786</v>
      </c>
      <c r="C7956" s="1" t="s">
        <v>14013</v>
      </c>
      <c r="D7956" s="2">
        <v>42005</v>
      </c>
      <c r="E7956" s="1" t="s">
        <v>15891</v>
      </c>
      <c r="F7956" s="1" t="s">
        <v>13</v>
      </c>
    </row>
    <row r="7957" spans="1:6" ht="30" customHeight="1" x14ac:dyDescent="0.25">
      <c r="A7957" s="1" t="s">
        <v>15892</v>
      </c>
      <c r="B7957" s="1" t="str">
        <f>"9789004283596"</f>
        <v>9789004283596</v>
      </c>
      <c r="C7957" s="1" t="s">
        <v>906</v>
      </c>
      <c r="D7957" s="2">
        <v>41976</v>
      </c>
      <c r="E7957" s="1" t="s">
        <v>15893</v>
      </c>
      <c r="F7957" s="1" t="s">
        <v>13</v>
      </c>
    </row>
    <row r="7958" spans="1:6" ht="30" customHeight="1" x14ac:dyDescent="0.25">
      <c r="A7958" s="1" t="s">
        <v>15894</v>
      </c>
      <c r="B7958" s="1" t="str">
        <f>"9789004279162"</f>
        <v>9789004279162</v>
      </c>
      <c r="C7958" s="1" t="s">
        <v>906</v>
      </c>
      <c r="D7958" s="2">
        <v>41991</v>
      </c>
      <c r="E7958" s="1" t="s">
        <v>15895</v>
      </c>
      <c r="F7958" s="1" t="s">
        <v>205</v>
      </c>
    </row>
    <row r="7959" spans="1:6" ht="30" customHeight="1" x14ac:dyDescent="0.25">
      <c r="A7959" s="1" t="s">
        <v>15896</v>
      </c>
      <c r="B7959" s="1" t="str">
        <f>"9789004282223"</f>
        <v>9789004282223</v>
      </c>
      <c r="C7959" s="1" t="s">
        <v>906</v>
      </c>
      <c r="D7959" s="2">
        <v>42011</v>
      </c>
      <c r="E7959" s="1" t="s">
        <v>15897</v>
      </c>
      <c r="F7959" s="1" t="s">
        <v>13</v>
      </c>
    </row>
    <row r="7960" spans="1:6" ht="30" customHeight="1" x14ac:dyDescent="0.25">
      <c r="A7960" s="1" t="s">
        <v>15898</v>
      </c>
      <c r="B7960" s="1" t="str">
        <f>"9781118630037"</f>
        <v>9781118630037</v>
      </c>
      <c r="C7960" s="1" t="s">
        <v>11</v>
      </c>
      <c r="D7960" s="2">
        <v>41974</v>
      </c>
      <c r="E7960" s="1" t="s">
        <v>15899</v>
      </c>
      <c r="F7960" s="1" t="s">
        <v>13</v>
      </c>
    </row>
    <row r="7961" spans="1:6" ht="30" customHeight="1" x14ac:dyDescent="0.25">
      <c r="A7961" s="1" t="s">
        <v>15900</v>
      </c>
      <c r="B7961" s="1" t="str">
        <f>"9781118772591"</f>
        <v>9781118772591</v>
      </c>
      <c r="C7961" s="1" t="s">
        <v>11</v>
      </c>
      <c r="D7961" s="2">
        <v>41974</v>
      </c>
      <c r="E7961" s="1" t="s">
        <v>15901</v>
      </c>
      <c r="F7961" s="1" t="s">
        <v>13</v>
      </c>
    </row>
    <row r="7962" spans="1:6" ht="30" customHeight="1" x14ac:dyDescent="0.25">
      <c r="A7962" s="1" t="s">
        <v>15902</v>
      </c>
      <c r="B7962" s="1" t="str">
        <f>"9783110414844"</f>
        <v>9783110414844</v>
      </c>
      <c r="C7962" s="1" t="s">
        <v>13524</v>
      </c>
      <c r="D7962" s="2">
        <v>42143</v>
      </c>
      <c r="E7962" s="1" t="s">
        <v>15903</v>
      </c>
      <c r="F7962" s="1" t="s">
        <v>95</v>
      </c>
    </row>
    <row r="7963" spans="1:6" ht="30" customHeight="1" x14ac:dyDescent="0.25">
      <c r="A7963" s="1" t="s">
        <v>15904</v>
      </c>
      <c r="B7963" s="1" t="str">
        <f>"9781118953617"</f>
        <v>9781118953617</v>
      </c>
      <c r="C7963" s="1" t="s">
        <v>11</v>
      </c>
      <c r="D7963" s="2">
        <v>41974</v>
      </c>
      <c r="E7963" s="1" t="s">
        <v>15905</v>
      </c>
      <c r="F7963" s="1" t="s">
        <v>13</v>
      </c>
    </row>
    <row r="7964" spans="1:6" ht="30" customHeight="1" x14ac:dyDescent="0.25">
      <c r="A7964" s="1" t="s">
        <v>15906</v>
      </c>
      <c r="B7964" s="1" t="str">
        <f>"9781119026587"</f>
        <v>9781119026587</v>
      </c>
      <c r="C7964" s="1" t="s">
        <v>15807</v>
      </c>
      <c r="D7964" s="2">
        <v>41974</v>
      </c>
      <c r="E7964" s="1" t="s">
        <v>15907</v>
      </c>
      <c r="F7964" s="1" t="s">
        <v>13</v>
      </c>
    </row>
    <row r="7965" spans="1:6" ht="30" customHeight="1" x14ac:dyDescent="0.25">
      <c r="A7965" s="1" t="s">
        <v>15908</v>
      </c>
      <c r="B7965" s="1" t="str">
        <f>"9781611686357"</f>
        <v>9781611686357</v>
      </c>
      <c r="C7965" s="1" t="s">
        <v>12713</v>
      </c>
      <c r="D7965" s="2">
        <v>41873</v>
      </c>
      <c r="E7965" s="1" t="s">
        <v>15909</v>
      </c>
      <c r="F7965" s="1" t="s">
        <v>13</v>
      </c>
    </row>
    <row r="7966" spans="1:6" ht="30" customHeight="1" x14ac:dyDescent="0.25">
      <c r="A7966" s="1" t="s">
        <v>15910</v>
      </c>
      <c r="B7966" s="1" t="str">
        <f>"9781611686760"</f>
        <v>9781611686760</v>
      </c>
      <c r="C7966" s="1" t="s">
        <v>12713</v>
      </c>
      <c r="D7966" s="2">
        <v>42010</v>
      </c>
      <c r="E7966" s="1" t="s">
        <v>15911</v>
      </c>
      <c r="F7966" s="1" t="s">
        <v>13</v>
      </c>
    </row>
    <row r="7967" spans="1:6" ht="30" customHeight="1" x14ac:dyDescent="0.25">
      <c r="A7967" s="1" t="s">
        <v>15912</v>
      </c>
      <c r="B7967" s="1" t="str">
        <f>"9781611686968"</f>
        <v>9781611686968</v>
      </c>
      <c r="C7967" s="1" t="s">
        <v>12713</v>
      </c>
      <c r="D7967" s="2">
        <v>42052</v>
      </c>
      <c r="E7967" s="1" t="s">
        <v>15913</v>
      </c>
      <c r="F7967" s="1" t="s">
        <v>95</v>
      </c>
    </row>
    <row r="7968" spans="1:6" ht="30" customHeight="1" x14ac:dyDescent="0.25">
      <c r="A7968" s="1" t="s">
        <v>15914</v>
      </c>
      <c r="B7968" s="1" t="str">
        <f>"9781118419588"</f>
        <v>9781118419588</v>
      </c>
      <c r="C7968" s="1" t="s">
        <v>65</v>
      </c>
      <c r="D7968" s="2">
        <v>41975</v>
      </c>
      <c r="E7968" s="1" t="s">
        <v>15915</v>
      </c>
      <c r="F7968" s="1" t="s">
        <v>214</v>
      </c>
    </row>
    <row r="7969" spans="1:6" ht="30" customHeight="1" x14ac:dyDescent="0.25">
      <c r="A7969" s="1" t="s">
        <v>15916</v>
      </c>
      <c r="B7969" s="1" t="str">
        <f>"9783527689392"</f>
        <v>9783527689392</v>
      </c>
      <c r="C7969" s="1" t="s">
        <v>65</v>
      </c>
      <c r="D7969" s="2">
        <v>41975</v>
      </c>
      <c r="E7969" s="1" t="s">
        <v>15917</v>
      </c>
      <c r="F7969" s="1" t="s">
        <v>15918</v>
      </c>
    </row>
    <row r="7970" spans="1:6" ht="30" customHeight="1" x14ac:dyDescent="0.25">
      <c r="A7970" s="1" t="s">
        <v>15919</v>
      </c>
      <c r="B7970" s="1" t="str">
        <f>"9781118504970"</f>
        <v>9781118504970</v>
      </c>
      <c r="C7970" s="1" t="s">
        <v>65</v>
      </c>
      <c r="D7970" s="2">
        <v>41976</v>
      </c>
      <c r="E7970" s="1" t="s">
        <v>15920</v>
      </c>
      <c r="F7970" s="1" t="s">
        <v>4314</v>
      </c>
    </row>
    <row r="7971" spans="1:6" ht="30" customHeight="1" x14ac:dyDescent="0.25">
      <c r="A7971" s="1" t="s">
        <v>15921</v>
      </c>
      <c r="B7971" s="1" t="str">
        <f>"9780873898997"</f>
        <v>9780873898997</v>
      </c>
      <c r="C7971" s="1" t="s">
        <v>15922</v>
      </c>
      <c r="D7971" s="2">
        <v>39083</v>
      </c>
      <c r="E7971" s="1" t="s">
        <v>15923</v>
      </c>
      <c r="F7971" s="1" t="s">
        <v>95</v>
      </c>
    </row>
    <row r="7972" spans="1:6" ht="30" customHeight="1" x14ac:dyDescent="0.25">
      <c r="A7972" s="1" t="s">
        <v>15924</v>
      </c>
      <c r="B7972" s="1" t="str">
        <f>"9781617051869"</f>
        <v>9781617051869</v>
      </c>
      <c r="C7972" s="1" t="s">
        <v>2342</v>
      </c>
      <c r="D7972" s="2">
        <v>41953</v>
      </c>
      <c r="E7972" s="1" t="s">
        <v>15925</v>
      </c>
      <c r="F7972" s="1" t="s">
        <v>13</v>
      </c>
    </row>
    <row r="7973" spans="1:6" ht="30" customHeight="1" x14ac:dyDescent="0.25">
      <c r="A7973" s="1" t="s">
        <v>15926</v>
      </c>
      <c r="B7973" s="1" t="str">
        <f>"9783527672738"</f>
        <v>9783527672738</v>
      </c>
      <c r="C7973" s="1" t="s">
        <v>65</v>
      </c>
      <c r="D7973" s="2">
        <v>41977</v>
      </c>
      <c r="E7973" s="1" t="s">
        <v>15927</v>
      </c>
      <c r="F7973" s="1" t="s">
        <v>137</v>
      </c>
    </row>
    <row r="7974" spans="1:6" ht="30" customHeight="1" x14ac:dyDescent="0.25">
      <c r="A7974" s="1" t="s">
        <v>15928</v>
      </c>
      <c r="B7974" s="1" t="str">
        <f>"9780231538442"</f>
        <v>9780231538442</v>
      </c>
      <c r="C7974" s="1" t="s">
        <v>11751</v>
      </c>
      <c r="D7974" s="2">
        <v>42017</v>
      </c>
      <c r="E7974" s="1" t="s">
        <v>15929</v>
      </c>
      <c r="F7974" s="1" t="s">
        <v>599</v>
      </c>
    </row>
    <row r="7975" spans="1:6" ht="30" customHeight="1" x14ac:dyDescent="0.25">
      <c r="A7975" s="1" t="s">
        <v>15930</v>
      </c>
      <c r="B7975" s="1" t="str">
        <f>"9780231538770"</f>
        <v>9780231538770</v>
      </c>
      <c r="C7975" s="1" t="s">
        <v>11751</v>
      </c>
      <c r="D7975" s="2">
        <v>42129</v>
      </c>
      <c r="E7975" s="1" t="s">
        <v>15931</v>
      </c>
      <c r="F7975" s="1" t="s">
        <v>30</v>
      </c>
    </row>
    <row r="7976" spans="1:6" ht="30" customHeight="1" x14ac:dyDescent="0.25">
      <c r="A7976" s="1" t="s">
        <v>15932</v>
      </c>
      <c r="B7976" s="1" t="str">
        <f>"9781597566452"</f>
        <v>9781597566452</v>
      </c>
      <c r="C7976" s="1" t="s">
        <v>15933</v>
      </c>
      <c r="D7976" s="2">
        <v>41699</v>
      </c>
      <c r="E7976" s="1" t="s">
        <v>15934</v>
      </c>
      <c r="F7976" s="1" t="s">
        <v>13</v>
      </c>
    </row>
    <row r="7977" spans="1:6" ht="30" customHeight="1" x14ac:dyDescent="0.25">
      <c r="A7977" s="1" t="s">
        <v>15935</v>
      </c>
      <c r="B7977" s="1" t="str">
        <f>"9781597566483"</f>
        <v>9781597566483</v>
      </c>
      <c r="C7977" s="1" t="s">
        <v>15933</v>
      </c>
      <c r="D7977" s="2">
        <v>41821</v>
      </c>
      <c r="E7977" s="1" t="s">
        <v>15936</v>
      </c>
      <c r="F7977" s="1" t="s">
        <v>13</v>
      </c>
    </row>
    <row r="7978" spans="1:6" ht="30" customHeight="1" x14ac:dyDescent="0.25">
      <c r="A7978" s="1" t="s">
        <v>15937</v>
      </c>
      <c r="B7978" s="1" t="str">
        <f>"9781597566421"</f>
        <v>9781597566421</v>
      </c>
      <c r="C7978" s="1" t="s">
        <v>15933</v>
      </c>
      <c r="D7978" s="2">
        <v>41640</v>
      </c>
      <c r="E7978" s="1" t="s">
        <v>15938</v>
      </c>
      <c r="F7978" s="1" t="s">
        <v>13</v>
      </c>
    </row>
    <row r="7979" spans="1:6" ht="30" customHeight="1" x14ac:dyDescent="0.25">
      <c r="A7979" s="1" t="s">
        <v>15939</v>
      </c>
      <c r="B7979" s="1" t="str">
        <f>"9781597566469"</f>
        <v>9781597566469</v>
      </c>
      <c r="C7979" s="1" t="s">
        <v>15933</v>
      </c>
      <c r="D7979" s="2">
        <v>41823</v>
      </c>
      <c r="E7979" s="1" t="s">
        <v>15940</v>
      </c>
      <c r="F7979" s="1" t="s">
        <v>13</v>
      </c>
    </row>
    <row r="7980" spans="1:6" ht="30" customHeight="1" x14ac:dyDescent="0.25">
      <c r="A7980" s="1" t="s">
        <v>15941</v>
      </c>
      <c r="B7980" s="1" t="str">
        <f>"9781597566476"</f>
        <v>9781597566476</v>
      </c>
      <c r="C7980" s="1" t="s">
        <v>15933</v>
      </c>
      <c r="D7980" s="2">
        <v>41640</v>
      </c>
      <c r="E7980" s="1" t="s">
        <v>15942</v>
      </c>
      <c r="F7980" s="1" t="s">
        <v>13</v>
      </c>
    </row>
    <row r="7981" spans="1:6" ht="30" customHeight="1" x14ac:dyDescent="0.25">
      <c r="A7981" s="1" t="s">
        <v>15943</v>
      </c>
      <c r="B7981" s="1" t="str">
        <f>"9781597566438"</f>
        <v>9781597566438</v>
      </c>
      <c r="C7981" s="1" t="s">
        <v>15933</v>
      </c>
      <c r="D7981" s="2">
        <v>41579</v>
      </c>
      <c r="E7981" s="1" t="s">
        <v>15944</v>
      </c>
      <c r="F7981" s="1" t="s">
        <v>13</v>
      </c>
    </row>
    <row r="7982" spans="1:6" ht="30" customHeight="1" x14ac:dyDescent="0.25">
      <c r="A7982" s="1" t="s">
        <v>15945</v>
      </c>
      <c r="B7982" s="1" t="str">
        <f>"9781597566056"</f>
        <v>9781597566056</v>
      </c>
      <c r="C7982" s="1" t="s">
        <v>15933</v>
      </c>
      <c r="D7982" s="2">
        <v>41769</v>
      </c>
      <c r="E7982" s="1" t="s">
        <v>15946</v>
      </c>
      <c r="F7982" s="1" t="s">
        <v>13</v>
      </c>
    </row>
    <row r="7983" spans="1:6" ht="30" customHeight="1" x14ac:dyDescent="0.25">
      <c r="A7983" s="1" t="s">
        <v>15947</v>
      </c>
      <c r="B7983" s="1" t="str">
        <f>"9781597566070"</f>
        <v>9781597566070</v>
      </c>
      <c r="C7983" s="1" t="s">
        <v>15933</v>
      </c>
      <c r="D7983" s="2">
        <v>41773</v>
      </c>
      <c r="E7983" s="1" t="s">
        <v>15948</v>
      </c>
      <c r="F7983" s="1" t="s">
        <v>13</v>
      </c>
    </row>
    <row r="7984" spans="1:6" ht="30" customHeight="1" x14ac:dyDescent="0.25">
      <c r="A7984" s="1" t="s">
        <v>15949</v>
      </c>
      <c r="B7984" s="1" t="str">
        <f>"9781597565332"</f>
        <v>9781597565332</v>
      </c>
      <c r="C7984" s="1" t="s">
        <v>15933</v>
      </c>
      <c r="D7984" s="2">
        <v>41548</v>
      </c>
      <c r="E7984" s="1" t="s">
        <v>15950</v>
      </c>
      <c r="F7984" s="1" t="s">
        <v>13</v>
      </c>
    </row>
    <row r="7985" spans="1:6" ht="30" customHeight="1" x14ac:dyDescent="0.25">
      <c r="A7985" s="1" t="s">
        <v>15932</v>
      </c>
      <c r="B7985" s="1" t="str">
        <f>"9781597566414"</f>
        <v>9781597566414</v>
      </c>
      <c r="C7985" s="1" t="s">
        <v>15933</v>
      </c>
      <c r="D7985" s="2">
        <v>41456</v>
      </c>
      <c r="E7985" s="1" t="s">
        <v>15951</v>
      </c>
      <c r="F7985" s="1" t="s">
        <v>13</v>
      </c>
    </row>
    <row r="7986" spans="1:6" ht="30" customHeight="1" x14ac:dyDescent="0.25">
      <c r="A7986" s="1" t="s">
        <v>15952</v>
      </c>
      <c r="B7986" s="1" t="str">
        <f>"9781597566407"</f>
        <v>9781597566407</v>
      </c>
      <c r="C7986" s="1" t="s">
        <v>15933</v>
      </c>
      <c r="D7986" s="2">
        <v>41824</v>
      </c>
      <c r="E7986" s="1" t="s">
        <v>15953</v>
      </c>
      <c r="F7986" s="1" t="s">
        <v>13</v>
      </c>
    </row>
    <row r="7987" spans="1:6" ht="30" customHeight="1" x14ac:dyDescent="0.25">
      <c r="A7987" s="1" t="s">
        <v>15954</v>
      </c>
      <c r="B7987" s="1" t="str">
        <f>"9781597566384"</f>
        <v>9781597566384</v>
      </c>
      <c r="C7987" s="1" t="s">
        <v>15933</v>
      </c>
      <c r="D7987" s="2">
        <v>41822</v>
      </c>
      <c r="E7987" s="1" t="s">
        <v>15955</v>
      </c>
      <c r="F7987" s="1" t="s">
        <v>13</v>
      </c>
    </row>
    <row r="7988" spans="1:6" ht="30" customHeight="1" x14ac:dyDescent="0.25">
      <c r="A7988" s="1" t="s">
        <v>15956</v>
      </c>
      <c r="B7988" s="1" t="str">
        <f>"9781597566322"</f>
        <v>9781597566322</v>
      </c>
      <c r="C7988" s="1" t="s">
        <v>15933</v>
      </c>
      <c r="D7988" s="2">
        <v>41821</v>
      </c>
      <c r="E7988" s="1" t="s">
        <v>15957</v>
      </c>
      <c r="F7988" s="1" t="s">
        <v>13</v>
      </c>
    </row>
    <row r="7989" spans="1:6" ht="30" customHeight="1" x14ac:dyDescent="0.25">
      <c r="A7989" s="1" t="s">
        <v>15958</v>
      </c>
      <c r="B7989" s="1" t="str">
        <f>"9781597565998"</f>
        <v>9781597565998</v>
      </c>
      <c r="C7989" s="1" t="s">
        <v>15933</v>
      </c>
      <c r="D7989" s="2">
        <v>41348</v>
      </c>
      <c r="E7989" s="1" t="s">
        <v>15959</v>
      </c>
      <c r="F7989" s="1" t="s">
        <v>13</v>
      </c>
    </row>
    <row r="7990" spans="1:6" ht="30" customHeight="1" x14ac:dyDescent="0.25">
      <c r="A7990" s="1" t="s">
        <v>15960</v>
      </c>
      <c r="B7990" s="1" t="str">
        <f>"9781597566360"</f>
        <v>9781597566360</v>
      </c>
      <c r="C7990" s="1" t="s">
        <v>15933</v>
      </c>
      <c r="D7990" s="2">
        <v>41819</v>
      </c>
      <c r="E7990" s="1" t="s">
        <v>15961</v>
      </c>
      <c r="F7990" s="1" t="s">
        <v>13</v>
      </c>
    </row>
    <row r="7991" spans="1:6" ht="30" customHeight="1" x14ac:dyDescent="0.25">
      <c r="A7991" s="1" t="s">
        <v>15962</v>
      </c>
      <c r="B7991" s="1" t="str">
        <f>"9781597566339"</f>
        <v>9781597566339</v>
      </c>
      <c r="C7991" s="1" t="s">
        <v>15933</v>
      </c>
      <c r="D7991" s="2">
        <v>41819</v>
      </c>
      <c r="E7991" s="1" t="s">
        <v>15961</v>
      </c>
      <c r="F7991" s="1" t="s">
        <v>13</v>
      </c>
    </row>
    <row r="7992" spans="1:6" ht="30" customHeight="1" x14ac:dyDescent="0.25">
      <c r="A7992" s="1" t="s">
        <v>15963</v>
      </c>
      <c r="B7992" s="1" t="str">
        <f>"9781597566391"</f>
        <v>9781597566391</v>
      </c>
      <c r="C7992" s="1" t="s">
        <v>15933</v>
      </c>
      <c r="D7992" s="2">
        <v>41835</v>
      </c>
      <c r="E7992" s="1" t="s">
        <v>15964</v>
      </c>
      <c r="F7992" s="1" t="s">
        <v>13</v>
      </c>
    </row>
    <row r="7993" spans="1:6" ht="30" customHeight="1" x14ac:dyDescent="0.25">
      <c r="A7993" s="1" t="s">
        <v>15965</v>
      </c>
      <c r="B7993" s="1" t="str">
        <f>"9781597566353"</f>
        <v>9781597566353</v>
      </c>
      <c r="C7993" s="1" t="s">
        <v>15933</v>
      </c>
      <c r="D7993" s="2">
        <v>41881</v>
      </c>
      <c r="E7993" s="1" t="s">
        <v>15966</v>
      </c>
      <c r="F7993" s="1" t="s">
        <v>13</v>
      </c>
    </row>
    <row r="7994" spans="1:6" ht="30" customHeight="1" x14ac:dyDescent="0.25">
      <c r="A7994" s="1" t="s">
        <v>15967</v>
      </c>
      <c r="B7994" s="1" t="str">
        <f>"9781597566346"</f>
        <v>9781597566346</v>
      </c>
      <c r="C7994" s="1" t="s">
        <v>15933</v>
      </c>
      <c r="D7994" s="2">
        <v>41275</v>
      </c>
      <c r="E7994" s="1" t="s">
        <v>15968</v>
      </c>
      <c r="F7994" s="1" t="s">
        <v>13</v>
      </c>
    </row>
    <row r="7995" spans="1:6" ht="30" customHeight="1" x14ac:dyDescent="0.25">
      <c r="A7995" s="1" t="s">
        <v>15969</v>
      </c>
      <c r="B7995" s="1" t="str">
        <f>"9781597566018"</f>
        <v>9781597566018</v>
      </c>
      <c r="C7995" s="1" t="s">
        <v>15933</v>
      </c>
      <c r="D7995" s="2">
        <v>41122</v>
      </c>
      <c r="E7995" s="1" t="s">
        <v>15970</v>
      </c>
      <c r="F7995" s="1" t="s">
        <v>13</v>
      </c>
    </row>
    <row r="7996" spans="1:6" ht="30" customHeight="1" x14ac:dyDescent="0.25">
      <c r="A7996" s="1" t="s">
        <v>15971</v>
      </c>
      <c r="B7996" s="1" t="str">
        <f>"9781597566292"</f>
        <v>9781597566292</v>
      </c>
      <c r="C7996" s="1" t="s">
        <v>15933</v>
      </c>
      <c r="D7996" s="2">
        <v>41822</v>
      </c>
      <c r="E7996" s="1" t="s">
        <v>15972</v>
      </c>
      <c r="F7996" s="1" t="s">
        <v>13</v>
      </c>
    </row>
    <row r="7997" spans="1:6" ht="30" customHeight="1" x14ac:dyDescent="0.25">
      <c r="A7997" s="1" t="s">
        <v>15973</v>
      </c>
      <c r="B7997" s="1" t="str">
        <f>"9781597566285"</f>
        <v>9781597566285</v>
      </c>
      <c r="C7997" s="1" t="s">
        <v>15933</v>
      </c>
      <c r="D7997" s="2">
        <v>41000</v>
      </c>
      <c r="E7997" s="1" t="s">
        <v>15974</v>
      </c>
      <c r="F7997" s="1" t="s">
        <v>13</v>
      </c>
    </row>
    <row r="7998" spans="1:6" ht="30" customHeight="1" x14ac:dyDescent="0.25">
      <c r="A7998" s="1" t="s">
        <v>15975</v>
      </c>
      <c r="B7998" s="1" t="str">
        <f>"9781597565868"</f>
        <v>9781597565868</v>
      </c>
      <c r="C7998" s="1" t="s">
        <v>15933</v>
      </c>
      <c r="D7998" s="2">
        <v>40940</v>
      </c>
      <c r="E7998" s="1" t="s">
        <v>15976</v>
      </c>
      <c r="F7998" s="1" t="s">
        <v>13</v>
      </c>
    </row>
    <row r="7999" spans="1:6" ht="30" customHeight="1" x14ac:dyDescent="0.25">
      <c r="A7999" s="1" t="s">
        <v>15977</v>
      </c>
      <c r="B7999" s="1" t="str">
        <f>"9781597565936"</f>
        <v>9781597565936</v>
      </c>
      <c r="C7999" s="1" t="s">
        <v>15933</v>
      </c>
      <c r="D7999" s="2">
        <v>41769</v>
      </c>
      <c r="E7999" s="1" t="s">
        <v>15978</v>
      </c>
      <c r="F7999" s="1" t="s">
        <v>13</v>
      </c>
    </row>
    <row r="8000" spans="1:6" ht="30" customHeight="1" x14ac:dyDescent="0.25">
      <c r="A8000" s="1" t="s">
        <v>15979</v>
      </c>
      <c r="B8000" s="1" t="str">
        <f>"9781597566247"</f>
        <v>9781597566247</v>
      </c>
      <c r="C8000" s="1" t="s">
        <v>15933</v>
      </c>
      <c r="D8000" s="2">
        <v>41831</v>
      </c>
      <c r="E8000" s="1" t="s">
        <v>15980</v>
      </c>
      <c r="F8000" s="1" t="s">
        <v>13</v>
      </c>
    </row>
    <row r="8001" spans="1:6" ht="30" customHeight="1" x14ac:dyDescent="0.25">
      <c r="A8001" s="1" t="s">
        <v>15981</v>
      </c>
      <c r="B8001" s="1" t="str">
        <f>"9781597565974"</f>
        <v>9781597565974</v>
      </c>
      <c r="C8001" s="1" t="s">
        <v>15933</v>
      </c>
      <c r="D8001" s="2">
        <v>40848</v>
      </c>
      <c r="E8001" s="1" t="s">
        <v>15982</v>
      </c>
      <c r="F8001" s="1" t="s">
        <v>2443</v>
      </c>
    </row>
    <row r="8002" spans="1:6" ht="30" customHeight="1" x14ac:dyDescent="0.25">
      <c r="A8002" s="1" t="s">
        <v>15983</v>
      </c>
      <c r="B8002" s="1" t="str">
        <f>"9781597565950"</f>
        <v>9781597565950</v>
      </c>
      <c r="C8002" s="1" t="s">
        <v>15933</v>
      </c>
      <c r="D8002" s="2">
        <v>40786</v>
      </c>
      <c r="E8002" s="1" t="s">
        <v>15984</v>
      </c>
      <c r="F8002" s="1" t="s">
        <v>13</v>
      </c>
    </row>
    <row r="8003" spans="1:6" ht="30" customHeight="1" x14ac:dyDescent="0.25">
      <c r="A8003" s="1" t="s">
        <v>15985</v>
      </c>
      <c r="B8003" s="1" t="str">
        <f>"9781597565929"</f>
        <v>9781597565929</v>
      </c>
      <c r="C8003" s="1" t="s">
        <v>15933</v>
      </c>
      <c r="D8003" s="2">
        <v>40695</v>
      </c>
      <c r="E8003" s="1" t="s">
        <v>15986</v>
      </c>
      <c r="F8003" s="1" t="s">
        <v>13</v>
      </c>
    </row>
    <row r="8004" spans="1:6" ht="30" customHeight="1" x14ac:dyDescent="0.25">
      <c r="A8004" s="1" t="s">
        <v>15987</v>
      </c>
      <c r="B8004" s="1" t="str">
        <f>"9781597565820"</f>
        <v>9781597565820</v>
      </c>
      <c r="C8004" s="1" t="s">
        <v>15933</v>
      </c>
      <c r="D8004" s="2">
        <v>40664</v>
      </c>
      <c r="E8004" s="1" t="s">
        <v>15988</v>
      </c>
      <c r="F8004" s="1" t="s">
        <v>13</v>
      </c>
    </row>
    <row r="8005" spans="1:6" ht="30" customHeight="1" x14ac:dyDescent="0.25">
      <c r="A8005" s="1" t="s">
        <v>15989</v>
      </c>
      <c r="B8005" s="1" t="str">
        <f>"9781597565776"</f>
        <v>9781597565776</v>
      </c>
      <c r="C8005" s="1" t="s">
        <v>15933</v>
      </c>
      <c r="D8005" s="2">
        <v>40483</v>
      </c>
      <c r="E8005" s="1" t="s">
        <v>15990</v>
      </c>
      <c r="F8005" s="1" t="s">
        <v>13</v>
      </c>
    </row>
    <row r="8006" spans="1:6" ht="30" customHeight="1" x14ac:dyDescent="0.25">
      <c r="A8006" s="1" t="s">
        <v>15991</v>
      </c>
      <c r="B8006" s="1" t="str">
        <f>"9781597566223"</f>
        <v>9781597566223</v>
      </c>
      <c r="C8006" s="1" t="s">
        <v>15933</v>
      </c>
      <c r="D8006" s="2">
        <v>40422</v>
      </c>
      <c r="E8006" s="1" t="s">
        <v>15992</v>
      </c>
      <c r="F8006" s="1" t="s">
        <v>13</v>
      </c>
    </row>
    <row r="8007" spans="1:6" ht="30" customHeight="1" x14ac:dyDescent="0.25">
      <c r="A8007" s="1" t="s">
        <v>15993</v>
      </c>
      <c r="B8007" s="1" t="str">
        <f>"9781597566209"</f>
        <v>9781597566209</v>
      </c>
      <c r="C8007" s="1" t="s">
        <v>15933</v>
      </c>
      <c r="D8007" s="2">
        <v>41822</v>
      </c>
      <c r="E8007" s="1" t="s">
        <v>15994</v>
      </c>
      <c r="F8007" s="1" t="s">
        <v>13</v>
      </c>
    </row>
    <row r="8008" spans="1:6" ht="30" customHeight="1" x14ac:dyDescent="0.25">
      <c r="A8008" s="1" t="s">
        <v>15995</v>
      </c>
      <c r="B8008" s="1" t="str">
        <f>"9781597566216"</f>
        <v>9781597566216</v>
      </c>
      <c r="C8008" s="1" t="s">
        <v>15933</v>
      </c>
      <c r="D8008" s="2">
        <v>41822</v>
      </c>
      <c r="E8008" s="1" t="s">
        <v>15996</v>
      </c>
      <c r="F8008" s="1" t="s">
        <v>13</v>
      </c>
    </row>
    <row r="8009" spans="1:6" ht="30" customHeight="1" x14ac:dyDescent="0.25">
      <c r="A8009" s="1" t="s">
        <v>15997</v>
      </c>
      <c r="B8009" s="1" t="str">
        <f>"9781597566193"</f>
        <v>9781597566193</v>
      </c>
      <c r="C8009" s="1" t="s">
        <v>15933</v>
      </c>
      <c r="D8009" s="2">
        <v>41882</v>
      </c>
      <c r="E8009" s="1" t="s">
        <v>15998</v>
      </c>
      <c r="F8009" s="1" t="s">
        <v>13</v>
      </c>
    </row>
    <row r="8010" spans="1:6" ht="30" customHeight="1" x14ac:dyDescent="0.25">
      <c r="A8010" s="1" t="s">
        <v>15999</v>
      </c>
      <c r="B8010" s="1" t="str">
        <f>"9781597566377"</f>
        <v>9781597566377</v>
      </c>
      <c r="C8010" s="1" t="s">
        <v>15933</v>
      </c>
      <c r="D8010" s="2">
        <v>41363</v>
      </c>
      <c r="E8010" s="1" t="s">
        <v>16000</v>
      </c>
      <c r="F8010" s="1" t="s">
        <v>13</v>
      </c>
    </row>
    <row r="8011" spans="1:6" ht="30" customHeight="1" x14ac:dyDescent="0.25">
      <c r="A8011" s="1" t="s">
        <v>16001</v>
      </c>
      <c r="B8011" s="1" t="str">
        <f>"9781617051999"</f>
        <v>9781617051999</v>
      </c>
      <c r="C8011" s="1" t="s">
        <v>2342</v>
      </c>
      <c r="D8011" s="2">
        <v>41992</v>
      </c>
      <c r="E8011" s="1" t="s">
        <v>16002</v>
      </c>
      <c r="F8011" s="1" t="s">
        <v>13</v>
      </c>
    </row>
    <row r="8012" spans="1:6" ht="30" customHeight="1" x14ac:dyDescent="0.25">
      <c r="A8012" s="1" t="s">
        <v>16003</v>
      </c>
      <c r="B8012" s="1" t="str">
        <f>"9781617052019"</f>
        <v>9781617052019</v>
      </c>
      <c r="C8012" s="1" t="s">
        <v>2342</v>
      </c>
      <c r="D8012" s="2">
        <v>41968</v>
      </c>
      <c r="E8012" s="1" t="s">
        <v>16004</v>
      </c>
      <c r="F8012" s="1" t="s">
        <v>13</v>
      </c>
    </row>
    <row r="8013" spans="1:6" ht="30" customHeight="1" x14ac:dyDescent="0.25">
      <c r="A8013" s="1" t="s">
        <v>16005</v>
      </c>
      <c r="B8013" s="1" t="str">
        <f>"9781617052095"</f>
        <v>9781617052095</v>
      </c>
      <c r="C8013" s="1" t="s">
        <v>2342</v>
      </c>
      <c r="D8013" s="2">
        <v>41992</v>
      </c>
      <c r="E8013" s="1" t="s">
        <v>16006</v>
      </c>
      <c r="F8013" s="1" t="s">
        <v>137</v>
      </c>
    </row>
    <row r="8014" spans="1:6" ht="30" customHeight="1" x14ac:dyDescent="0.25">
      <c r="A8014" s="1" t="s">
        <v>16007</v>
      </c>
      <c r="B8014" s="1" t="str">
        <f>"9780826161765"</f>
        <v>9780826161765</v>
      </c>
      <c r="C8014" s="1" t="s">
        <v>2339</v>
      </c>
      <c r="D8014" s="2">
        <v>41988</v>
      </c>
      <c r="E8014" s="1" t="s">
        <v>16008</v>
      </c>
      <c r="F8014" s="1" t="s">
        <v>13</v>
      </c>
    </row>
    <row r="8015" spans="1:6" ht="30" customHeight="1" x14ac:dyDescent="0.25">
      <c r="A8015" s="1" t="s">
        <v>16009</v>
      </c>
      <c r="B8015" s="1" t="str">
        <f>"9781597566681"</f>
        <v>9781597566681</v>
      </c>
      <c r="C8015" s="1" t="s">
        <v>15933</v>
      </c>
      <c r="D8015" s="2">
        <v>41609</v>
      </c>
      <c r="E8015" s="1" t="s">
        <v>16010</v>
      </c>
      <c r="F8015" s="1" t="s">
        <v>13</v>
      </c>
    </row>
    <row r="8016" spans="1:6" ht="30" customHeight="1" x14ac:dyDescent="0.25">
      <c r="A8016" s="1" t="s">
        <v>16011</v>
      </c>
      <c r="B8016" s="1" t="str">
        <f>"9781597566773"</f>
        <v>9781597566773</v>
      </c>
      <c r="C8016" s="1" t="s">
        <v>15933</v>
      </c>
      <c r="D8016" s="2">
        <v>41289</v>
      </c>
      <c r="E8016" s="1" t="s">
        <v>16012</v>
      </c>
      <c r="F8016" s="1" t="s">
        <v>13</v>
      </c>
    </row>
    <row r="8017" spans="1:6" ht="30" customHeight="1" x14ac:dyDescent="0.25">
      <c r="A8017" s="1" t="s">
        <v>16013</v>
      </c>
      <c r="B8017" s="1" t="str">
        <f>"9781118450154"</f>
        <v>9781118450154</v>
      </c>
      <c r="C8017" s="1" t="s">
        <v>65</v>
      </c>
      <c r="D8017" s="2">
        <v>41984</v>
      </c>
      <c r="E8017" s="1" t="s">
        <v>16014</v>
      </c>
      <c r="F8017" s="1" t="s">
        <v>30</v>
      </c>
    </row>
    <row r="8018" spans="1:6" ht="30" customHeight="1" x14ac:dyDescent="0.25">
      <c r="A8018" s="1" t="s">
        <v>16015</v>
      </c>
      <c r="B8018" s="1" t="str">
        <f>"9781118793923"</f>
        <v>9781118793923</v>
      </c>
      <c r="C8018" s="1" t="s">
        <v>65</v>
      </c>
      <c r="D8018" s="2">
        <v>41472</v>
      </c>
      <c r="E8018" s="1" t="s">
        <v>16016</v>
      </c>
      <c r="F8018" s="1" t="s">
        <v>13</v>
      </c>
    </row>
    <row r="8019" spans="1:6" ht="30" customHeight="1" x14ac:dyDescent="0.25">
      <c r="A8019" s="1" t="s">
        <v>16017</v>
      </c>
      <c r="B8019" s="1" t="str">
        <f>"9781118840184"</f>
        <v>9781118840184</v>
      </c>
      <c r="C8019" s="1" t="s">
        <v>65</v>
      </c>
      <c r="D8019" s="2">
        <v>41985</v>
      </c>
      <c r="E8019" s="1" t="s">
        <v>958</v>
      </c>
      <c r="F8019" s="1" t="s">
        <v>13</v>
      </c>
    </row>
    <row r="8020" spans="1:6" ht="30" customHeight="1" x14ac:dyDescent="0.25">
      <c r="A8020" s="1" t="s">
        <v>16018</v>
      </c>
      <c r="B8020" s="1" t="str">
        <f>"9781440828874"</f>
        <v>9781440828874</v>
      </c>
      <c r="C8020" s="1" t="s">
        <v>7550</v>
      </c>
      <c r="D8020" s="2">
        <v>41773</v>
      </c>
      <c r="E8020" s="1" t="s">
        <v>16019</v>
      </c>
      <c r="F8020" s="1" t="s">
        <v>214</v>
      </c>
    </row>
    <row r="8021" spans="1:6" ht="30" customHeight="1" x14ac:dyDescent="0.25">
      <c r="A8021" s="1" t="s">
        <v>16020</v>
      </c>
      <c r="B8021" s="1" t="str">
        <f>"9781597566612"</f>
        <v>9781597566612</v>
      </c>
      <c r="C8021" s="1" t="s">
        <v>15933</v>
      </c>
      <c r="D8021" s="2">
        <v>41872</v>
      </c>
      <c r="E8021" s="1" t="s">
        <v>16021</v>
      </c>
      <c r="F8021" s="1" t="s">
        <v>13</v>
      </c>
    </row>
    <row r="8022" spans="1:6" ht="30" customHeight="1" x14ac:dyDescent="0.25">
      <c r="A8022" s="1" t="s">
        <v>16022</v>
      </c>
      <c r="B8022" s="1" t="str">
        <f>"9781597566742"</f>
        <v>9781597566742</v>
      </c>
      <c r="C8022" s="1" t="s">
        <v>15933</v>
      </c>
      <c r="D8022" s="2">
        <v>41364</v>
      </c>
      <c r="E8022" s="1" t="s">
        <v>16023</v>
      </c>
      <c r="F8022" s="1" t="s">
        <v>13</v>
      </c>
    </row>
    <row r="8023" spans="1:6" ht="30" customHeight="1" x14ac:dyDescent="0.25">
      <c r="A8023" s="1" t="s">
        <v>16024</v>
      </c>
      <c r="B8023" s="1" t="str">
        <f>"9781597566650"</f>
        <v>9781597566650</v>
      </c>
      <c r="C8023" s="1" t="s">
        <v>15933</v>
      </c>
      <c r="D8023" s="2">
        <v>41885</v>
      </c>
      <c r="E8023" s="1" t="s">
        <v>16025</v>
      </c>
      <c r="F8023" s="1" t="s">
        <v>13</v>
      </c>
    </row>
    <row r="8024" spans="1:6" ht="30" customHeight="1" x14ac:dyDescent="0.25">
      <c r="A8024" s="1" t="s">
        <v>16026</v>
      </c>
      <c r="B8024" s="1" t="str">
        <f>"9781597566766"</f>
        <v>9781597566766</v>
      </c>
      <c r="C8024" s="1" t="s">
        <v>15933</v>
      </c>
      <c r="D8024" s="2">
        <v>41890</v>
      </c>
      <c r="E8024" s="1" t="s">
        <v>16027</v>
      </c>
      <c r="F8024" s="1" t="s">
        <v>13</v>
      </c>
    </row>
    <row r="8025" spans="1:6" ht="30" customHeight="1" x14ac:dyDescent="0.25">
      <c r="A8025" s="1" t="s">
        <v>16028</v>
      </c>
      <c r="B8025" s="1" t="str">
        <f>"9781597566711"</f>
        <v>9781597566711</v>
      </c>
      <c r="C8025" s="1" t="s">
        <v>15933</v>
      </c>
      <c r="D8025" s="2">
        <v>39387</v>
      </c>
      <c r="E8025" s="1" t="s">
        <v>16029</v>
      </c>
      <c r="F8025" s="1" t="s">
        <v>13</v>
      </c>
    </row>
    <row r="8026" spans="1:6" ht="30" customHeight="1" x14ac:dyDescent="0.25">
      <c r="A8026" s="1" t="s">
        <v>16030</v>
      </c>
      <c r="B8026" s="1" t="str">
        <f>"9781597566629"</f>
        <v>9781597566629</v>
      </c>
      <c r="C8026" s="1" t="s">
        <v>15933</v>
      </c>
      <c r="D8026" s="2">
        <v>41897</v>
      </c>
      <c r="E8026" s="1" t="s">
        <v>16031</v>
      </c>
      <c r="F8026" s="1" t="s">
        <v>13</v>
      </c>
    </row>
    <row r="8027" spans="1:6" ht="30" customHeight="1" x14ac:dyDescent="0.25">
      <c r="A8027" s="1" t="s">
        <v>16032</v>
      </c>
      <c r="B8027" s="1" t="str">
        <f>"9781597566759"</f>
        <v>9781597566759</v>
      </c>
      <c r="C8027" s="1" t="s">
        <v>15933</v>
      </c>
      <c r="D8027" s="2">
        <v>41893</v>
      </c>
      <c r="E8027" s="1" t="s">
        <v>16033</v>
      </c>
      <c r="F8027" s="1" t="s">
        <v>13</v>
      </c>
    </row>
    <row r="8028" spans="1:6" ht="30" customHeight="1" x14ac:dyDescent="0.25">
      <c r="A8028" s="1" t="s">
        <v>16034</v>
      </c>
      <c r="B8028" s="1" t="str">
        <f>"9781597566643"</f>
        <v>9781597566643</v>
      </c>
      <c r="C8028" s="1" t="s">
        <v>15933</v>
      </c>
      <c r="D8028" s="2">
        <v>41885</v>
      </c>
      <c r="E8028" s="1" t="s">
        <v>16035</v>
      </c>
      <c r="F8028" s="1" t="s">
        <v>13</v>
      </c>
    </row>
    <row r="8029" spans="1:6" ht="30" customHeight="1" x14ac:dyDescent="0.25">
      <c r="A8029" s="1" t="s">
        <v>16036</v>
      </c>
      <c r="B8029" s="1" t="str">
        <f>"9781597566735"</f>
        <v>9781597566735</v>
      </c>
      <c r="C8029" s="1" t="s">
        <v>15933</v>
      </c>
      <c r="D8029" s="2">
        <v>41379</v>
      </c>
      <c r="E8029" s="1" t="s">
        <v>16037</v>
      </c>
      <c r="F8029" s="1" t="s">
        <v>13</v>
      </c>
    </row>
    <row r="8030" spans="1:6" ht="30" customHeight="1" x14ac:dyDescent="0.25">
      <c r="A8030" s="1" t="s">
        <v>16038</v>
      </c>
      <c r="B8030" s="1" t="str">
        <f>"9781597566636"</f>
        <v>9781597566636</v>
      </c>
      <c r="C8030" s="1" t="s">
        <v>15933</v>
      </c>
      <c r="D8030" s="2">
        <v>41873</v>
      </c>
      <c r="E8030" s="1" t="s">
        <v>16039</v>
      </c>
      <c r="F8030" s="1" t="s">
        <v>13</v>
      </c>
    </row>
    <row r="8031" spans="1:6" ht="30" customHeight="1" x14ac:dyDescent="0.25">
      <c r="A8031" s="1" t="s">
        <v>16040</v>
      </c>
      <c r="B8031" s="1" t="str">
        <f>"9781597567282"</f>
        <v>9781597567282</v>
      </c>
      <c r="C8031" s="1" t="s">
        <v>15933</v>
      </c>
      <c r="D8031" s="2">
        <v>41973</v>
      </c>
      <c r="E8031" s="1" t="s">
        <v>16041</v>
      </c>
      <c r="F8031" s="1" t="s">
        <v>13</v>
      </c>
    </row>
    <row r="8032" spans="1:6" ht="30" customHeight="1" x14ac:dyDescent="0.25">
      <c r="A8032" s="1" t="s">
        <v>16042</v>
      </c>
      <c r="B8032" s="1" t="str">
        <f>"9781597566575"</f>
        <v>9781597566575</v>
      </c>
      <c r="C8032" s="1" t="s">
        <v>16043</v>
      </c>
      <c r="D8032" s="2">
        <v>41091</v>
      </c>
      <c r="E8032" s="1" t="s">
        <v>16044</v>
      </c>
      <c r="F8032" s="1" t="s">
        <v>13</v>
      </c>
    </row>
    <row r="8033" spans="1:6" ht="30" customHeight="1" x14ac:dyDescent="0.25">
      <c r="A8033" s="1" t="s">
        <v>16045</v>
      </c>
      <c r="B8033" s="1" t="str">
        <f>"9781597566582"</f>
        <v>9781597566582</v>
      </c>
      <c r="C8033" s="1" t="s">
        <v>15933</v>
      </c>
      <c r="D8033" s="2">
        <v>41873</v>
      </c>
      <c r="E8033" s="1" t="s">
        <v>16046</v>
      </c>
      <c r="F8033" s="1" t="s">
        <v>13</v>
      </c>
    </row>
    <row r="8034" spans="1:6" ht="30" customHeight="1" x14ac:dyDescent="0.25">
      <c r="A8034" s="1" t="s">
        <v>16047</v>
      </c>
      <c r="B8034" s="1" t="str">
        <f>"9781597566728"</f>
        <v>9781597566728</v>
      </c>
      <c r="C8034" s="1" t="s">
        <v>15933</v>
      </c>
      <c r="D8034" s="2">
        <v>41893</v>
      </c>
      <c r="E8034" s="1" t="s">
        <v>16048</v>
      </c>
      <c r="F8034" s="1" t="s">
        <v>13</v>
      </c>
    </row>
    <row r="8035" spans="1:6" ht="30" customHeight="1" x14ac:dyDescent="0.25">
      <c r="A8035" s="1" t="s">
        <v>16049</v>
      </c>
      <c r="B8035" s="1" t="str">
        <f>"9781597566599"</f>
        <v>9781597566599</v>
      </c>
      <c r="C8035" s="1" t="s">
        <v>15933</v>
      </c>
      <c r="D8035" s="2">
        <v>41950</v>
      </c>
      <c r="E8035" s="1" t="s">
        <v>16050</v>
      </c>
      <c r="F8035" s="1" t="s">
        <v>13</v>
      </c>
    </row>
    <row r="8036" spans="1:6" ht="30" customHeight="1" x14ac:dyDescent="0.25">
      <c r="A8036" s="1" t="s">
        <v>16051</v>
      </c>
      <c r="B8036" s="1" t="str">
        <f>"9781597567077"</f>
        <v>9781597567077</v>
      </c>
      <c r="C8036" s="1" t="s">
        <v>15933</v>
      </c>
      <c r="D8036" s="2">
        <v>41760</v>
      </c>
      <c r="E8036" s="1" t="s">
        <v>16052</v>
      </c>
      <c r="F8036" s="1" t="s">
        <v>13</v>
      </c>
    </row>
    <row r="8037" spans="1:6" ht="30" customHeight="1" x14ac:dyDescent="0.25">
      <c r="A8037" s="1" t="s">
        <v>16053</v>
      </c>
      <c r="B8037" s="1" t="str">
        <f>"9781597567114"</f>
        <v>9781597567114</v>
      </c>
      <c r="C8037" s="1" t="s">
        <v>15933</v>
      </c>
      <c r="D8037" s="2">
        <v>38930</v>
      </c>
      <c r="E8037" s="1" t="s">
        <v>16054</v>
      </c>
      <c r="F8037" s="1" t="s">
        <v>13</v>
      </c>
    </row>
    <row r="8038" spans="1:6" ht="30" customHeight="1" x14ac:dyDescent="0.25">
      <c r="A8038" s="1" t="s">
        <v>16055</v>
      </c>
      <c r="B8038" s="1" t="str">
        <f>"9781118892787"</f>
        <v>9781118892787</v>
      </c>
      <c r="C8038" s="1" t="s">
        <v>65</v>
      </c>
      <c r="D8038" s="2">
        <v>41981</v>
      </c>
      <c r="E8038" s="1" t="s">
        <v>16056</v>
      </c>
      <c r="F8038" s="1" t="s">
        <v>13</v>
      </c>
    </row>
    <row r="8039" spans="1:6" ht="30" customHeight="1" x14ac:dyDescent="0.25">
      <c r="A8039" s="1" t="s">
        <v>16057</v>
      </c>
      <c r="B8039" s="1" t="str">
        <f>"9781118982488"</f>
        <v>9781118982488</v>
      </c>
      <c r="C8039" s="1" t="s">
        <v>65</v>
      </c>
      <c r="D8039" s="2">
        <v>41981</v>
      </c>
      <c r="E8039" s="1" t="s">
        <v>16058</v>
      </c>
      <c r="F8039" s="1" t="s">
        <v>148</v>
      </c>
    </row>
    <row r="8040" spans="1:6" ht="30" customHeight="1" x14ac:dyDescent="0.25">
      <c r="A8040" s="1" t="s">
        <v>16059</v>
      </c>
      <c r="B8040" s="1" t="str">
        <f>"9781119026167"</f>
        <v>9781119026167</v>
      </c>
      <c r="C8040" s="1" t="s">
        <v>15807</v>
      </c>
      <c r="D8040" s="2">
        <v>41981</v>
      </c>
      <c r="E8040" s="1" t="s">
        <v>16060</v>
      </c>
      <c r="F8040" s="1" t="s">
        <v>13</v>
      </c>
    </row>
    <row r="8041" spans="1:6" ht="30" customHeight="1" x14ac:dyDescent="0.25">
      <c r="A8041" s="1" t="s">
        <v>16061</v>
      </c>
      <c r="B8041" s="1" t="str">
        <f>"9781119026921"</f>
        <v>9781119026921</v>
      </c>
      <c r="C8041" s="1" t="s">
        <v>15807</v>
      </c>
      <c r="D8041" s="2">
        <v>41981</v>
      </c>
      <c r="E8041" s="1" t="s">
        <v>16062</v>
      </c>
      <c r="F8041" s="1" t="s">
        <v>304</v>
      </c>
    </row>
    <row r="8042" spans="1:6" ht="30" customHeight="1" x14ac:dyDescent="0.25">
      <c r="A8042" s="1" t="s">
        <v>16063</v>
      </c>
      <c r="B8042" s="1" t="str">
        <f>"9783527673711"</f>
        <v>9783527673711</v>
      </c>
      <c r="C8042" s="1" t="s">
        <v>65</v>
      </c>
      <c r="D8042" s="2">
        <v>41976</v>
      </c>
      <c r="E8042" s="1" t="s">
        <v>11869</v>
      </c>
      <c r="F8042" s="1" t="s">
        <v>16064</v>
      </c>
    </row>
    <row r="8043" spans="1:6" ht="30" customHeight="1" x14ac:dyDescent="0.25">
      <c r="A8043" s="1" t="s">
        <v>16065</v>
      </c>
      <c r="B8043" s="1" t="str">
        <f>"9781782413226"</f>
        <v>9781782413226</v>
      </c>
      <c r="C8043" s="1" t="s">
        <v>68</v>
      </c>
      <c r="D8043" s="2">
        <v>41988</v>
      </c>
      <c r="E8043" s="1" t="s">
        <v>16066</v>
      </c>
      <c r="F8043" s="1" t="s">
        <v>104</v>
      </c>
    </row>
    <row r="8044" spans="1:6" ht="30" customHeight="1" x14ac:dyDescent="0.25">
      <c r="A8044" s="1" t="s">
        <v>16067</v>
      </c>
      <c r="B8044" s="1" t="str">
        <f>"9781119064107"</f>
        <v>9781119064107</v>
      </c>
      <c r="C8044" s="1" t="s">
        <v>65</v>
      </c>
      <c r="D8044" s="2">
        <v>41989</v>
      </c>
      <c r="E8044" s="1" t="s">
        <v>16068</v>
      </c>
      <c r="F8044" s="1" t="s">
        <v>13</v>
      </c>
    </row>
    <row r="8045" spans="1:6" ht="30" customHeight="1" x14ac:dyDescent="0.25">
      <c r="A8045" s="1" t="s">
        <v>16069</v>
      </c>
      <c r="B8045" s="1" t="str">
        <f>"9781119064145"</f>
        <v>9781119064145</v>
      </c>
      <c r="C8045" s="1" t="s">
        <v>65</v>
      </c>
      <c r="D8045" s="2">
        <v>41982</v>
      </c>
      <c r="E8045" s="1" t="s">
        <v>16070</v>
      </c>
      <c r="F8045" s="1" t="s">
        <v>158</v>
      </c>
    </row>
    <row r="8046" spans="1:6" ht="30" customHeight="1" x14ac:dyDescent="0.25">
      <c r="A8046" s="1" t="s">
        <v>16071</v>
      </c>
      <c r="B8046" s="1" t="str">
        <f>"9781119064381"</f>
        <v>9781119064381</v>
      </c>
      <c r="C8046" s="1" t="s">
        <v>65</v>
      </c>
      <c r="D8046" s="2">
        <v>42011</v>
      </c>
      <c r="E8046" s="1" t="s">
        <v>16072</v>
      </c>
      <c r="F8046" s="1" t="s">
        <v>13</v>
      </c>
    </row>
    <row r="8047" spans="1:6" ht="30" customHeight="1" x14ac:dyDescent="0.25">
      <c r="A8047" s="1" t="s">
        <v>16073</v>
      </c>
      <c r="B8047" s="1" t="str">
        <f>"9781118939161"</f>
        <v>9781118939161</v>
      </c>
      <c r="C8047" s="1" t="s">
        <v>65</v>
      </c>
      <c r="D8047" s="2">
        <v>41984</v>
      </c>
      <c r="E8047" s="1" t="s">
        <v>16074</v>
      </c>
      <c r="F8047" s="1" t="s">
        <v>13</v>
      </c>
    </row>
    <row r="8048" spans="1:6" ht="30" customHeight="1" x14ac:dyDescent="0.25">
      <c r="A8048" s="1" t="s">
        <v>16075</v>
      </c>
      <c r="B8048" s="1" t="str">
        <f>"9781119064060"</f>
        <v>9781119064060</v>
      </c>
      <c r="C8048" s="1" t="s">
        <v>65</v>
      </c>
      <c r="D8048" s="2">
        <v>42011</v>
      </c>
      <c r="E8048" s="1" t="s">
        <v>16076</v>
      </c>
      <c r="F8048" s="1" t="s">
        <v>13</v>
      </c>
    </row>
    <row r="8049" spans="1:6" ht="30" customHeight="1" x14ac:dyDescent="0.25">
      <c r="A8049" s="1" t="s">
        <v>16077</v>
      </c>
      <c r="B8049" s="1" t="str">
        <f>"9781119064114"</f>
        <v>9781119064114</v>
      </c>
      <c r="C8049" s="1" t="s">
        <v>65</v>
      </c>
      <c r="D8049" s="2">
        <v>41984</v>
      </c>
      <c r="E8049" s="1" t="s">
        <v>16078</v>
      </c>
      <c r="F8049" s="1" t="s">
        <v>13</v>
      </c>
    </row>
    <row r="8050" spans="1:6" ht="30" customHeight="1" x14ac:dyDescent="0.25">
      <c r="A8050" s="1" t="s">
        <v>16079</v>
      </c>
      <c r="B8050" s="1" t="str">
        <f>"9781597566827"</f>
        <v>9781597566827</v>
      </c>
      <c r="C8050" s="1" t="s">
        <v>15933</v>
      </c>
      <c r="D8050" s="2">
        <v>41890</v>
      </c>
      <c r="E8050" s="1" t="s">
        <v>16080</v>
      </c>
      <c r="F8050" s="1" t="s">
        <v>13</v>
      </c>
    </row>
    <row r="8051" spans="1:6" ht="30" customHeight="1" x14ac:dyDescent="0.25">
      <c r="A8051" s="1" t="s">
        <v>16081</v>
      </c>
      <c r="B8051" s="1" t="str">
        <f>"9781597566971"</f>
        <v>9781597566971</v>
      </c>
      <c r="C8051" s="1" t="s">
        <v>15933</v>
      </c>
      <c r="D8051" s="2">
        <v>40821</v>
      </c>
      <c r="E8051" s="1" t="s">
        <v>16082</v>
      </c>
      <c r="F8051" s="1" t="s">
        <v>13</v>
      </c>
    </row>
    <row r="8052" spans="1:6" ht="30" customHeight="1" x14ac:dyDescent="0.25">
      <c r="A8052" s="1" t="s">
        <v>16083</v>
      </c>
      <c r="B8052" s="1" t="str">
        <f>"9781597566858"</f>
        <v>9781597566858</v>
      </c>
      <c r="C8052" s="1" t="s">
        <v>15933</v>
      </c>
      <c r="D8052" s="2">
        <v>41890</v>
      </c>
      <c r="E8052" s="1" t="s">
        <v>16084</v>
      </c>
      <c r="F8052" s="1" t="s">
        <v>13</v>
      </c>
    </row>
    <row r="8053" spans="1:6" ht="30" customHeight="1" x14ac:dyDescent="0.25">
      <c r="A8053" s="1" t="s">
        <v>16085</v>
      </c>
      <c r="B8053" s="1" t="str">
        <f>"9781597567350"</f>
        <v>9781597567350</v>
      </c>
      <c r="C8053" s="1" t="s">
        <v>15933</v>
      </c>
      <c r="D8053" s="2">
        <v>40634</v>
      </c>
      <c r="E8053" s="1" t="s">
        <v>16086</v>
      </c>
      <c r="F8053" s="1" t="s">
        <v>13</v>
      </c>
    </row>
    <row r="8054" spans="1:6" ht="30" customHeight="1" x14ac:dyDescent="0.25">
      <c r="A8054" s="1" t="s">
        <v>16087</v>
      </c>
      <c r="B8054" s="1" t="str">
        <f>"9781597566995"</f>
        <v>9781597566995</v>
      </c>
      <c r="C8054" s="1" t="s">
        <v>15933</v>
      </c>
      <c r="D8054" s="2">
        <v>41893</v>
      </c>
      <c r="E8054" s="1" t="s">
        <v>16088</v>
      </c>
      <c r="F8054" s="1" t="s">
        <v>13</v>
      </c>
    </row>
    <row r="8055" spans="1:6" ht="30" customHeight="1" x14ac:dyDescent="0.25">
      <c r="A8055" s="1" t="s">
        <v>16089</v>
      </c>
      <c r="B8055" s="1" t="str">
        <f>"9781597566940"</f>
        <v>9781597566940</v>
      </c>
      <c r="C8055" s="1" t="s">
        <v>15933</v>
      </c>
      <c r="D8055" s="2">
        <v>41893</v>
      </c>
      <c r="E8055" s="1" t="s">
        <v>16090</v>
      </c>
      <c r="F8055" s="1" t="s">
        <v>70</v>
      </c>
    </row>
    <row r="8056" spans="1:6" ht="30" customHeight="1" x14ac:dyDescent="0.25">
      <c r="A8056" s="1" t="s">
        <v>16091</v>
      </c>
      <c r="B8056" s="1" t="str">
        <f>"9781597567008"</f>
        <v>9781597567008</v>
      </c>
      <c r="C8056" s="1" t="s">
        <v>15933</v>
      </c>
      <c r="D8056" s="2">
        <v>41893</v>
      </c>
      <c r="E8056" s="1" t="s">
        <v>16092</v>
      </c>
      <c r="F8056" s="1" t="s">
        <v>13</v>
      </c>
    </row>
    <row r="8057" spans="1:6" ht="30" customHeight="1" x14ac:dyDescent="0.25">
      <c r="A8057" s="1" t="s">
        <v>16093</v>
      </c>
      <c r="B8057" s="1" t="str">
        <f>"9781597567046"</f>
        <v>9781597567046</v>
      </c>
      <c r="C8057" s="1" t="s">
        <v>15933</v>
      </c>
      <c r="D8057" s="2">
        <v>41890</v>
      </c>
      <c r="E8057" s="1" t="s">
        <v>16094</v>
      </c>
      <c r="F8057" s="1" t="s">
        <v>13</v>
      </c>
    </row>
    <row r="8058" spans="1:6" ht="30" customHeight="1" x14ac:dyDescent="0.25">
      <c r="A8058" s="1" t="s">
        <v>16095</v>
      </c>
      <c r="B8058" s="1" t="str">
        <f>"9781597567039"</f>
        <v>9781597567039</v>
      </c>
      <c r="C8058" s="1" t="s">
        <v>15933</v>
      </c>
      <c r="D8058" s="2">
        <v>41893</v>
      </c>
      <c r="E8058" s="1" t="s">
        <v>16096</v>
      </c>
      <c r="F8058" s="1" t="s">
        <v>13</v>
      </c>
    </row>
    <row r="8059" spans="1:6" ht="30" customHeight="1" x14ac:dyDescent="0.25">
      <c r="A8059" s="1" t="s">
        <v>16097</v>
      </c>
      <c r="B8059" s="1" t="str">
        <f>"9781597566896"</f>
        <v>9781597566896</v>
      </c>
      <c r="C8059" s="1" t="s">
        <v>15933</v>
      </c>
      <c r="D8059" s="2">
        <v>41014</v>
      </c>
      <c r="E8059" s="1" t="s">
        <v>16098</v>
      </c>
      <c r="F8059" s="1" t="s">
        <v>13</v>
      </c>
    </row>
    <row r="8060" spans="1:6" ht="30" customHeight="1" x14ac:dyDescent="0.25">
      <c r="A8060" s="1" t="s">
        <v>16099</v>
      </c>
      <c r="B8060" s="1" t="str">
        <f>"9781597567060"</f>
        <v>9781597567060</v>
      </c>
      <c r="C8060" s="1" t="s">
        <v>15933</v>
      </c>
      <c r="D8060" s="2">
        <v>41890</v>
      </c>
      <c r="E8060" s="1" t="s">
        <v>16100</v>
      </c>
      <c r="F8060" s="1" t="s">
        <v>13</v>
      </c>
    </row>
    <row r="8061" spans="1:6" ht="30" customHeight="1" x14ac:dyDescent="0.25">
      <c r="A8061" s="1" t="s">
        <v>16101</v>
      </c>
      <c r="B8061" s="1" t="str">
        <f>"9781597567022"</f>
        <v>9781597567022</v>
      </c>
      <c r="C8061" s="1" t="s">
        <v>15933</v>
      </c>
      <c r="D8061" s="2">
        <v>41890</v>
      </c>
      <c r="E8061" s="1" t="s">
        <v>16102</v>
      </c>
      <c r="F8061" s="1" t="s">
        <v>13</v>
      </c>
    </row>
    <row r="8062" spans="1:6" ht="30" customHeight="1" x14ac:dyDescent="0.25">
      <c r="A8062" s="1" t="s">
        <v>16103</v>
      </c>
      <c r="B8062" s="1" t="str">
        <f>"9781597566988"</f>
        <v>9781597566988</v>
      </c>
      <c r="C8062" s="1" t="s">
        <v>15933</v>
      </c>
      <c r="D8062" s="2">
        <v>41890</v>
      </c>
      <c r="E8062" s="1" t="s">
        <v>16104</v>
      </c>
      <c r="F8062" s="1" t="s">
        <v>13</v>
      </c>
    </row>
    <row r="8063" spans="1:6" ht="30" customHeight="1" x14ac:dyDescent="0.25">
      <c r="A8063" s="1" t="s">
        <v>16105</v>
      </c>
      <c r="B8063" s="1" t="str">
        <f>"9781597566933"</f>
        <v>9781597566933</v>
      </c>
      <c r="C8063" s="1" t="s">
        <v>15933</v>
      </c>
      <c r="D8063" s="2">
        <v>41893</v>
      </c>
      <c r="E8063" s="1" t="s">
        <v>16106</v>
      </c>
      <c r="F8063" s="1" t="s">
        <v>13</v>
      </c>
    </row>
    <row r="8064" spans="1:6" ht="30" customHeight="1" x14ac:dyDescent="0.25">
      <c r="A8064" s="1" t="s">
        <v>16107</v>
      </c>
      <c r="B8064" s="1" t="str">
        <f>"9781597566803"</f>
        <v>9781597566803</v>
      </c>
      <c r="C8064" s="1" t="s">
        <v>15933</v>
      </c>
      <c r="D8064" s="2">
        <v>41243</v>
      </c>
      <c r="E8064" s="1" t="s">
        <v>16108</v>
      </c>
      <c r="F8064" s="1" t="s">
        <v>13</v>
      </c>
    </row>
    <row r="8065" spans="1:6" ht="30" customHeight="1" x14ac:dyDescent="0.25">
      <c r="A8065" s="1" t="s">
        <v>16109</v>
      </c>
      <c r="B8065" s="1" t="str">
        <f>"9781597566964"</f>
        <v>9781597566964</v>
      </c>
      <c r="C8065" s="1" t="s">
        <v>15933</v>
      </c>
      <c r="D8065" s="2">
        <v>41890</v>
      </c>
      <c r="E8065" s="1" t="s">
        <v>16110</v>
      </c>
      <c r="F8065" s="1" t="s">
        <v>13</v>
      </c>
    </row>
    <row r="8066" spans="1:6" ht="30" customHeight="1" x14ac:dyDescent="0.25">
      <c r="A8066" s="1" t="s">
        <v>12736</v>
      </c>
      <c r="B8066" s="1" t="str">
        <f>"9781907830969"</f>
        <v>9781907830969</v>
      </c>
      <c r="C8066" s="1" t="s">
        <v>11198</v>
      </c>
      <c r="D8066" s="2">
        <v>42005</v>
      </c>
      <c r="E8066" s="1" t="s">
        <v>12737</v>
      </c>
      <c r="F8066" s="1" t="s">
        <v>13</v>
      </c>
    </row>
    <row r="8067" spans="1:6" ht="30" customHeight="1" x14ac:dyDescent="0.25">
      <c r="A8067" s="1" t="s">
        <v>16111</v>
      </c>
      <c r="B8067" s="1" t="str">
        <f>"9781118509685"</f>
        <v>9781118509685</v>
      </c>
      <c r="C8067" s="1" t="s">
        <v>65</v>
      </c>
      <c r="D8067" s="2">
        <v>42167</v>
      </c>
      <c r="E8067" s="1" t="s">
        <v>16112</v>
      </c>
      <c r="F8067" s="1" t="s">
        <v>13</v>
      </c>
    </row>
    <row r="8068" spans="1:6" ht="30" customHeight="1" x14ac:dyDescent="0.25">
      <c r="A8068" s="1" t="s">
        <v>16113</v>
      </c>
      <c r="B8068" s="1" t="str">
        <f>"9781118834008"</f>
        <v>9781118834008</v>
      </c>
      <c r="C8068" s="1" t="s">
        <v>65</v>
      </c>
      <c r="D8068" s="2">
        <v>42137</v>
      </c>
      <c r="E8068" s="1" t="s">
        <v>16114</v>
      </c>
      <c r="F8068" s="1" t="s">
        <v>268</v>
      </c>
    </row>
    <row r="8069" spans="1:6" ht="30" customHeight="1" x14ac:dyDescent="0.25">
      <c r="A8069" s="1" t="s">
        <v>16115</v>
      </c>
      <c r="B8069" s="1" t="str">
        <f>"9781118842164"</f>
        <v>9781118842164</v>
      </c>
      <c r="C8069" s="1" t="s">
        <v>65</v>
      </c>
      <c r="D8069" s="2">
        <v>42067</v>
      </c>
      <c r="E8069" s="1" t="s">
        <v>16116</v>
      </c>
      <c r="F8069" s="1" t="s">
        <v>13</v>
      </c>
    </row>
    <row r="8070" spans="1:6" ht="30" customHeight="1" x14ac:dyDescent="0.25">
      <c r="A8070" s="1" t="s">
        <v>16117</v>
      </c>
      <c r="B8070" s="1" t="str">
        <f>"9781119026655"</f>
        <v>9781119026655</v>
      </c>
      <c r="C8070" s="1" t="s">
        <v>15807</v>
      </c>
      <c r="D8070" s="2">
        <v>42011</v>
      </c>
      <c r="E8070" s="1" t="s">
        <v>16118</v>
      </c>
      <c r="F8070" s="1" t="s">
        <v>13</v>
      </c>
    </row>
    <row r="8071" spans="1:6" ht="30" customHeight="1" x14ac:dyDescent="0.25">
      <c r="A8071" s="1" t="s">
        <v>16119</v>
      </c>
      <c r="B8071" s="1" t="str">
        <f>"9781119041405"</f>
        <v>9781119041405</v>
      </c>
      <c r="C8071" s="1" t="s">
        <v>65</v>
      </c>
      <c r="D8071" s="2">
        <v>42220</v>
      </c>
      <c r="E8071" s="1" t="s">
        <v>16120</v>
      </c>
      <c r="F8071" s="1" t="s">
        <v>268</v>
      </c>
    </row>
    <row r="8072" spans="1:6" ht="30" customHeight="1" x14ac:dyDescent="0.25">
      <c r="A8072" s="1" t="s">
        <v>16121</v>
      </c>
      <c r="B8072" s="1" t="str">
        <f>"9780857085917"</f>
        <v>9780857085917</v>
      </c>
      <c r="C8072" s="1" t="s">
        <v>65</v>
      </c>
      <c r="D8072" s="2">
        <v>42048</v>
      </c>
      <c r="E8072" s="1" t="s">
        <v>16122</v>
      </c>
      <c r="F8072" s="1" t="s">
        <v>30</v>
      </c>
    </row>
    <row r="8073" spans="1:6" ht="30" customHeight="1" x14ac:dyDescent="0.25">
      <c r="A8073" s="1" t="s">
        <v>16123</v>
      </c>
      <c r="B8073" s="1" t="str">
        <f>"9781118275030"</f>
        <v>9781118275030</v>
      </c>
      <c r="C8073" s="1" t="s">
        <v>11</v>
      </c>
      <c r="D8073" s="2">
        <v>42052</v>
      </c>
      <c r="E8073" s="1" t="s">
        <v>16124</v>
      </c>
      <c r="F8073" s="1" t="s">
        <v>13</v>
      </c>
    </row>
    <row r="8074" spans="1:6" ht="30" customHeight="1" x14ac:dyDescent="0.25">
      <c r="A8074" s="1" t="s">
        <v>16125</v>
      </c>
      <c r="B8074" s="1" t="str">
        <f>"9781118356685"</f>
        <v>9781118356685</v>
      </c>
      <c r="C8074" s="1" t="s">
        <v>65</v>
      </c>
      <c r="D8074" s="2">
        <v>42037</v>
      </c>
      <c r="E8074" s="1" t="s">
        <v>16126</v>
      </c>
      <c r="F8074" s="1" t="s">
        <v>13</v>
      </c>
    </row>
    <row r="8075" spans="1:6" ht="30" customHeight="1" x14ac:dyDescent="0.25">
      <c r="A8075" s="1" t="s">
        <v>16127</v>
      </c>
      <c r="B8075" s="1" t="str">
        <f>"9781118384206"</f>
        <v>9781118384206</v>
      </c>
      <c r="C8075" s="1" t="s">
        <v>65</v>
      </c>
      <c r="D8075" s="2">
        <v>42122</v>
      </c>
      <c r="E8075" s="1" t="s">
        <v>16128</v>
      </c>
      <c r="F8075" s="1" t="s">
        <v>214</v>
      </c>
    </row>
    <row r="8076" spans="1:6" ht="30" customHeight="1" x14ac:dyDescent="0.25">
      <c r="A8076" s="1" t="s">
        <v>16129</v>
      </c>
      <c r="B8076" s="1" t="str">
        <f>"9781118387689"</f>
        <v>9781118387689</v>
      </c>
      <c r="C8076" s="1" t="s">
        <v>65</v>
      </c>
      <c r="D8076" s="2">
        <v>42068</v>
      </c>
      <c r="E8076" s="1" t="s">
        <v>16130</v>
      </c>
      <c r="F8076" s="1" t="s">
        <v>13</v>
      </c>
    </row>
    <row r="8077" spans="1:6" ht="30" customHeight="1" x14ac:dyDescent="0.25">
      <c r="A8077" s="1" t="s">
        <v>16131</v>
      </c>
      <c r="B8077" s="1" t="str">
        <f>"9781118427217"</f>
        <v>9781118427217</v>
      </c>
      <c r="C8077" s="1" t="s">
        <v>65</v>
      </c>
      <c r="D8077" s="2">
        <v>42089</v>
      </c>
      <c r="E8077" s="1" t="s">
        <v>16132</v>
      </c>
      <c r="F8077" s="1" t="s">
        <v>95</v>
      </c>
    </row>
    <row r="8078" spans="1:6" ht="30" customHeight="1" x14ac:dyDescent="0.25">
      <c r="A8078" s="1" t="s">
        <v>16133</v>
      </c>
      <c r="B8078" s="1" t="str">
        <f>"9781118448441"</f>
        <v>9781118448441</v>
      </c>
      <c r="C8078" s="1" t="s">
        <v>65</v>
      </c>
      <c r="D8078" s="2">
        <v>42053</v>
      </c>
      <c r="E8078" s="1" t="s">
        <v>16134</v>
      </c>
      <c r="F8078" s="1" t="s">
        <v>30</v>
      </c>
    </row>
    <row r="8079" spans="1:6" ht="30" customHeight="1" x14ac:dyDescent="0.25">
      <c r="A8079" s="1" t="s">
        <v>16135</v>
      </c>
      <c r="B8079" s="1" t="str">
        <f>"9781118484845"</f>
        <v>9781118484845</v>
      </c>
      <c r="C8079" s="1" t="s">
        <v>11</v>
      </c>
      <c r="D8079" s="2">
        <v>42100</v>
      </c>
      <c r="E8079" s="1" t="s">
        <v>16136</v>
      </c>
      <c r="F8079" s="1" t="s">
        <v>13</v>
      </c>
    </row>
    <row r="8080" spans="1:6" ht="30" customHeight="1" x14ac:dyDescent="0.25">
      <c r="A8080" s="1" t="s">
        <v>16137</v>
      </c>
      <c r="B8080" s="1" t="str">
        <f>"9781118506110"</f>
        <v>9781118506110</v>
      </c>
      <c r="C8080" s="1" t="s">
        <v>65</v>
      </c>
      <c r="D8080" s="2">
        <v>41991</v>
      </c>
      <c r="E8080" s="1" t="s">
        <v>16138</v>
      </c>
      <c r="F8080" s="1" t="s">
        <v>13</v>
      </c>
    </row>
    <row r="8081" spans="1:6" ht="30" customHeight="1" x14ac:dyDescent="0.25">
      <c r="A8081" s="1" t="s">
        <v>16139</v>
      </c>
      <c r="B8081" s="1" t="str">
        <f>"9781118552469"</f>
        <v>9781118552469</v>
      </c>
      <c r="C8081" s="1" t="s">
        <v>65</v>
      </c>
      <c r="D8081" s="2">
        <v>42027</v>
      </c>
      <c r="E8081" s="1" t="s">
        <v>16140</v>
      </c>
      <c r="F8081" s="1" t="s">
        <v>13</v>
      </c>
    </row>
    <row r="8082" spans="1:6" ht="30" customHeight="1" x14ac:dyDescent="0.25">
      <c r="A8082" s="1" t="s">
        <v>16141</v>
      </c>
      <c r="B8082" s="1" t="str">
        <f>"9781118554593"</f>
        <v>9781118554593</v>
      </c>
      <c r="C8082" s="1" t="s">
        <v>65</v>
      </c>
      <c r="D8082" s="2">
        <v>42016</v>
      </c>
      <c r="E8082" s="1" t="s">
        <v>16142</v>
      </c>
      <c r="F8082" s="1" t="s">
        <v>13</v>
      </c>
    </row>
    <row r="8083" spans="1:6" ht="30" customHeight="1" x14ac:dyDescent="0.25">
      <c r="A8083" s="1" t="s">
        <v>16143</v>
      </c>
      <c r="B8083" s="1" t="str">
        <f>"9781118654347"</f>
        <v>9781118654347</v>
      </c>
      <c r="C8083" s="1" t="s">
        <v>65</v>
      </c>
      <c r="D8083" s="2">
        <v>42114</v>
      </c>
      <c r="E8083" s="1" t="s">
        <v>16144</v>
      </c>
      <c r="F8083" s="1" t="s">
        <v>7304</v>
      </c>
    </row>
    <row r="8084" spans="1:6" ht="30" customHeight="1" x14ac:dyDescent="0.25">
      <c r="A8084" s="1" t="s">
        <v>16145</v>
      </c>
      <c r="B8084" s="1" t="str">
        <f>"9781118655399"</f>
        <v>9781118655399</v>
      </c>
      <c r="C8084" s="1" t="s">
        <v>65</v>
      </c>
      <c r="D8084" s="2">
        <v>42089</v>
      </c>
      <c r="E8084" s="1" t="s">
        <v>16146</v>
      </c>
      <c r="F8084" s="1" t="s">
        <v>13</v>
      </c>
    </row>
    <row r="8085" spans="1:6" ht="30" customHeight="1" x14ac:dyDescent="0.25">
      <c r="A8085" s="1" t="s">
        <v>16147</v>
      </c>
      <c r="B8085" s="1" t="str">
        <f>"9781118715161"</f>
        <v>9781118715161</v>
      </c>
      <c r="C8085" s="1" t="s">
        <v>65</v>
      </c>
      <c r="D8085" s="2">
        <v>42044</v>
      </c>
      <c r="E8085" s="1" t="s">
        <v>16148</v>
      </c>
      <c r="F8085" s="1" t="s">
        <v>13</v>
      </c>
    </row>
    <row r="8086" spans="1:6" ht="30" customHeight="1" x14ac:dyDescent="0.25">
      <c r="A8086" s="1" t="s">
        <v>16149</v>
      </c>
      <c r="B8086" s="1" t="str">
        <f>"9781118732779"</f>
        <v>9781118732779</v>
      </c>
      <c r="C8086" s="1" t="s">
        <v>65</v>
      </c>
      <c r="D8086" s="2">
        <v>42073</v>
      </c>
      <c r="E8086" s="1" t="s">
        <v>16150</v>
      </c>
      <c r="F8086" s="1" t="s">
        <v>13</v>
      </c>
    </row>
    <row r="8087" spans="1:6" ht="30" customHeight="1" x14ac:dyDescent="0.25">
      <c r="A8087" s="1" t="s">
        <v>16151</v>
      </c>
      <c r="B8087" s="1" t="str">
        <f>"9781118749050"</f>
        <v>9781118749050</v>
      </c>
      <c r="C8087" s="1" t="s">
        <v>65</v>
      </c>
      <c r="D8087" s="2">
        <v>42048</v>
      </c>
      <c r="E8087" s="1" t="s">
        <v>16152</v>
      </c>
      <c r="F8087" s="1" t="s">
        <v>13</v>
      </c>
    </row>
    <row r="8088" spans="1:6" ht="30" customHeight="1" x14ac:dyDescent="0.25">
      <c r="A8088" s="1" t="s">
        <v>151</v>
      </c>
      <c r="B8088" s="1" t="str">
        <f>"9781118845493"</f>
        <v>9781118845493</v>
      </c>
      <c r="C8088" s="1" t="s">
        <v>65</v>
      </c>
      <c r="D8088" s="2">
        <v>42033</v>
      </c>
      <c r="E8088" s="1" t="s">
        <v>16153</v>
      </c>
      <c r="F8088" s="1" t="s">
        <v>13</v>
      </c>
    </row>
    <row r="8089" spans="1:6" ht="30" customHeight="1" x14ac:dyDescent="0.25">
      <c r="A8089" s="1" t="s">
        <v>16154</v>
      </c>
      <c r="B8089" s="1" t="str">
        <f>"9781118756676"</f>
        <v>9781118756676</v>
      </c>
      <c r="C8089" s="1" t="s">
        <v>65</v>
      </c>
      <c r="D8089" s="2">
        <v>42012</v>
      </c>
      <c r="E8089" s="1" t="s">
        <v>16155</v>
      </c>
      <c r="F8089" s="1" t="s">
        <v>13</v>
      </c>
    </row>
    <row r="8090" spans="1:6" ht="30" customHeight="1" x14ac:dyDescent="0.25">
      <c r="A8090" s="1" t="s">
        <v>16156</v>
      </c>
      <c r="B8090" s="1" t="str">
        <f>"9781118765081"</f>
        <v>9781118765081</v>
      </c>
      <c r="C8090" s="1" t="s">
        <v>65</v>
      </c>
      <c r="D8090" s="2">
        <v>42108</v>
      </c>
      <c r="E8090" s="1" t="s">
        <v>16157</v>
      </c>
      <c r="F8090" s="1" t="s">
        <v>16158</v>
      </c>
    </row>
    <row r="8091" spans="1:6" ht="30" customHeight="1" x14ac:dyDescent="0.25">
      <c r="A8091" s="1" t="s">
        <v>16159</v>
      </c>
      <c r="B8091" s="1" t="str">
        <f>"9781118768129"</f>
        <v>9781118768129</v>
      </c>
      <c r="C8091" s="1" t="s">
        <v>65</v>
      </c>
      <c r="D8091" s="2">
        <v>42055</v>
      </c>
      <c r="E8091" s="1" t="s">
        <v>16160</v>
      </c>
      <c r="F8091" s="1" t="s">
        <v>13</v>
      </c>
    </row>
    <row r="8092" spans="1:6" ht="30" customHeight="1" x14ac:dyDescent="0.25">
      <c r="A8092" s="1" t="s">
        <v>16161</v>
      </c>
      <c r="B8092" s="1" t="str">
        <f>"9781118768594"</f>
        <v>9781118768594</v>
      </c>
      <c r="C8092" s="1" t="s">
        <v>65</v>
      </c>
      <c r="D8092" s="2">
        <v>42186</v>
      </c>
      <c r="E8092" s="1" t="s">
        <v>16162</v>
      </c>
      <c r="F8092" s="1" t="s">
        <v>137</v>
      </c>
    </row>
    <row r="8093" spans="1:6" ht="30" customHeight="1" x14ac:dyDescent="0.25">
      <c r="A8093" s="1" t="s">
        <v>16163</v>
      </c>
      <c r="B8093" s="1" t="str">
        <f>"9781118788547"</f>
        <v>9781118788547</v>
      </c>
      <c r="C8093" s="1" t="s">
        <v>65</v>
      </c>
      <c r="D8093" s="2">
        <v>42002</v>
      </c>
      <c r="E8093" s="1" t="s">
        <v>16164</v>
      </c>
      <c r="F8093" s="1" t="s">
        <v>137</v>
      </c>
    </row>
    <row r="8094" spans="1:6" ht="30" customHeight="1" x14ac:dyDescent="0.25">
      <c r="A8094" s="1" t="s">
        <v>16165</v>
      </c>
      <c r="B8094" s="1" t="str">
        <f>"9781118792766"</f>
        <v>9781118792766</v>
      </c>
      <c r="C8094" s="1" t="s">
        <v>65</v>
      </c>
      <c r="D8094" s="2">
        <v>42046</v>
      </c>
      <c r="E8094" s="1" t="s">
        <v>16166</v>
      </c>
      <c r="F8094" s="1" t="s">
        <v>356</v>
      </c>
    </row>
    <row r="8095" spans="1:6" ht="30" customHeight="1" x14ac:dyDescent="0.25">
      <c r="A8095" s="1" t="s">
        <v>16167</v>
      </c>
      <c r="B8095" s="1" t="str">
        <f>"9781118817766"</f>
        <v>9781118817766</v>
      </c>
      <c r="C8095" s="1" t="s">
        <v>65</v>
      </c>
      <c r="D8095" s="2">
        <v>42083</v>
      </c>
      <c r="E8095" s="1" t="s">
        <v>16168</v>
      </c>
      <c r="F8095" s="1" t="s">
        <v>158</v>
      </c>
    </row>
    <row r="8096" spans="1:6" ht="30" customHeight="1" x14ac:dyDescent="0.25">
      <c r="A8096" s="1" t="s">
        <v>16169</v>
      </c>
      <c r="B8096" s="1" t="str">
        <f>"9781118823248"</f>
        <v>9781118823248</v>
      </c>
      <c r="C8096" s="1" t="s">
        <v>11</v>
      </c>
      <c r="D8096" s="2">
        <v>42116</v>
      </c>
      <c r="E8096" s="1" t="s">
        <v>16170</v>
      </c>
      <c r="F8096" s="1" t="s">
        <v>95</v>
      </c>
    </row>
    <row r="8097" spans="1:6" ht="30" customHeight="1" x14ac:dyDescent="0.25">
      <c r="A8097" s="1" t="s">
        <v>16171</v>
      </c>
      <c r="B8097" s="1" t="str">
        <f>"9781118825273"</f>
        <v>9781118825273</v>
      </c>
      <c r="C8097" s="1" t="s">
        <v>11</v>
      </c>
      <c r="D8097" s="2">
        <v>42055</v>
      </c>
      <c r="E8097" s="1" t="s">
        <v>16172</v>
      </c>
      <c r="F8097" s="1" t="s">
        <v>13</v>
      </c>
    </row>
    <row r="8098" spans="1:6" ht="30" customHeight="1" x14ac:dyDescent="0.25">
      <c r="A8098" s="1" t="s">
        <v>16173</v>
      </c>
      <c r="B8098" s="1" t="str">
        <f>"9781118828557"</f>
        <v>9781118828557</v>
      </c>
      <c r="C8098" s="1" t="s">
        <v>11</v>
      </c>
      <c r="D8098" s="2">
        <v>42073</v>
      </c>
      <c r="E8098" s="1" t="s">
        <v>16174</v>
      </c>
      <c r="F8098" s="1" t="s">
        <v>13</v>
      </c>
    </row>
    <row r="8099" spans="1:6" ht="30" customHeight="1" x14ac:dyDescent="0.25">
      <c r="A8099" s="1" t="s">
        <v>16175</v>
      </c>
      <c r="B8099" s="1" t="str">
        <f>"9781118828625"</f>
        <v>9781118828625</v>
      </c>
      <c r="C8099" s="1" t="s">
        <v>65</v>
      </c>
      <c r="D8099" s="2">
        <v>42163</v>
      </c>
      <c r="E8099" s="1" t="s">
        <v>16176</v>
      </c>
      <c r="F8099" s="1" t="s">
        <v>13</v>
      </c>
    </row>
    <row r="8100" spans="1:6" ht="30" customHeight="1" x14ac:dyDescent="0.25">
      <c r="A8100" s="1" t="s">
        <v>16177</v>
      </c>
      <c r="B8100" s="1" t="str">
        <f>"9781118834213"</f>
        <v>9781118834213</v>
      </c>
      <c r="C8100" s="1" t="s">
        <v>11</v>
      </c>
      <c r="D8100" s="2">
        <v>42079</v>
      </c>
      <c r="E8100" s="1" t="s">
        <v>16178</v>
      </c>
      <c r="F8100" s="1" t="s">
        <v>214</v>
      </c>
    </row>
    <row r="8101" spans="1:6" ht="30" customHeight="1" x14ac:dyDescent="0.25">
      <c r="A8101" s="1" t="s">
        <v>16179</v>
      </c>
      <c r="B8101" s="1" t="str">
        <f>"9781118860618"</f>
        <v>9781118860618</v>
      </c>
      <c r="C8101" s="1" t="s">
        <v>65</v>
      </c>
      <c r="D8101" s="2">
        <v>41992</v>
      </c>
      <c r="E8101" s="1" t="s">
        <v>16180</v>
      </c>
      <c r="F8101" s="1" t="s">
        <v>7666</v>
      </c>
    </row>
    <row r="8102" spans="1:6" ht="30" customHeight="1" x14ac:dyDescent="0.25">
      <c r="A8102" s="1" t="s">
        <v>16181</v>
      </c>
      <c r="B8102" s="1" t="str">
        <f>"9781118873175"</f>
        <v>9781118873175</v>
      </c>
      <c r="C8102" s="1" t="s">
        <v>11</v>
      </c>
      <c r="D8102" s="2">
        <v>42037</v>
      </c>
      <c r="E8102" s="1" t="s">
        <v>16182</v>
      </c>
      <c r="F8102" s="1" t="s">
        <v>13</v>
      </c>
    </row>
    <row r="8103" spans="1:6" ht="30" customHeight="1" x14ac:dyDescent="0.25">
      <c r="A8103" s="1" t="s">
        <v>16183</v>
      </c>
      <c r="B8103" s="1" t="str">
        <f>"9781118889947"</f>
        <v>9781118889947</v>
      </c>
      <c r="C8103" s="1" t="s">
        <v>65</v>
      </c>
      <c r="D8103" s="2">
        <v>42060</v>
      </c>
      <c r="E8103" s="1" t="s">
        <v>16184</v>
      </c>
      <c r="F8103" s="1" t="s">
        <v>13</v>
      </c>
    </row>
    <row r="8104" spans="1:6" ht="30" customHeight="1" x14ac:dyDescent="0.25">
      <c r="A8104" s="1" t="s">
        <v>16185</v>
      </c>
      <c r="B8104" s="1" t="str">
        <f>"9781118901380"</f>
        <v>9781118901380</v>
      </c>
      <c r="C8104" s="1" t="s">
        <v>65</v>
      </c>
      <c r="D8104" s="2">
        <v>42062</v>
      </c>
      <c r="E8104" s="1" t="s">
        <v>16186</v>
      </c>
      <c r="F8104" s="1" t="s">
        <v>137</v>
      </c>
    </row>
    <row r="8105" spans="1:6" ht="30" customHeight="1" x14ac:dyDescent="0.25">
      <c r="A8105" s="1" t="s">
        <v>16187</v>
      </c>
      <c r="B8105" s="1" t="str">
        <f>"9781118907221"</f>
        <v>9781118907221</v>
      </c>
      <c r="C8105" s="1" t="s">
        <v>65</v>
      </c>
      <c r="D8105" s="2">
        <v>42107</v>
      </c>
      <c r="E8105" s="1" t="s">
        <v>16188</v>
      </c>
      <c r="F8105" s="1" t="s">
        <v>268</v>
      </c>
    </row>
    <row r="8106" spans="1:6" ht="30" customHeight="1" x14ac:dyDescent="0.25">
      <c r="A8106" s="1" t="s">
        <v>16189</v>
      </c>
      <c r="B8106" s="1" t="str">
        <f>"9781118925287"</f>
        <v>9781118925287</v>
      </c>
      <c r="C8106" s="1" t="s">
        <v>11</v>
      </c>
      <c r="D8106" s="2">
        <v>42129</v>
      </c>
      <c r="E8106" s="1" t="s">
        <v>16190</v>
      </c>
      <c r="F8106" s="1" t="s">
        <v>13</v>
      </c>
    </row>
    <row r="8107" spans="1:6" ht="30" customHeight="1" x14ac:dyDescent="0.25">
      <c r="A8107" s="1" t="s">
        <v>16191</v>
      </c>
      <c r="B8107" s="1" t="str">
        <f>"9781118938409"</f>
        <v>9781118938409</v>
      </c>
      <c r="C8107" s="1" t="s">
        <v>11</v>
      </c>
      <c r="D8107" s="2">
        <v>42009</v>
      </c>
      <c r="E8107" s="1" t="s">
        <v>16192</v>
      </c>
      <c r="F8107" s="1" t="s">
        <v>13</v>
      </c>
    </row>
    <row r="8108" spans="1:6" ht="30" customHeight="1" x14ac:dyDescent="0.25">
      <c r="A8108" s="1" t="s">
        <v>16193</v>
      </c>
      <c r="B8108" s="1" t="str">
        <f>"9781118953082"</f>
        <v>9781118953082</v>
      </c>
      <c r="C8108" s="1" t="s">
        <v>11</v>
      </c>
      <c r="D8108" s="2">
        <v>42109</v>
      </c>
      <c r="E8108" s="1" t="s">
        <v>16194</v>
      </c>
      <c r="F8108" s="1" t="s">
        <v>3803</v>
      </c>
    </row>
    <row r="8109" spans="1:6" ht="30" customHeight="1" x14ac:dyDescent="0.25">
      <c r="A8109" s="1" t="s">
        <v>16195</v>
      </c>
      <c r="B8109" s="1" t="str">
        <f>"9781118982594"</f>
        <v>9781118982594</v>
      </c>
      <c r="C8109" s="1" t="s">
        <v>11</v>
      </c>
      <c r="D8109" s="2">
        <v>42053</v>
      </c>
      <c r="E8109" s="1" t="s">
        <v>16196</v>
      </c>
      <c r="F8109" s="1" t="s">
        <v>13</v>
      </c>
    </row>
    <row r="8110" spans="1:6" ht="30" customHeight="1" x14ac:dyDescent="0.25">
      <c r="A8110" s="1" t="s">
        <v>16197</v>
      </c>
      <c r="B8110" s="1" t="str">
        <f>"9781118983034"</f>
        <v>9781118983034</v>
      </c>
      <c r="C8110" s="1" t="s">
        <v>11</v>
      </c>
      <c r="D8110" s="2">
        <v>42121</v>
      </c>
      <c r="E8110" s="1" t="s">
        <v>16198</v>
      </c>
      <c r="F8110" s="1" t="s">
        <v>13</v>
      </c>
    </row>
    <row r="8111" spans="1:6" ht="30" customHeight="1" x14ac:dyDescent="0.25">
      <c r="A8111" s="1" t="s">
        <v>16199</v>
      </c>
      <c r="B8111" s="1" t="str">
        <f>"9781118991992"</f>
        <v>9781118991992</v>
      </c>
      <c r="C8111" s="1" t="s">
        <v>65</v>
      </c>
      <c r="D8111" s="2">
        <v>42101</v>
      </c>
      <c r="E8111" s="1" t="s">
        <v>16200</v>
      </c>
      <c r="F8111" s="1" t="s">
        <v>95</v>
      </c>
    </row>
    <row r="8112" spans="1:6" ht="30" customHeight="1" x14ac:dyDescent="0.25">
      <c r="A8112" s="1" t="s">
        <v>16201</v>
      </c>
      <c r="B8112" s="1" t="str">
        <f>"9781118995280"</f>
        <v>9781118995280</v>
      </c>
      <c r="C8112" s="1" t="s">
        <v>11</v>
      </c>
      <c r="D8112" s="2">
        <v>42037</v>
      </c>
      <c r="E8112" s="1" t="s">
        <v>16202</v>
      </c>
      <c r="F8112" s="1" t="s">
        <v>268</v>
      </c>
    </row>
    <row r="8113" spans="1:6" ht="30" customHeight="1" x14ac:dyDescent="0.25">
      <c r="A8113" s="1" t="s">
        <v>16203</v>
      </c>
      <c r="B8113" s="1" t="str">
        <f>"9781119006114"</f>
        <v>9781119006114</v>
      </c>
      <c r="C8113" s="1" t="s">
        <v>11</v>
      </c>
      <c r="D8113" s="2">
        <v>42111</v>
      </c>
      <c r="E8113" s="1" t="s">
        <v>16204</v>
      </c>
      <c r="F8113" s="1" t="s">
        <v>268</v>
      </c>
    </row>
    <row r="8114" spans="1:6" ht="30" customHeight="1" x14ac:dyDescent="0.25">
      <c r="A8114" s="1" t="s">
        <v>16205</v>
      </c>
      <c r="B8114" s="1" t="str">
        <f>"9781119045724"</f>
        <v>9781119045724</v>
      </c>
      <c r="C8114" s="1" t="s">
        <v>65</v>
      </c>
      <c r="D8114" s="2">
        <v>42002</v>
      </c>
      <c r="E8114" s="1" t="s">
        <v>16206</v>
      </c>
      <c r="F8114" s="1" t="s">
        <v>16207</v>
      </c>
    </row>
    <row r="8115" spans="1:6" ht="30" customHeight="1" x14ac:dyDescent="0.25">
      <c r="A8115" s="1" t="s">
        <v>16208</v>
      </c>
      <c r="B8115" s="1" t="str">
        <f>"9781119055945"</f>
        <v>9781119055945</v>
      </c>
      <c r="C8115" s="1" t="s">
        <v>11</v>
      </c>
      <c r="D8115" s="2">
        <v>42121</v>
      </c>
      <c r="E8115" s="1" t="s">
        <v>16209</v>
      </c>
      <c r="F8115" s="1" t="s">
        <v>137</v>
      </c>
    </row>
    <row r="8116" spans="1:6" ht="30" customHeight="1" x14ac:dyDescent="0.25">
      <c r="A8116" s="1" t="s">
        <v>16210</v>
      </c>
      <c r="B8116" s="1" t="str">
        <f>"9781119064268"</f>
        <v>9781119064268</v>
      </c>
      <c r="C8116" s="1" t="s">
        <v>65</v>
      </c>
      <c r="D8116" s="2">
        <v>41985</v>
      </c>
      <c r="E8116" s="1" t="s">
        <v>16211</v>
      </c>
      <c r="F8116" s="1" t="s">
        <v>13</v>
      </c>
    </row>
    <row r="8117" spans="1:6" ht="30" customHeight="1" x14ac:dyDescent="0.25">
      <c r="A8117" s="1" t="s">
        <v>16212</v>
      </c>
      <c r="B8117" s="1" t="str">
        <f>"9781119074830"</f>
        <v>9781119074830</v>
      </c>
      <c r="C8117" s="1" t="s">
        <v>65</v>
      </c>
      <c r="D8117" s="2">
        <v>42059</v>
      </c>
      <c r="E8117" s="1" t="s">
        <v>16213</v>
      </c>
      <c r="F8117" s="1" t="s">
        <v>13</v>
      </c>
    </row>
    <row r="8118" spans="1:6" ht="30" customHeight="1" x14ac:dyDescent="0.25">
      <c r="A8118" s="1" t="s">
        <v>16214</v>
      </c>
      <c r="B8118" s="1" t="str">
        <f>"9783527678440"</f>
        <v>9783527678440</v>
      </c>
      <c r="C8118" s="1" t="s">
        <v>65</v>
      </c>
      <c r="D8118" s="2">
        <v>42038</v>
      </c>
      <c r="E8118" s="1" t="s">
        <v>16215</v>
      </c>
      <c r="F8118" s="1" t="s">
        <v>16216</v>
      </c>
    </row>
    <row r="8119" spans="1:6" ht="30" customHeight="1" x14ac:dyDescent="0.25">
      <c r="A8119" s="1" t="s">
        <v>16217</v>
      </c>
      <c r="B8119" s="1" t="str">
        <f>"9783527684021"</f>
        <v>9783527684021</v>
      </c>
      <c r="C8119" s="1" t="s">
        <v>65</v>
      </c>
      <c r="D8119" s="2">
        <v>42073</v>
      </c>
      <c r="E8119" s="1" t="s">
        <v>16218</v>
      </c>
      <c r="F8119" s="1" t="s">
        <v>13</v>
      </c>
    </row>
    <row r="8120" spans="1:6" ht="30" customHeight="1" x14ac:dyDescent="0.25">
      <c r="A8120" s="1" t="s">
        <v>16219</v>
      </c>
      <c r="B8120" s="1" t="str">
        <f>"9781118778234"</f>
        <v>9781118778234</v>
      </c>
      <c r="C8120" s="1" t="s">
        <v>65</v>
      </c>
      <c r="D8120" s="2">
        <v>41985</v>
      </c>
      <c r="E8120" s="1" t="s">
        <v>16220</v>
      </c>
      <c r="F8120" s="1" t="s">
        <v>13</v>
      </c>
    </row>
    <row r="8121" spans="1:6" ht="30" customHeight="1" x14ac:dyDescent="0.25">
      <c r="A8121" s="1" t="s">
        <v>16221</v>
      </c>
      <c r="B8121" s="1" t="str">
        <f>"9781856424974"</f>
        <v>9781856424974</v>
      </c>
      <c r="C8121" s="1" t="s">
        <v>9846</v>
      </c>
      <c r="D8121" s="2">
        <v>40057</v>
      </c>
      <c r="E8121" s="1" t="s">
        <v>4726</v>
      </c>
      <c r="F8121" s="1" t="s">
        <v>126</v>
      </c>
    </row>
    <row r="8122" spans="1:6" ht="30" customHeight="1" x14ac:dyDescent="0.25">
      <c r="A8122" s="1" t="s">
        <v>16222</v>
      </c>
      <c r="B8122" s="1" t="str">
        <f>"9780739191927"</f>
        <v>9780739191927</v>
      </c>
      <c r="C8122" s="1" t="s">
        <v>9841</v>
      </c>
      <c r="D8122" s="2">
        <v>41961</v>
      </c>
      <c r="E8122" s="1" t="s">
        <v>16223</v>
      </c>
      <c r="F8122" s="1" t="s">
        <v>541</v>
      </c>
    </row>
    <row r="8123" spans="1:6" ht="30" customHeight="1" x14ac:dyDescent="0.25">
      <c r="A8123" s="1" t="s">
        <v>16224</v>
      </c>
      <c r="B8123" s="1" t="str">
        <f>"9781317470847"</f>
        <v>9781317470847</v>
      </c>
      <c r="C8123" s="1" t="s">
        <v>68</v>
      </c>
      <c r="D8123" s="2">
        <v>41991</v>
      </c>
      <c r="E8123" s="1" t="s">
        <v>16225</v>
      </c>
      <c r="F8123" s="1" t="s">
        <v>95</v>
      </c>
    </row>
    <row r="8124" spans="1:6" ht="30" customHeight="1" x14ac:dyDescent="0.25">
      <c r="A8124" s="1" t="s">
        <v>16226</v>
      </c>
      <c r="B8124" s="1" t="str">
        <f>"9780759124042"</f>
        <v>9780759124042</v>
      </c>
      <c r="C8124" s="1" t="s">
        <v>8723</v>
      </c>
      <c r="D8124" s="2">
        <v>41984</v>
      </c>
      <c r="E8124" s="1" t="s">
        <v>16227</v>
      </c>
      <c r="F8124" s="1" t="s">
        <v>13</v>
      </c>
    </row>
    <row r="8125" spans="1:6" ht="30" customHeight="1" x14ac:dyDescent="0.25">
      <c r="A8125" s="1" t="s">
        <v>16228</v>
      </c>
      <c r="B8125" s="1" t="str">
        <f>"9781442232532"</f>
        <v>9781442232532</v>
      </c>
      <c r="C8125" s="1" t="s">
        <v>8723</v>
      </c>
      <c r="D8125" s="2">
        <v>41984</v>
      </c>
      <c r="E8125" s="1" t="s">
        <v>16229</v>
      </c>
      <c r="F8125" s="1" t="s">
        <v>13</v>
      </c>
    </row>
    <row r="8126" spans="1:6" ht="30" customHeight="1" x14ac:dyDescent="0.25">
      <c r="A8126" s="1" t="s">
        <v>16230</v>
      </c>
      <c r="B8126" s="1" t="str">
        <f>"9789004278677"</f>
        <v>9789004278677</v>
      </c>
      <c r="C8126" s="1" t="s">
        <v>906</v>
      </c>
      <c r="D8126" s="2">
        <v>41997</v>
      </c>
      <c r="E8126" s="1" t="s">
        <v>16231</v>
      </c>
      <c r="F8126" s="1" t="s">
        <v>2028</v>
      </c>
    </row>
    <row r="8127" spans="1:6" ht="30" customHeight="1" x14ac:dyDescent="0.25">
      <c r="A8127" s="1" t="s">
        <v>16232</v>
      </c>
      <c r="B8127" s="1" t="str">
        <f>"9781782413202"</f>
        <v>9781782413202</v>
      </c>
      <c r="C8127" s="1" t="s">
        <v>68</v>
      </c>
      <c r="D8127" s="2">
        <v>42020</v>
      </c>
      <c r="E8127" s="1" t="s">
        <v>16233</v>
      </c>
      <c r="F8127" s="1" t="s">
        <v>13</v>
      </c>
    </row>
    <row r="8128" spans="1:6" ht="30" customHeight="1" x14ac:dyDescent="0.25">
      <c r="A8128" s="1" t="s">
        <v>16234</v>
      </c>
      <c r="B8128" s="1" t="str">
        <f>"9781118656334"</f>
        <v>9781118656334</v>
      </c>
      <c r="C8128" s="1" t="s">
        <v>65</v>
      </c>
      <c r="D8128" s="2">
        <v>41989</v>
      </c>
      <c r="E8128" s="1" t="s">
        <v>16235</v>
      </c>
      <c r="F8128" s="1" t="s">
        <v>13</v>
      </c>
    </row>
    <row r="8129" spans="1:6" ht="30" customHeight="1" x14ac:dyDescent="0.25">
      <c r="A8129" s="1" t="s">
        <v>16236</v>
      </c>
      <c r="B8129" s="1" t="str">
        <f>"9783038268208"</f>
        <v>9783038268208</v>
      </c>
      <c r="C8129" s="1" t="s">
        <v>15845</v>
      </c>
      <c r="D8129" s="2">
        <v>39643</v>
      </c>
      <c r="E8129" s="1" t="s">
        <v>15845</v>
      </c>
      <c r="F8129" s="1" t="s">
        <v>11352</v>
      </c>
    </row>
    <row r="8130" spans="1:6" ht="30" customHeight="1" x14ac:dyDescent="0.25">
      <c r="A8130" s="1" t="s">
        <v>16237</v>
      </c>
      <c r="B8130" s="1" t="str">
        <f>"9781118527030"</f>
        <v>9781118527030</v>
      </c>
      <c r="C8130" s="1" t="s">
        <v>65</v>
      </c>
      <c r="D8130" s="2">
        <v>42003</v>
      </c>
      <c r="E8130" s="1" t="s">
        <v>16238</v>
      </c>
      <c r="F8130" s="1" t="s">
        <v>13</v>
      </c>
    </row>
    <row r="8131" spans="1:6" ht="30" customHeight="1" x14ac:dyDescent="0.25">
      <c r="A8131" s="1" t="s">
        <v>16239</v>
      </c>
      <c r="B8131" s="1" t="str">
        <f>"9781118915325"</f>
        <v>9781118915325</v>
      </c>
      <c r="C8131" s="1" t="s">
        <v>65</v>
      </c>
      <c r="D8131" s="2">
        <v>41992</v>
      </c>
      <c r="E8131" s="1" t="s">
        <v>16240</v>
      </c>
      <c r="F8131" s="1" t="s">
        <v>13</v>
      </c>
    </row>
    <row r="8132" spans="1:6" ht="30" customHeight="1" x14ac:dyDescent="0.25">
      <c r="A8132" s="1" t="s">
        <v>16241</v>
      </c>
      <c r="B8132" s="1" t="str">
        <f>"9781119020318"</f>
        <v>9781119020318</v>
      </c>
      <c r="C8132" s="1" t="s">
        <v>11</v>
      </c>
      <c r="D8132" s="2">
        <v>36720</v>
      </c>
      <c r="E8132" s="1" t="s">
        <v>16242</v>
      </c>
      <c r="F8132" s="1" t="s">
        <v>158</v>
      </c>
    </row>
    <row r="8133" spans="1:6" ht="30" customHeight="1" x14ac:dyDescent="0.25">
      <c r="A8133" s="1" t="s">
        <v>16243</v>
      </c>
      <c r="B8133" s="1" t="str">
        <f>"9781846421600"</f>
        <v>9781846421600</v>
      </c>
      <c r="C8133" s="1" t="s">
        <v>2387</v>
      </c>
      <c r="D8133" s="2">
        <v>36996</v>
      </c>
      <c r="E8133" s="1" t="s">
        <v>16244</v>
      </c>
      <c r="F8133" s="1" t="s">
        <v>13</v>
      </c>
    </row>
    <row r="8134" spans="1:6" ht="30" customHeight="1" x14ac:dyDescent="0.25">
      <c r="A8134" s="1" t="s">
        <v>16245</v>
      </c>
      <c r="B8134" s="1" t="str">
        <f>"9781846421815"</f>
        <v>9781846421815</v>
      </c>
      <c r="C8134" s="1" t="s">
        <v>2387</v>
      </c>
      <c r="D8134" s="2">
        <v>36557</v>
      </c>
      <c r="E8134" s="1" t="s">
        <v>16246</v>
      </c>
      <c r="F8134" s="1" t="s">
        <v>13</v>
      </c>
    </row>
    <row r="8135" spans="1:6" ht="30" customHeight="1" x14ac:dyDescent="0.25">
      <c r="A8135" s="1" t="s">
        <v>16247</v>
      </c>
      <c r="B8135" s="1" t="str">
        <f>"9781846421853"</f>
        <v>9781846421853</v>
      </c>
      <c r="C8135" s="1" t="s">
        <v>2387</v>
      </c>
      <c r="D8135" s="2">
        <v>36039</v>
      </c>
      <c r="E8135" s="1" t="s">
        <v>16248</v>
      </c>
      <c r="F8135" s="1" t="s">
        <v>13</v>
      </c>
    </row>
    <row r="8136" spans="1:6" ht="30" customHeight="1" x14ac:dyDescent="0.25">
      <c r="A8136" s="1" t="s">
        <v>16249</v>
      </c>
      <c r="B8136" s="1" t="str">
        <f>"9781846422065"</f>
        <v>9781846422065</v>
      </c>
      <c r="C8136" s="1" t="s">
        <v>2387</v>
      </c>
      <c r="D8136" s="2">
        <v>36617</v>
      </c>
      <c r="E8136" s="1" t="s">
        <v>16250</v>
      </c>
      <c r="F8136" s="1" t="s">
        <v>13</v>
      </c>
    </row>
    <row r="8137" spans="1:6" ht="30" customHeight="1" x14ac:dyDescent="0.25">
      <c r="A8137" s="1" t="s">
        <v>16251</v>
      </c>
      <c r="B8137" s="1" t="str">
        <f>"9781846422737"</f>
        <v>9781846422737</v>
      </c>
      <c r="C8137" s="1" t="s">
        <v>2387</v>
      </c>
      <c r="D8137" s="2">
        <v>36906</v>
      </c>
      <c r="E8137" s="1" t="s">
        <v>16252</v>
      </c>
      <c r="F8137" s="1" t="s">
        <v>13</v>
      </c>
    </row>
    <row r="8138" spans="1:6" ht="30" customHeight="1" x14ac:dyDescent="0.25">
      <c r="A8138" s="1" t="s">
        <v>16253</v>
      </c>
      <c r="B8138" s="1" t="str">
        <f>"9781846423017"</f>
        <v>9781846423017</v>
      </c>
      <c r="C8138" s="1" t="s">
        <v>2387</v>
      </c>
      <c r="D8138" s="2">
        <v>37165</v>
      </c>
      <c r="E8138" s="1" t="s">
        <v>16254</v>
      </c>
      <c r="F8138" s="1" t="s">
        <v>13</v>
      </c>
    </row>
    <row r="8139" spans="1:6" ht="30" customHeight="1" x14ac:dyDescent="0.25">
      <c r="A8139" s="1" t="s">
        <v>16255</v>
      </c>
      <c r="B8139" s="1" t="str">
        <f>"9781846427114"</f>
        <v>9781846427114</v>
      </c>
      <c r="C8139" s="1" t="s">
        <v>2387</v>
      </c>
      <c r="D8139" s="2">
        <v>37636</v>
      </c>
      <c r="E8139" s="1" t="s">
        <v>16256</v>
      </c>
      <c r="F8139" s="1" t="s">
        <v>205</v>
      </c>
    </row>
    <row r="8140" spans="1:6" ht="30" customHeight="1" x14ac:dyDescent="0.25">
      <c r="A8140" s="1" t="s">
        <v>16257</v>
      </c>
      <c r="B8140" s="1" t="str">
        <f>"9781617051067"</f>
        <v>9781617051067</v>
      </c>
      <c r="C8140" s="1" t="s">
        <v>2342</v>
      </c>
      <c r="D8140" s="2">
        <v>41992</v>
      </c>
      <c r="E8140" s="1" t="s">
        <v>16258</v>
      </c>
      <c r="F8140" s="1" t="s">
        <v>13</v>
      </c>
    </row>
    <row r="8141" spans="1:6" ht="30" customHeight="1" x14ac:dyDescent="0.25">
      <c r="A8141" s="1" t="s">
        <v>16259</v>
      </c>
      <c r="B8141" s="1" t="str">
        <f>"9780826123374"</f>
        <v>9780826123374</v>
      </c>
      <c r="C8141" s="1" t="s">
        <v>2339</v>
      </c>
      <c r="D8141" s="2">
        <v>41975</v>
      </c>
      <c r="E8141" s="1" t="s">
        <v>16260</v>
      </c>
      <c r="F8141" s="1" t="s">
        <v>13</v>
      </c>
    </row>
    <row r="8142" spans="1:6" ht="30" customHeight="1" x14ac:dyDescent="0.25">
      <c r="A8142" s="1" t="s">
        <v>16261</v>
      </c>
      <c r="B8142" s="1" t="str">
        <f>"9783038262404"</f>
        <v>9783038262404</v>
      </c>
      <c r="C8142" s="1" t="s">
        <v>15845</v>
      </c>
      <c r="D8142" s="2">
        <v>41527</v>
      </c>
      <c r="E8142" s="1" t="s">
        <v>16262</v>
      </c>
      <c r="F8142" s="1" t="s">
        <v>2989</v>
      </c>
    </row>
    <row r="8143" spans="1:6" ht="30" customHeight="1" x14ac:dyDescent="0.25">
      <c r="A8143" s="1" t="s">
        <v>16263</v>
      </c>
      <c r="B8143" s="1" t="str">
        <f>"9783038262473"</f>
        <v>9783038262473</v>
      </c>
      <c r="C8143" s="1" t="s">
        <v>15845</v>
      </c>
      <c r="D8143" s="2">
        <v>41527</v>
      </c>
      <c r="E8143" s="1" t="s">
        <v>16264</v>
      </c>
      <c r="F8143" s="1" t="s">
        <v>13</v>
      </c>
    </row>
    <row r="8144" spans="1:6" ht="30" customHeight="1" x14ac:dyDescent="0.25">
      <c r="A8144" s="1" t="s">
        <v>16265</v>
      </c>
      <c r="B8144" s="1" t="str">
        <f>"9783038268376"</f>
        <v>9783038268376</v>
      </c>
      <c r="C8144" s="1" t="s">
        <v>15845</v>
      </c>
      <c r="D8144" s="2">
        <v>41627</v>
      </c>
      <c r="E8144" s="1" t="s">
        <v>15845</v>
      </c>
      <c r="F8144" s="1" t="s">
        <v>13</v>
      </c>
    </row>
    <row r="8145" spans="1:6" ht="30" customHeight="1" x14ac:dyDescent="0.25">
      <c r="A8145" s="1" t="s">
        <v>16266</v>
      </c>
      <c r="B8145" s="1" t="str">
        <f>"9783038262800"</f>
        <v>9783038262800</v>
      </c>
      <c r="C8145" s="1" t="s">
        <v>15845</v>
      </c>
      <c r="D8145" s="2">
        <v>41593</v>
      </c>
      <c r="E8145" s="1" t="s">
        <v>16267</v>
      </c>
      <c r="F8145" s="1" t="s">
        <v>13</v>
      </c>
    </row>
    <row r="8146" spans="1:6" ht="30" customHeight="1" x14ac:dyDescent="0.25">
      <c r="A8146" s="1" t="s">
        <v>16268</v>
      </c>
      <c r="B8146" s="1" t="str">
        <f>"9783038265115"</f>
        <v>9783038265115</v>
      </c>
      <c r="C8146" s="1" t="s">
        <v>15845</v>
      </c>
      <c r="D8146" s="2">
        <v>41796</v>
      </c>
      <c r="E8146" s="1" t="s">
        <v>16269</v>
      </c>
      <c r="F8146" s="1" t="s">
        <v>13</v>
      </c>
    </row>
    <row r="8147" spans="1:6" ht="30" customHeight="1" x14ac:dyDescent="0.25">
      <c r="A8147" s="1" t="s">
        <v>16270</v>
      </c>
      <c r="B8147" s="1" t="str">
        <f>"9783038266662"</f>
        <v>9783038266662</v>
      </c>
      <c r="C8147" s="1" t="s">
        <v>15845</v>
      </c>
      <c r="D8147" s="2">
        <v>41960</v>
      </c>
      <c r="E8147" s="1" t="s">
        <v>16271</v>
      </c>
      <c r="F8147" s="1" t="s">
        <v>13</v>
      </c>
    </row>
    <row r="8148" spans="1:6" ht="30" customHeight="1" x14ac:dyDescent="0.25">
      <c r="A8148" s="1" t="s">
        <v>16272</v>
      </c>
      <c r="B8148" s="1" t="str">
        <f>"9783038267256"</f>
        <v>9783038267256</v>
      </c>
      <c r="C8148" s="1" t="s">
        <v>15845</v>
      </c>
      <c r="D8148" s="2">
        <v>41976</v>
      </c>
      <c r="E8148" s="1" t="s">
        <v>16273</v>
      </c>
      <c r="F8148" s="1" t="s">
        <v>137</v>
      </c>
    </row>
    <row r="8149" spans="1:6" ht="30" customHeight="1" x14ac:dyDescent="0.25">
      <c r="A8149" s="1" t="s">
        <v>16274</v>
      </c>
      <c r="B8149" s="1" t="str">
        <f>"9781118990803"</f>
        <v>9781118990803</v>
      </c>
      <c r="C8149" s="1" t="s">
        <v>65</v>
      </c>
      <c r="D8149" s="2">
        <v>42003</v>
      </c>
      <c r="E8149" s="1" t="s">
        <v>16275</v>
      </c>
      <c r="F8149" s="1" t="s">
        <v>95</v>
      </c>
    </row>
    <row r="8150" spans="1:6" ht="30" customHeight="1" x14ac:dyDescent="0.25">
      <c r="A8150" s="1" t="s">
        <v>16276</v>
      </c>
      <c r="B8150" s="1" t="str">
        <f>"9781118655672"</f>
        <v>9781118655672</v>
      </c>
      <c r="C8150" s="1" t="s">
        <v>65</v>
      </c>
      <c r="D8150" s="2">
        <v>41997</v>
      </c>
      <c r="E8150" s="1" t="s">
        <v>16277</v>
      </c>
      <c r="F8150" s="1" t="s">
        <v>13</v>
      </c>
    </row>
    <row r="8151" spans="1:6" ht="30" customHeight="1" x14ac:dyDescent="0.25">
      <c r="A8151" s="1" t="s">
        <v>16278</v>
      </c>
      <c r="B8151" s="1" t="str">
        <f>"9783038267676"</f>
        <v>9783038267676</v>
      </c>
      <c r="C8151" s="1" t="s">
        <v>15845</v>
      </c>
      <c r="D8151" s="2">
        <v>41997</v>
      </c>
      <c r="E8151" s="1" t="s">
        <v>16279</v>
      </c>
      <c r="F8151" s="1" t="s">
        <v>13</v>
      </c>
    </row>
    <row r="8152" spans="1:6" ht="30" customHeight="1" x14ac:dyDescent="0.25">
      <c r="A8152" s="1" t="s">
        <v>16280</v>
      </c>
      <c r="B8152" s="1" t="str">
        <f>"9781118528150"</f>
        <v>9781118528150</v>
      </c>
      <c r="C8152" s="1" t="s">
        <v>65</v>
      </c>
      <c r="D8152" s="2">
        <v>41982</v>
      </c>
      <c r="E8152" s="1" t="s">
        <v>16281</v>
      </c>
      <c r="F8152" s="1" t="s">
        <v>13</v>
      </c>
    </row>
    <row r="8153" spans="1:6" ht="30" customHeight="1" x14ac:dyDescent="0.25">
      <c r="A8153" s="1" t="s">
        <v>16282</v>
      </c>
      <c r="B8153" s="1" t="str">
        <f>"9781118600368"</f>
        <v>9781118600368</v>
      </c>
      <c r="C8153" s="1" t="s">
        <v>65</v>
      </c>
      <c r="D8153" s="2">
        <v>42009</v>
      </c>
      <c r="E8153" s="1" t="s">
        <v>16283</v>
      </c>
      <c r="F8153" s="1" t="s">
        <v>13</v>
      </c>
    </row>
    <row r="8154" spans="1:6" ht="30" customHeight="1" x14ac:dyDescent="0.25">
      <c r="A8154" s="1" t="s">
        <v>16284</v>
      </c>
      <c r="B8154" s="1" t="str">
        <f>"9781118860953"</f>
        <v>9781118860953</v>
      </c>
      <c r="C8154" s="1" t="s">
        <v>65</v>
      </c>
      <c r="D8154" s="2">
        <v>42009</v>
      </c>
      <c r="E8154" s="1" t="s">
        <v>16285</v>
      </c>
      <c r="F8154" s="1" t="s">
        <v>13</v>
      </c>
    </row>
    <row r="8155" spans="1:6" ht="30" customHeight="1" x14ac:dyDescent="0.25">
      <c r="A8155" s="1" t="s">
        <v>16286</v>
      </c>
      <c r="B8155" s="1" t="str">
        <f>"9781782411994"</f>
        <v>9781782411994</v>
      </c>
      <c r="C8155" s="1" t="s">
        <v>68</v>
      </c>
      <c r="D8155" s="2">
        <v>42013</v>
      </c>
      <c r="E8155" s="1" t="s">
        <v>16287</v>
      </c>
      <c r="F8155" s="1" t="s">
        <v>13</v>
      </c>
    </row>
    <row r="8156" spans="1:6" ht="30" customHeight="1" x14ac:dyDescent="0.25">
      <c r="A8156" s="1" t="s">
        <v>16288</v>
      </c>
      <c r="B8156" s="1" t="str">
        <f>"9780813150420"</f>
        <v>9780813150420</v>
      </c>
      <c r="C8156" s="1" t="s">
        <v>10382</v>
      </c>
      <c r="D8156" s="2">
        <v>42040</v>
      </c>
      <c r="E8156" s="1" t="s">
        <v>16289</v>
      </c>
      <c r="F8156" s="1" t="s">
        <v>13</v>
      </c>
    </row>
    <row r="8157" spans="1:6" ht="30" customHeight="1" x14ac:dyDescent="0.25">
      <c r="A8157" s="1" t="s">
        <v>16290</v>
      </c>
      <c r="B8157" s="1" t="str">
        <f>"9780813150284"</f>
        <v>9780813150284</v>
      </c>
      <c r="C8157" s="1" t="s">
        <v>10382</v>
      </c>
      <c r="D8157" s="2">
        <v>42040</v>
      </c>
      <c r="E8157" s="1" t="s">
        <v>16291</v>
      </c>
      <c r="F8157" s="1" t="s">
        <v>13</v>
      </c>
    </row>
    <row r="8158" spans="1:6" ht="30" customHeight="1" x14ac:dyDescent="0.25">
      <c r="A8158" s="1" t="s">
        <v>16292</v>
      </c>
      <c r="B8158" s="1" t="str">
        <f>"9780813150376"</f>
        <v>9780813150376</v>
      </c>
      <c r="C8158" s="1" t="s">
        <v>10382</v>
      </c>
      <c r="D8158" s="2">
        <v>42040</v>
      </c>
      <c r="E8158" s="1" t="s">
        <v>16293</v>
      </c>
      <c r="F8158" s="1" t="s">
        <v>70</v>
      </c>
    </row>
    <row r="8159" spans="1:6" ht="30" customHeight="1" x14ac:dyDescent="0.25">
      <c r="A8159" s="1" t="s">
        <v>16294</v>
      </c>
      <c r="B8159" s="1" t="str">
        <f>"9780813159065"</f>
        <v>9780813159065</v>
      </c>
      <c r="C8159" s="1" t="s">
        <v>10382</v>
      </c>
      <c r="D8159" s="2">
        <v>42040</v>
      </c>
      <c r="E8159" s="1" t="s">
        <v>16295</v>
      </c>
      <c r="F8159" s="1" t="s">
        <v>13</v>
      </c>
    </row>
    <row r="8160" spans="1:6" ht="30" customHeight="1" x14ac:dyDescent="0.25">
      <c r="A8160" s="1" t="s">
        <v>16296</v>
      </c>
      <c r="B8160" s="1" t="str">
        <f>"9780813159188"</f>
        <v>9780813159188</v>
      </c>
      <c r="C8160" s="1" t="s">
        <v>10382</v>
      </c>
      <c r="D8160" s="2">
        <v>42040</v>
      </c>
      <c r="E8160" s="1" t="s">
        <v>16297</v>
      </c>
      <c r="F8160" s="1" t="s">
        <v>16298</v>
      </c>
    </row>
    <row r="8161" spans="1:6" ht="30" customHeight="1" x14ac:dyDescent="0.25">
      <c r="A8161" s="1" t="s">
        <v>16299</v>
      </c>
      <c r="B8161" s="1" t="str">
        <f>"9780813158174"</f>
        <v>9780813158174</v>
      </c>
      <c r="C8161" s="1" t="s">
        <v>10382</v>
      </c>
      <c r="D8161" s="2">
        <v>42040</v>
      </c>
      <c r="E8161" s="1" t="s">
        <v>16300</v>
      </c>
      <c r="F8161" s="1" t="s">
        <v>13</v>
      </c>
    </row>
    <row r="8162" spans="1:6" ht="30" customHeight="1" x14ac:dyDescent="0.25">
      <c r="A8162" s="1" t="s">
        <v>16301</v>
      </c>
      <c r="B8162" s="1" t="str">
        <f>"9780813156750"</f>
        <v>9780813156750</v>
      </c>
      <c r="C8162" s="1" t="s">
        <v>10382</v>
      </c>
      <c r="D8162" s="2">
        <v>42040</v>
      </c>
      <c r="E8162" s="1" t="s">
        <v>16302</v>
      </c>
      <c r="F8162" s="1" t="s">
        <v>176</v>
      </c>
    </row>
    <row r="8163" spans="1:6" ht="30" customHeight="1" x14ac:dyDescent="0.25">
      <c r="A8163" s="1" t="s">
        <v>16303</v>
      </c>
      <c r="B8163" s="1" t="str">
        <f>"9780813158433"</f>
        <v>9780813158433</v>
      </c>
      <c r="C8163" s="1" t="s">
        <v>10382</v>
      </c>
      <c r="D8163" s="2">
        <v>42040</v>
      </c>
      <c r="E8163" s="1" t="s">
        <v>16304</v>
      </c>
      <c r="F8163" s="1" t="s">
        <v>13</v>
      </c>
    </row>
    <row r="8164" spans="1:6" ht="30" customHeight="1" x14ac:dyDescent="0.25">
      <c r="A8164" s="1" t="s">
        <v>16305</v>
      </c>
      <c r="B8164" s="1" t="str">
        <f>"9780813148229"</f>
        <v>9780813148229</v>
      </c>
      <c r="C8164" s="1" t="s">
        <v>10382</v>
      </c>
      <c r="D8164" s="2">
        <v>42040</v>
      </c>
      <c r="E8164" s="1" t="s">
        <v>16293</v>
      </c>
      <c r="F8164" s="1" t="s">
        <v>70</v>
      </c>
    </row>
    <row r="8165" spans="1:6" ht="30" customHeight="1" x14ac:dyDescent="0.25">
      <c r="A8165" s="1" t="s">
        <v>16306</v>
      </c>
      <c r="B8165" s="1" t="str">
        <f>"9780813157771"</f>
        <v>9780813157771</v>
      </c>
      <c r="C8165" s="1" t="s">
        <v>10382</v>
      </c>
      <c r="D8165" s="2">
        <v>42040</v>
      </c>
      <c r="E8165" s="1" t="s">
        <v>16307</v>
      </c>
      <c r="F8165" s="1" t="s">
        <v>13</v>
      </c>
    </row>
    <row r="8166" spans="1:6" ht="30" customHeight="1" x14ac:dyDescent="0.25">
      <c r="A8166" s="1" t="s">
        <v>16308</v>
      </c>
      <c r="B8166" s="1" t="str">
        <f>"9780813164762"</f>
        <v>9780813164762</v>
      </c>
      <c r="C8166" s="1" t="s">
        <v>10382</v>
      </c>
      <c r="D8166" s="2">
        <v>42040</v>
      </c>
      <c r="E8166" s="1" t="s">
        <v>16309</v>
      </c>
      <c r="F8166" s="1" t="s">
        <v>30</v>
      </c>
    </row>
    <row r="8167" spans="1:6" ht="30" customHeight="1" x14ac:dyDescent="0.25">
      <c r="A8167" s="1" t="s">
        <v>16310</v>
      </c>
      <c r="B8167" s="1" t="str">
        <f>"9780813162188"</f>
        <v>9780813162188</v>
      </c>
      <c r="C8167" s="1" t="s">
        <v>10382</v>
      </c>
      <c r="D8167" s="2">
        <v>42040</v>
      </c>
      <c r="E8167" s="1" t="s">
        <v>16311</v>
      </c>
      <c r="F8167" s="1" t="s">
        <v>599</v>
      </c>
    </row>
    <row r="8168" spans="1:6" ht="30" customHeight="1" x14ac:dyDescent="0.25">
      <c r="A8168" s="1" t="s">
        <v>16312</v>
      </c>
      <c r="B8168" s="1" t="str">
        <f>"9780813165035"</f>
        <v>9780813165035</v>
      </c>
      <c r="C8168" s="1" t="s">
        <v>10382</v>
      </c>
      <c r="D8168" s="2">
        <v>42040</v>
      </c>
      <c r="E8168" s="1" t="s">
        <v>16313</v>
      </c>
      <c r="F8168" s="1" t="s">
        <v>13</v>
      </c>
    </row>
    <row r="8169" spans="1:6" ht="30" customHeight="1" x14ac:dyDescent="0.25">
      <c r="A8169" s="1" t="s">
        <v>16314</v>
      </c>
      <c r="B8169" s="1" t="str">
        <f>"9780813163147"</f>
        <v>9780813163147</v>
      </c>
      <c r="C8169" s="1" t="s">
        <v>10382</v>
      </c>
      <c r="D8169" s="2">
        <v>42040</v>
      </c>
      <c r="E8169" s="1" t="s">
        <v>16315</v>
      </c>
      <c r="F8169" s="1" t="s">
        <v>13</v>
      </c>
    </row>
    <row r="8170" spans="1:6" ht="30" customHeight="1" x14ac:dyDescent="0.25">
      <c r="A8170" s="1" t="s">
        <v>16316</v>
      </c>
      <c r="B8170" s="1" t="str">
        <f>"9780813163130"</f>
        <v>9780813163130</v>
      </c>
      <c r="C8170" s="1" t="s">
        <v>10382</v>
      </c>
      <c r="D8170" s="2">
        <v>42040</v>
      </c>
      <c r="E8170" s="1" t="s">
        <v>16315</v>
      </c>
      <c r="F8170" s="1" t="s">
        <v>13</v>
      </c>
    </row>
    <row r="8171" spans="1:6" ht="30" customHeight="1" x14ac:dyDescent="0.25">
      <c r="A8171" s="1" t="s">
        <v>16317</v>
      </c>
      <c r="B8171" s="1" t="str">
        <f>"9780813163123"</f>
        <v>9780813163123</v>
      </c>
      <c r="C8171" s="1" t="s">
        <v>10382</v>
      </c>
      <c r="D8171" s="2">
        <v>42040</v>
      </c>
      <c r="E8171" s="1" t="s">
        <v>16315</v>
      </c>
      <c r="F8171" s="1" t="s">
        <v>176</v>
      </c>
    </row>
    <row r="8172" spans="1:6" ht="30" customHeight="1" x14ac:dyDescent="0.25">
      <c r="A8172" s="1" t="s">
        <v>16318</v>
      </c>
      <c r="B8172" s="1" t="str">
        <f>"9781604067293"</f>
        <v>9781604067293</v>
      </c>
      <c r="C8172" s="1" t="s">
        <v>1671</v>
      </c>
      <c r="D8172" s="2">
        <v>42064</v>
      </c>
      <c r="E8172" s="1" t="s">
        <v>16319</v>
      </c>
      <c r="F8172" s="1" t="s">
        <v>13</v>
      </c>
    </row>
    <row r="8173" spans="1:6" ht="30" customHeight="1" x14ac:dyDescent="0.25">
      <c r="A8173" s="1" t="s">
        <v>16320</v>
      </c>
      <c r="B8173" s="1" t="str">
        <f>"9789956791064"</f>
        <v>9789956791064</v>
      </c>
      <c r="C8173" s="1" t="s">
        <v>13063</v>
      </c>
      <c r="D8173" s="2">
        <v>41621</v>
      </c>
      <c r="E8173" s="1" t="s">
        <v>16321</v>
      </c>
      <c r="F8173" s="1" t="s">
        <v>13</v>
      </c>
    </row>
    <row r="8174" spans="1:6" ht="30" customHeight="1" x14ac:dyDescent="0.25">
      <c r="A8174" s="1" t="s">
        <v>16322</v>
      </c>
      <c r="B8174" s="1" t="str">
        <f>"9781779222015"</f>
        <v>9781779222015</v>
      </c>
      <c r="C8174" s="1" t="s">
        <v>16323</v>
      </c>
      <c r="D8174" s="2">
        <v>41042</v>
      </c>
      <c r="E8174" s="1" t="s">
        <v>16324</v>
      </c>
      <c r="F8174" s="1" t="s">
        <v>13</v>
      </c>
    </row>
    <row r="8175" spans="1:6" ht="30" customHeight="1" x14ac:dyDescent="0.25">
      <c r="A8175" s="1" t="s">
        <v>16325</v>
      </c>
      <c r="B8175" s="1" t="str">
        <f>"9789991642024"</f>
        <v>9789991642024</v>
      </c>
      <c r="C8175" s="1" t="s">
        <v>16326</v>
      </c>
      <c r="D8175" s="2">
        <v>41169</v>
      </c>
      <c r="E8175" s="1" t="s">
        <v>16327</v>
      </c>
      <c r="F8175" s="1" t="s">
        <v>1693</v>
      </c>
    </row>
    <row r="8176" spans="1:6" ht="30" customHeight="1" x14ac:dyDescent="0.25">
      <c r="A8176" s="1" t="s">
        <v>16328</v>
      </c>
      <c r="B8176" s="1" t="str">
        <f>"9781614994602"</f>
        <v>9781614994602</v>
      </c>
      <c r="C8176" s="1" t="s">
        <v>1390</v>
      </c>
      <c r="D8176" s="2">
        <v>41991</v>
      </c>
      <c r="E8176" s="1" t="s">
        <v>16329</v>
      </c>
      <c r="F8176" s="1" t="s">
        <v>16330</v>
      </c>
    </row>
    <row r="8177" spans="1:6" ht="30" customHeight="1" x14ac:dyDescent="0.25">
      <c r="A8177" s="1" t="s">
        <v>16331</v>
      </c>
      <c r="B8177" s="1" t="str">
        <f>"9780827611924"</f>
        <v>9780827611924</v>
      </c>
      <c r="C8177" s="1" t="s">
        <v>16332</v>
      </c>
      <c r="D8177" s="2">
        <v>42064</v>
      </c>
      <c r="E8177" s="1" t="s">
        <v>16333</v>
      </c>
      <c r="F8177" s="1" t="s">
        <v>13</v>
      </c>
    </row>
    <row r="8178" spans="1:6" ht="30" customHeight="1" x14ac:dyDescent="0.25">
      <c r="A8178" s="1" t="s">
        <v>16334</v>
      </c>
      <c r="B8178" s="1" t="str">
        <f>"9789062998678"</f>
        <v>9789062998678</v>
      </c>
      <c r="C8178" s="1" t="s">
        <v>3412</v>
      </c>
      <c r="D8178" s="2">
        <v>41990</v>
      </c>
      <c r="E8178" s="1" t="s">
        <v>16335</v>
      </c>
      <c r="F8178" s="1" t="s">
        <v>13</v>
      </c>
    </row>
    <row r="8179" spans="1:6" ht="30" customHeight="1" x14ac:dyDescent="0.25">
      <c r="A8179" s="1" t="s">
        <v>16336</v>
      </c>
      <c r="B8179" s="1" t="str">
        <f>"9780231539081"</f>
        <v>9780231539081</v>
      </c>
      <c r="C8179" s="1" t="s">
        <v>11751</v>
      </c>
      <c r="D8179" s="2">
        <v>42108</v>
      </c>
      <c r="E8179" s="1" t="s">
        <v>16337</v>
      </c>
      <c r="F8179" s="1" t="s">
        <v>4314</v>
      </c>
    </row>
    <row r="8180" spans="1:6" ht="30" customHeight="1" x14ac:dyDescent="0.25">
      <c r="A8180" s="1" t="s">
        <v>16338</v>
      </c>
      <c r="B8180" s="1" t="str">
        <f>"9781597567275"</f>
        <v>9781597567275</v>
      </c>
      <c r="C8180" s="1" t="s">
        <v>15933</v>
      </c>
      <c r="D8180" s="2">
        <v>41698</v>
      </c>
      <c r="E8180" s="1" t="s">
        <v>16339</v>
      </c>
      <c r="F8180" s="1" t="s">
        <v>13</v>
      </c>
    </row>
    <row r="8181" spans="1:6" ht="30" customHeight="1" x14ac:dyDescent="0.25">
      <c r="A8181" s="1" t="s">
        <v>16340</v>
      </c>
      <c r="B8181" s="1" t="str">
        <f>"9780833083852"</f>
        <v>9780833083852</v>
      </c>
      <c r="C8181" s="1" t="s">
        <v>516</v>
      </c>
      <c r="D8181" s="2">
        <v>41988</v>
      </c>
      <c r="E8181" s="1" t="s">
        <v>16341</v>
      </c>
      <c r="F8181" s="1" t="s">
        <v>10335</v>
      </c>
    </row>
    <row r="8182" spans="1:6" ht="30" customHeight="1" x14ac:dyDescent="0.25">
      <c r="A8182" s="1" t="s">
        <v>16342</v>
      </c>
      <c r="B8182" s="1" t="str">
        <f>"9781597567398"</f>
        <v>9781597567398</v>
      </c>
      <c r="C8182" s="1" t="s">
        <v>15933</v>
      </c>
      <c r="D8182" s="2">
        <v>42025</v>
      </c>
      <c r="E8182" s="1" t="s">
        <v>16343</v>
      </c>
      <c r="F8182" s="1" t="s">
        <v>13</v>
      </c>
    </row>
    <row r="8183" spans="1:6" ht="30" customHeight="1" x14ac:dyDescent="0.25">
      <c r="A8183" s="1" t="s">
        <v>16344</v>
      </c>
      <c r="B8183" s="1" t="str">
        <f>"9781597567480"</f>
        <v>9781597567480</v>
      </c>
      <c r="C8183" s="1" t="s">
        <v>15933</v>
      </c>
      <c r="D8183" s="2">
        <v>39887</v>
      </c>
      <c r="E8183" s="1" t="s">
        <v>16345</v>
      </c>
      <c r="F8183" s="1" t="s">
        <v>13</v>
      </c>
    </row>
    <row r="8184" spans="1:6" ht="30" customHeight="1" x14ac:dyDescent="0.25">
      <c r="A8184" s="1" t="s">
        <v>16346</v>
      </c>
      <c r="B8184" s="1" t="str">
        <f>"9781597567435"</f>
        <v>9781597567435</v>
      </c>
      <c r="C8184" s="1" t="s">
        <v>15933</v>
      </c>
      <c r="D8184" s="2">
        <v>40330</v>
      </c>
      <c r="E8184" s="1" t="s">
        <v>16347</v>
      </c>
      <c r="F8184" s="1" t="s">
        <v>16348</v>
      </c>
    </row>
    <row r="8185" spans="1:6" ht="30" customHeight="1" x14ac:dyDescent="0.25">
      <c r="A8185" s="1" t="s">
        <v>16349</v>
      </c>
      <c r="B8185" s="1" t="str">
        <f>"9781597567466"</f>
        <v>9781597567466</v>
      </c>
      <c r="C8185" s="1" t="s">
        <v>15933</v>
      </c>
      <c r="D8185" s="2">
        <v>42025</v>
      </c>
      <c r="E8185" s="1" t="s">
        <v>16350</v>
      </c>
      <c r="F8185" s="1" t="s">
        <v>13</v>
      </c>
    </row>
    <row r="8186" spans="1:6" ht="30" customHeight="1" x14ac:dyDescent="0.25">
      <c r="A8186" s="1" t="s">
        <v>16351</v>
      </c>
      <c r="B8186" s="1" t="str">
        <f>"9781597567442"</f>
        <v>9781597567442</v>
      </c>
      <c r="C8186" s="1" t="s">
        <v>15933</v>
      </c>
      <c r="D8186" s="2">
        <v>42025</v>
      </c>
      <c r="E8186" s="1" t="s">
        <v>16352</v>
      </c>
      <c r="F8186" s="1" t="s">
        <v>13</v>
      </c>
    </row>
    <row r="8187" spans="1:6" ht="30" customHeight="1" x14ac:dyDescent="0.25">
      <c r="A8187" s="1" t="s">
        <v>16353</v>
      </c>
      <c r="B8187" s="1" t="str">
        <f>"9781597567503"</f>
        <v>9781597567503</v>
      </c>
      <c r="C8187" s="1" t="s">
        <v>15933</v>
      </c>
      <c r="D8187" s="2">
        <v>39873</v>
      </c>
      <c r="E8187" s="1" t="s">
        <v>16354</v>
      </c>
      <c r="F8187" s="1" t="s">
        <v>13</v>
      </c>
    </row>
    <row r="8188" spans="1:6" ht="30" customHeight="1" x14ac:dyDescent="0.25">
      <c r="A8188" s="1" t="s">
        <v>16355</v>
      </c>
      <c r="B8188" s="1" t="str">
        <f>"9781597567404"</f>
        <v>9781597567404</v>
      </c>
      <c r="C8188" s="1" t="s">
        <v>15933</v>
      </c>
      <c r="D8188" s="2">
        <v>42025</v>
      </c>
      <c r="E8188" s="1" t="s">
        <v>16356</v>
      </c>
      <c r="F8188" s="1" t="s">
        <v>13</v>
      </c>
    </row>
    <row r="8189" spans="1:6" ht="30" customHeight="1" x14ac:dyDescent="0.25">
      <c r="A8189" s="1" t="s">
        <v>16357</v>
      </c>
      <c r="B8189" s="1" t="str">
        <f>"9781597567459"</f>
        <v>9781597567459</v>
      </c>
      <c r="C8189" s="1" t="s">
        <v>15933</v>
      </c>
      <c r="D8189" s="2">
        <v>39539</v>
      </c>
      <c r="E8189" s="1" t="s">
        <v>16358</v>
      </c>
      <c r="F8189" s="1" t="s">
        <v>13</v>
      </c>
    </row>
    <row r="8190" spans="1:6" ht="30" customHeight="1" x14ac:dyDescent="0.25">
      <c r="A8190" s="1" t="s">
        <v>16359</v>
      </c>
      <c r="B8190" s="1" t="str">
        <f>"9781597567381"</f>
        <v>9781597567381</v>
      </c>
      <c r="C8190" s="1" t="s">
        <v>15933</v>
      </c>
      <c r="D8190" s="2">
        <v>42025</v>
      </c>
      <c r="E8190" s="1" t="s">
        <v>180</v>
      </c>
      <c r="F8190" s="1" t="s">
        <v>13</v>
      </c>
    </row>
    <row r="8191" spans="1:6" ht="30" customHeight="1" x14ac:dyDescent="0.25">
      <c r="A8191" s="1" t="s">
        <v>16360</v>
      </c>
      <c r="B8191" s="1" t="str">
        <f>"9781597567374"</f>
        <v>9781597567374</v>
      </c>
      <c r="C8191" s="1" t="s">
        <v>15933</v>
      </c>
      <c r="D8191" s="2">
        <v>40634</v>
      </c>
      <c r="E8191" s="1" t="s">
        <v>16361</v>
      </c>
      <c r="F8191" s="1" t="s">
        <v>13</v>
      </c>
    </row>
    <row r="8192" spans="1:6" ht="30" customHeight="1" x14ac:dyDescent="0.25">
      <c r="A8192" s="1" t="s">
        <v>16362</v>
      </c>
      <c r="B8192" s="1" t="str">
        <f>"9781597567411"</f>
        <v>9781597567411</v>
      </c>
      <c r="C8192" s="1" t="s">
        <v>15933</v>
      </c>
      <c r="D8192" s="2">
        <v>40483</v>
      </c>
      <c r="E8192" s="1" t="s">
        <v>16363</v>
      </c>
      <c r="F8192" s="1" t="s">
        <v>13</v>
      </c>
    </row>
    <row r="8193" spans="1:6" ht="30" customHeight="1" x14ac:dyDescent="0.25">
      <c r="A8193" s="1" t="s">
        <v>16364</v>
      </c>
      <c r="B8193" s="1" t="str">
        <f>"9781597567510"</f>
        <v>9781597567510</v>
      </c>
      <c r="C8193" s="1" t="s">
        <v>15933</v>
      </c>
      <c r="D8193" s="2">
        <v>39873</v>
      </c>
      <c r="E8193" s="1" t="s">
        <v>16365</v>
      </c>
      <c r="F8193" s="1" t="s">
        <v>13</v>
      </c>
    </row>
    <row r="8194" spans="1:6" ht="30" customHeight="1" x14ac:dyDescent="0.25">
      <c r="A8194" s="1" t="s">
        <v>16366</v>
      </c>
      <c r="B8194" s="1" t="str">
        <f>"9781593327989"</f>
        <v>9781593327989</v>
      </c>
      <c r="C8194" s="1" t="s">
        <v>11006</v>
      </c>
      <c r="D8194" s="2">
        <v>42078</v>
      </c>
      <c r="E8194" s="1" t="s">
        <v>16367</v>
      </c>
      <c r="F8194" s="1" t="s">
        <v>13</v>
      </c>
    </row>
    <row r="8195" spans="1:6" ht="30" customHeight="1" x14ac:dyDescent="0.25">
      <c r="A8195" s="1" t="s">
        <v>16368</v>
      </c>
      <c r="B8195" s="1" t="str">
        <f>"9783869457499"</f>
        <v>9783869457499</v>
      </c>
      <c r="C8195" s="1" t="s">
        <v>16369</v>
      </c>
      <c r="D8195" s="2">
        <v>42024</v>
      </c>
      <c r="E8195" s="1" t="s">
        <v>16370</v>
      </c>
      <c r="F8195" s="1" t="s">
        <v>13</v>
      </c>
    </row>
    <row r="8196" spans="1:6" ht="30" customHeight="1" x14ac:dyDescent="0.25">
      <c r="A8196" s="1" t="s">
        <v>16371</v>
      </c>
      <c r="B8196" s="1" t="str">
        <f>"9781118763094"</f>
        <v>9781118763094</v>
      </c>
      <c r="C8196" s="1" t="s">
        <v>65</v>
      </c>
      <c r="D8196" s="2">
        <v>41981</v>
      </c>
      <c r="E8196" s="1" t="s">
        <v>16372</v>
      </c>
      <c r="F8196" s="1" t="s">
        <v>13</v>
      </c>
    </row>
    <row r="8197" spans="1:6" ht="30" customHeight="1" x14ac:dyDescent="0.25">
      <c r="A8197" s="1" t="s">
        <v>16373</v>
      </c>
      <c r="B8197" s="1" t="str">
        <f>"9781118412671"</f>
        <v>9781118412671</v>
      </c>
      <c r="C8197" s="1" t="s">
        <v>65</v>
      </c>
      <c r="D8197" s="2">
        <v>41334</v>
      </c>
      <c r="E8197" s="1" t="s">
        <v>16374</v>
      </c>
      <c r="F8197" s="1" t="s">
        <v>13</v>
      </c>
    </row>
    <row r="8198" spans="1:6" ht="30" customHeight="1" x14ac:dyDescent="0.25">
      <c r="A8198" s="1" t="s">
        <v>16375</v>
      </c>
      <c r="B8198" s="1" t="str">
        <f>"9789004288614"</f>
        <v>9789004288614</v>
      </c>
      <c r="C8198" s="1" t="s">
        <v>906</v>
      </c>
      <c r="D8198" s="2">
        <v>42079</v>
      </c>
      <c r="E8198" s="1" t="s">
        <v>16376</v>
      </c>
      <c r="F8198" s="1" t="s">
        <v>13</v>
      </c>
    </row>
    <row r="8199" spans="1:6" ht="30" customHeight="1" x14ac:dyDescent="0.25">
      <c r="A8199" s="1" t="s">
        <v>16377</v>
      </c>
      <c r="B8199" s="1" t="str">
        <f>"9781782411963"</f>
        <v>9781782411963</v>
      </c>
      <c r="C8199" s="1" t="s">
        <v>8994</v>
      </c>
      <c r="D8199" s="2">
        <v>41962</v>
      </c>
      <c r="E8199" s="1" t="s">
        <v>139</v>
      </c>
      <c r="F8199" s="1" t="s">
        <v>13</v>
      </c>
    </row>
    <row r="8200" spans="1:6" ht="30" customHeight="1" x14ac:dyDescent="0.25">
      <c r="A8200" s="1" t="s">
        <v>16378</v>
      </c>
      <c r="B8200" s="1" t="str">
        <f>"9781118661963"</f>
        <v>9781118661963</v>
      </c>
      <c r="C8200" s="1" t="s">
        <v>65</v>
      </c>
      <c r="D8200" s="2">
        <v>42032</v>
      </c>
      <c r="E8200" s="1" t="s">
        <v>16379</v>
      </c>
      <c r="F8200" s="1" t="s">
        <v>13</v>
      </c>
    </row>
    <row r="8201" spans="1:6" ht="30" customHeight="1" x14ac:dyDescent="0.25">
      <c r="A8201" s="1" t="s">
        <v>16380</v>
      </c>
      <c r="B8201" s="1" t="str">
        <f>"9781597567428"</f>
        <v>9781597567428</v>
      </c>
      <c r="C8201" s="1" t="s">
        <v>15933</v>
      </c>
      <c r="D8201" s="2">
        <v>40391</v>
      </c>
      <c r="E8201" s="1" t="s">
        <v>16381</v>
      </c>
      <c r="F8201" s="1" t="s">
        <v>13</v>
      </c>
    </row>
    <row r="8202" spans="1:6" ht="30" customHeight="1" x14ac:dyDescent="0.25">
      <c r="A8202" s="1" t="s">
        <v>16382</v>
      </c>
      <c r="B8202" s="1" t="str">
        <f>"9781597567541"</f>
        <v>9781597567541</v>
      </c>
      <c r="C8202" s="1" t="s">
        <v>15933</v>
      </c>
      <c r="D8202" s="2">
        <v>39873</v>
      </c>
      <c r="E8202" s="1" t="s">
        <v>16383</v>
      </c>
      <c r="F8202" s="1" t="s">
        <v>13</v>
      </c>
    </row>
    <row r="8203" spans="1:6" ht="30" customHeight="1" x14ac:dyDescent="0.25">
      <c r="A8203" s="1" t="s">
        <v>16384</v>
      </c>
      <c r="B8203" s="1" t="str">
        <f>"9781597567558"</f>
        <v>9781597567558</v>
      </c>
      <c r="C8203" s="1" t="s">
        <v>15933</v>
      </c>
      <c r="D8203" s="2">
        <v>39387</v>
      </c>
      <c r="E8203" s="1" t="s">
        <v>16385</v>
      </c>
      <c r="F8203" s="1" t="s">
        <v>13</v>
      </c>
    </row>
    <row r="8204" spans="1:6" ht="30" customHeight="1" x14ac:dyDescent="0.25">
      <c r="A8204" s="1" t="s">
        <v>16386</v>
      </c>
      <c r="B8204" s="1" t="str">
        <f>"9781597567596"</f>
        <v>9781597567596</v>
      </c>
      <c r="C8204" s="1" t="s">
        <v>15933</v>
      </c>
      <c r="D8204" s="2">
        <v>39203</v>
      </c>
      <c r="E8204" s="1" t="s">
        <v>16387</v>
      </c>
      <c r="F8204" s="1" t="s">
        <v>13</v>
      </c>
    </row>
    <row r="8205" spans="1:6" ht="30" customHeight="1" x14ac:dyDescent="0.25">
      <c r="A8205" s="1" t="s">
        <v>16388</v>
      </c>
      <c r="B8205" s="1" t="str">
        <f>"9789221247104"</f>
        <v>9789221247104</v>
      </c>
      <c r="C8205" s="1" t="s">
        <v>8374</v>
      </c>
      <c r="D8205" s="2">
        <v>40544</v>
      </c>
      <c r="E8205" s="1" t="s">
        <v>15408</v>
      </c>
      <c r="F8205" s="1" t="s">
        <v>114</v>
      </c>
    </row>
    <row r="8206" spans="1:6" ht="30" customHeight="1" x14ac:dyDescent="0.25">
      <c r="A8206" s="1" t="s">
        <v>16389</v>
      </c>
      <c r="B8206" s="1" t="str">
        <f>"9781608059881"</f>
        <v>9781608059881</v>
      </c>
      <c r="C8206" s="1" t="s">
        <v>11332</v>
      </c>
      <c r="D8206" s="2">
        <v>42010</v>
      </c>
      <c r="E8206" s="1" t="s">
        <v>16390</v>
      </c>
      <c r="F8206" s="1" t="s">
        <v>13</v>
      </c>
    </row>
    <row r="8207" spans="1:6" ht="30" customHeight="1" x14ac:dyDescent="0.25">
      <c r="A8207" s="1" t="s">
        <v>16391</v>
      </c>
      <c r="B8207" s="1" t="str">
        <f>"9781118522561"</f>
        <v>9781118522561</v>
      </c>
      <c r="C8207" s="1" t="s">
        <v>65</v>
      </c>
      <c r="D8207" s="2">
        <v>42033</v>
      </c>
      <c r="E8207" s="1" t="s">
        <v>16392</v>
      </c>
      <c r="F8207" s="1" t="s">
        <v>126</v>
      </c>
    </row>
    <row r="8208" spans="1:6" ht="30" customHeight="1" x14ac:dyDescent="0.25">
      <c r="A8208" s="1" t="s">
        <v>16393</v>
      </c>
      <c r="B8208" s="1" t="str">
        <f>"9781617052224"</f>
        <v>9781617052224</v>
      </c>
      <c r="C8208" s="1" t="s">
        <v>2342</v>
      </c>
      <c r="D8208" s="2">
        <v>42063</v>
      </c>
      <c r="E8208" s="1" t="s">
        <v>16394</v>
      </c>
      <c r="F8208" s="1" t="s">
        <v>13</v>
      </c>
    </row>
    <row r="8209" spans="1:6" ht="30" customHeight="1" x14ac:dyDescent="0.25">
      <c r="A8209" s="1" t="s">
        <v>16395</v>
      </c>
      <c r="B8209" s="1" t="str">
        <f>"9781119098201"</f>
        <v>9781119098201</v>
      </c>
      <c r="C8209" s="1" t="s">
        <v>15807</v>
      </c>
      <c r="D8209" s="2">
        <v>42033</v>
      </c>
      <c r="E8209" s="1" t="s">
        <v>16396</v>
      </c>
      <c r="F8209" s="1" t="s">
        <v>158</v>
      </c>
    </row>
    <row r="8210" spans="1:6" ht="30" customHeight="1" x14ac:dyDescent="0.25">
      <c r="A8210" s="1" t="s">
        <v>16397</v>
      </c>
      <c r="B8210" s="1" t="str">
        <f>"9781780234557"</f>
        <v>9781780234557</v>
      </c>
      <c r="C8210" s="1" t="s">
        <v>8471</v>
      </c>
      <c r="D8210" s="2">
        <v>42078</v>
      </c>
      <c r="E8210" s="1" t="s">
        <v>16398</v>
      </c>
      <c r="F8210" s="1" t="s">
        <v>16399</v>
      </c>
    </row>
    <row r="8211" spans="1:6" ht="30" customHeight="1" x14ac:dyDescent="0.25">
      <c r="A8211" s="1" t="s">
        <v>16400</v>
      </c>
      <c r="B8211" s="1" t="str">
        <f>"9780520960817"</f>
        <v>9780520960817</v>
      </c>
      <c r="C8211" s="1" t="s">
        <v>818</v>
      </c>
      <c r="D8211" s="2">
        <v>42075</v>
      </c>
      <c r="E8211" s="1" t="s">
        <v>16401</v>
      </c>
      <c r="F8211" s="1" t="s">
        <v>13</v>
      </c>
    </row>
    <row r="8212" spans="1:6" ht="30" customHeight="1" x14ac:dyDescent="0.25">
      <c r="A8212" s="1" t="s">
        <v>16402</v>
      </c>
      <c r="B8212" s="1" t="str">
        <f>"9781118746196"</f>
        <v>9781118746196</v>
      </c>
      <c r="C8212" s="1" t="s">
        <v>65</v>
      </c>
      <c r="D8212" s="2">
        <v>42040</v>
      </c>
      <c r="E8212" s="1" t="s">
        <v>16403</v>
      </c>
      <c r="F8212" s="1" t="s">
        <v>13</v>
      </c>
    </row>
    <row r="8213" spans="1:6" ht="30" customHeight="1" x14ac:dyDescent="0.25">
      <c r="A8213" s="1" t="s">
        <v>16404</v>
      </c>
      <c r="B8213" s="1" t="str">
        <f>"9780803269972"</f>
        <v>9780803269972</v>
      </c>
      <c r="C8213" s="1" t="s">
        <v>16405</v>
      </c>
      <c r="D8213" s="2">
        <v>42095</v>
      </c>
      <c r="E8213" s="1" t="s">
        <v>16406</v>
      </c>
      <c r="F8213" s="1" t="s">
        <v>13</v>
      </c>
    </row>
    <row r="8214" spans="1:6" ht="30" customHeight="1" x14ac:dyDescent="0.25">
      <c r="A8214" s="1" t="s">
        <v>16407</v>
      </c>
      <c r="B8214" s="1" t="str">
        <f>"9781626251212"</f>
        <v>9781626251212</v>
      </c>
      <c r="C8214" s="1" t="s">
        <v>10294</v>
      </c>
      <c r="D8214" s="2">
        <v>42064</v>
      </c>
      <c r="E8214" s="1" t="s">
        <v>16408</v>
      </c>
      <c r="F8214" s="1" t="s">
        <v>13</v>
      </c>
    </row>
    <row r="8215" spans="1:6" ht="30" customHeight="1" x14ac:dyDescent="0.25">
      <c r="A8215" s="1" t="s">
        <v>16409</v>
      </c>
      <c r="B8215" s="1" t="str">
        <f>"9781782412168"</f>
        <v>9781782412168</v>
      </c>
      <c r="C8215" s="1" t="s">
        <v>68</v>
      </c>
      <c r="D8215" s="2">
        <v>42063</v>
      </c>
      <c r="E8215" s="1" t="s">
        <v>16410</v>
      </c>
      <c r="F8215" s="1" t="s">
        <v>13</v>
      </c>
    </row>
    <row r="8216" spans="1:6" ht="30" customHeight="1" x14ac:dyDescent="0.25">
      <c r="A8216" s="1" t="s">
        <v>16411</v>
      </c>
      <c r="B8216" s="1" t="str">
        <f>"9781464803895"</f>
        <v>9781464803895</v>
      </c>
      <c r="C8216" s="1" t="s">
        <v>6702</v>
      </c>
      <c r="D8216" s="2">
        <v>42005</v>
      </c>
      <c r="E8216" s="1" t="s">
        <v>16412</v>
      </c>
      <c r="F8216" s="1" t="s">
        <v>148</v>
      </c>
    </row>
    <row r="8217" spans="1:6" ht="30" customHeight="1" x14ac:dyDescent="0.25">
      <c r="A8217" s="1" t="s">
        <v>16413</v>
      </c>
      <c r="B8217" s="1" t="str">
        <f>"9780199364619"</f>
        <v>9780199364619</v>
      </c>
      <c r="C8217" s="1" t="s">
        <v>1120</v>
      </c>
      <c r="D8217" s="2">
        <v>42079</v>
      </c>
      <c r="E8217" s="1" t="s">
        <v>16414</v>
      </c>
      <c r="F8217" s="1" t="s">
        <v>205</v>
      </c>
    </row>
    <row r="8218" spans="1:6" ht="30" customHeight="1" x14ac:dyDescent="0.25">
      <c r="A8218" s="1" t="s">
        <v>16415</v>
      </c>
      <c r="B8218" s="1" t="str">
        <f>"9781118892558"</f>
        <v>9781118892558</v>
      </c>
      <c r="C8218" s="1" t="s">
        <v>65</v>
      </c>
      <c r="D8218" s="2">
        <v>42074</v>
      </c>
      <c r="E8218" s="1" t="s">
        <v>3967</v>
      </c>
      <c r="F8218" s="1" t="s">
        <v>268</v>
      </c>
    </row>
    <row r="8219" spans="1:6" ht="30" customHeight="1" x14ac:dyDescent="0.25">
      <c r="A8219" s="1" t="s">
        <v>16416</v>
      </c>
      <c r="B8219" s="1" t="str">
        <f>"9781118957905"</f>
        <v>9781118957905</v>
      </c>
      <c r="C8219" s="1" t="s">
        <v>65</v>
      </c>
      <c r="D8219" s="2">
        <v>42067</v>
      </c>
      <c r="E8219" s="1" t="s">
        <v>16417</v>
      </c>
      <c r="F8219" s="1" t="s">
        <v>13</v>
      </c>
    </row>
    <row r="8220" spans="1:6" ht="30" customHeight="1" x14ac:dyDescent="0.25">
      <c r="A8220" s="1" t="s">
        <v>16418</v>
      </c>
      <c r="B8220" s="1" t="str">
        <f>"9783527680665"</f>
        <v>9783527680665</v>
      </c>
      <c r="C8220" s="1" t="s">
        <v>65</v>
      </c>
      <c r="D8220" s="2">
        <v>42058</v>
      </c>
      <c r="E8220" s="1" t="s">
        <v>16419</v>
      </c>
      <c r="F8220" s="1" t="s">
        <v>13</v>
      </c>
    </row>
    <row r="8221" spans="1:6" ht="30" customHeight="1" x14ac:dyDescent="0.25">
      <c r="A8221" s="1" t="s">
        <v>16420</v>
      </c>
      <c r="B8221" s="1" t="str">
        <f>"9783869457673"</f>
        <v>9783869457673</v>
      </c>
      <c r="C8221" s="1" t="s">
        <v>16369</v>
      </c>
      <c r="D8221" s="2">
        <v>42055</v>
      </c>
      <c r="E8221" s="1" t="s">
        <v>16421</v>
      </c>
      <c r="F8221" s="1" t="s">
        <v>13</v>
      </c>
    </row>
    <row r="8222" spans="1:6" ht="30" customHeight="1" x14ac:dyDescent="0.25">
      <c r="A8222" s="1" t="s">
        <v>16422</v>
      </c>
      <c r="B8222" s="1" t="str">
        <f>"9781597567725"</f>
        <v>9781597567725</v>
      </c>
      <c r="C8222" s="1" t="s">
        <v>15933</v>
      </c>
      <c r="D8222" s="2">
        <v>39448</v>
      </c>
      <c r="E8222" s="1" t="s">
        <v>16423</v>
      </c>
      <c r="F8222" s="1" t="s">
        <v>13</v>
      </c>
    </row>
    <row r="8223" spans="1:6" ht="30" customHeight="1" x14ac:dyDescent="0.25">
      <c r="A8223" s="1" t="s">
        <v>16424</v>
      </c>
      <c r="B8223" s="1" t="str">
        <f>"9781597567657"</f>
        <v>9781597567657</v>
      </c>
      <c r="C8223" s="1" t="s">
        <v>15933</v>
      </c>
      <c r="D8223" s="2">
        <v>40224</v>
      </c>
      <c r="E8223" s="1" t="s">
        <v>16425</v>
      </c>
      <c r="F8223" s="1" t="s">
        <v>13</v>
      </c>
    </row>
    <row r="8224" spans="1:6" ht="30" customHeight="1" x14ac:dyDescent="0.25">
      <c r="A8224" s="1" t="s">
        <v>16426</v>
      </c>
      <c r="B8224" s="1" t="str">
        <f>"9781597567640"</f>
        <v>9781597567640</v>
      </c>
      <c r="C8224" s="1" t="s">
        <v>15933</v>
      </c>
      <c r="D8224" s="2">
        <v>40224</v>
      </c>
      <c r="E8224" s="1" t="s">
        <v>16427</v>
      </c>
      <c r="F8224" s="1" t="s">
        <v>13</v>
      </c>
    </row>
    <row r="8225" spans="1:6" ht="30" customHeight="1" x14ac:dyDescent="0.25">
      <c r="A8225" s="1" t="s">
        <v>16428</v>
      </c>
      <c r="B8225" s="1" t="str">
        <f>"9781597567589"</f>
        <v>9781597567589</v>
      </c>
      <c r="C8225" s="1" t="s">
        <v>15933</v>
      </c>
      <c r="D8225" s="2">
        <v>39387</v>
      </c>
      <c r="E8225" s="1" t="s">
        <v>16429</v>
      </c>
      <c r="F8225" s="1" t="s">
        <v>13</v>
      </c>
    </row>
    <row r="8226" spans="1:6" ht="30" customHeight="1" x14ac:dyDescent="0.25">
      <c r="A8226" s="1" t="s">
        <v>1760</v>
      </c>
      <c r="B8226" s="1" t="str">
        <f>"9781597567701"</f>
        <v>9781597567701</v>
      </c>
      <c r="C8226" s="1" t="s">
        <v>15933</v>
      </c>
      <c r="D8226" s="2">
        <v>40118</v>
      </c>
      <c r="E8226" s="1" t="s">
        <v>16430</v>
      </c>
      <c r="F8226" s="1" t="s">
        <v>13</v>
      </c>
    </row>
    <row r="8227" spans="1:6" ht="30" customHeight="1" x14ac:dyDescent="0.25">
      <c r="A8227" s="1" t="s">
        <v>16431</v>
      </c>
      <c r="B8227" s="1" t="str">
        <f>"9781597567763"</f>
        <v>9781597567763</v>
      </c>
      <c r="C8227" s="1" t="s">
        <v>15933</v>
      </c>
      <c r="D8227" s="2">
        <v>39904</v>
      </c>
      <c r="E8227" s="1" t="s">
        <v>16432</v>
      </c>
      <c r="F8227" s="1" t="s">
        <v>13</v>
      </c>
    </row>
    <row r="8228" spans="1:6" ht="30" customHeight="1" x14ac:dyDescent="0.25">
      <c r="A8228" s="1" t="s">
        <v>16433</v>
      </c>
      <c r="B8228" s="1" t="str">
        <f>"9781907830952"</f>
        <v>9781907830952</v>
      </c>
      <c r="C8228" s="1" t="s">
        <v>11198</v>
      </c>
      <c r="D8228" s="2">
        <v>42064</v>
      </c>
      <c r="E8228" s="1" t="s">
        <v>16434</v>
      </c>
      <c r="F8228" s="1" t="s">
        <v>13</v>
      </c>
    </row>
    <row r="8229" spans="1:6" ht="30" customHeight="1" x14ac:dyDescent="0.25">
      <c r="A8229" s="1" t="s">
        <v>4338</v>
      </c>
      <c r="B8229" s="1" t="str">
        <f>"9781617051791"</f>
        <v>9781617051791</v>
      </c>
      <c r="C8229" s="1" t="s">
        <v>2342</v>
      </c>
      <c r="D8229" s="2">
        <v>41984</v>
      </c>
      <c r="E8229" s="1" t="s">
        <v>16435</v>
      </c>
      <c r="F8229" s="1" t="s">
        <v>13</v>
      </c>
    </row>
    <row r="8230" spans="1:6" ht="30" customHeight="1" x14ac:dyDescent="0.25">
      <c r="A8230" s="1" t="s">
        <v>16436</v>
      </c>
      <c r="B8230" s="1" t="str">
        <f>"9781617052231"</f>
        <v>9781617052231</v>
      </c>
      <c r="C8230" s="1" t="s">
        <v>2342</v>
      </c>
      <c r="D8230" s="2">
        <v>42047</v>
      </c>
      <c r="E8230" s="1" t="s">
        <v>16437</v>
      </c>
      <c r="F8230" s="1" t="s">
        <v>13</v>
      </c>
    </row>
    <row r="8231" spans="1:6" ht="30" customHeight="1" x14ac:dyDescent="0.25">
      <c r="A8231" s="1" t="s">
        <v>16438</v>
      </c>
      <c r="B8231" s="1" t="str">
        <f>"9781597567824"</f>
        <v>9781597567824</v>
      </c>
      <c r="C8231" s="1" t="s">
        <v>15933</v>
      </c>
      <c r="D8231" s="2">
        <v>39539</v>
      </c>
      <c r="E8231" s="1" t="s">
        <v>16439</v>
      </c>
      <c r="F8231" s="1" t="s">
        <v>13</v>
      </c>
    </row>
    <row r="8232" spans="1:6" ht="30" customHeight="1" x14ac:dyDescent="0.25">
      <c r="A8232" s="1" t="s">
        <v>16440</v>
      </c>
      <c r="B8232" s="1" t="str">
        <f>"9781597566797"</f>
        <v>9781597566797</v>
      </c>
      <c r="C8232" s="1" t="s">
        <v>15933</v>
      </c>
      <c r="D8232" s="2">
        <v>41263</v>
      </c>
      <c r="E8232" s="1" t="s">
        <v>16441</v>
      </c>
      <c r="F8232" s="1" t="s">
        <v>9483</v>
      </c>
    </row>
    <row r="8233" spans="1:6" ht="30" customHeight="1" x14ac:dyDescent="0.25">
      <c r="A8233" s="1" t="s">
        <v>16442</v>
      </c>
      <c r="B8233" s="1" t="str">
        <f>"9780824741983"</f>
        <v>9780824741983</v>
      </c>
      <c r="C8233" s="1" t="s">
        <v>172</v>
      </c>
      <c r="D8233" s="2">
        <v>36683</v>
      </c>
      <c r="E8233" s="1" t="s">
        <v>16443</v>
      </c>
      <c r="F8233" s="1" t="s">
        <v>268</v>
      </c>
    </row>
    <row r="8234" spans="1:6" ht="30" customHeight="1" x14ac:dyDescent="0.25">
      <c r="A8234" s="1" t="s">
        <v>16444</v>
      </c>
      <c r="B8234" s="1" t="str">
        <f>"9780231539197"</f>
        <v>9780231539197</v>
      </c>
      <c r="C8234" s="1" t="s">
        <v>11751</v>
      </c>
      <c r="D8234" s="2">
        <v>42005</v>
      </c>
      <c r="E8234" s="1" t="s">
        <v>11143</v>
      </c>
      <c r="F8234" s="1" t="s">
        <v>13</v>
      </c>
    </row>
    <row r="8235" spans="1:6" ht="30" customHeight="1" x14ac:dyDescent="0.25">
      <c r="A8235" s="1" t="s">
        <v>16445</v>
      </c>
      <c r="B8235" s="1" t="str">
        <f>"9780231536790"</f>
        <v>9780231536790</v>
      </c>
      <c r="C8235" s="1" t="s">
        <v>11751</v>
      </c>
      <c r="D8235" s="2">
        <v>42185</v>
      </c>
      <c r="E8235" s="1" t="s">
        <v>16446</v>
      </c>
      <c r="F8235" s="1" t="s">
        <v>599</v>
      </c>
    </row>
    <row r="8236" spans="1:6" ht="30" customHeight="1" x14ac:dyDescent="0.25">
      <c r="A8236" s="1" t="s">
        <v>16447</v>
      </c>
      <c r="B8236" s="1" t="str">
        <f>"9780231539029"</f>
        <v>9780231539029</v>
      </c>
      <c r="C8236" s="1" t="s">
        <v>11751</v>
      </c>
      <c r="D8236" s="2">
        <v>42136</v>
      </c>
      <c r="E8236" s="1" t="s">
        <v>16448</v>
      </c>
      <c r="F8236" s="1" t="s">
        <v>13</v>
      </c>
    </row>
    <row r="8237" spans="1:6" ht="30" customHeight="1" x14ac:dyDescent="0.25">
      <c r="A8237" s="1" t="s">
        <v>16449</v>
      </c>
      <c r="B8237" s="1" t="str">
        <f>"9781581109078"</f>
        <v>9781581109078</v>
      </c>
      <c r="C8237" s="1" t="s">
        <v>9624</v>
      </c>
      <c r="D8237" s="2">
        <v>42005</v>
      </c>
      <c r="E8237" s="1" t="s">
        <v>16450</v>
      </c>
      <c r="F8237" s="1" t="s">
        <v>13</v>
      </c>
    </row>
    <row r="8238" spans="1:6" ht="30" customHeight="1" x14ac:dyDescent="0.25">
      <c r="A8238" s="1" t="s">
        <v>16451</v>
      </c>
      <c r="B8238" s="1" t="str">
        <f>"9781452943848"</f>
        <v>9781452943848</v>
      </c>
      <c r="C8238" s="1" t="s">
        <v>3458</v>
      </c>
      <c r="D8238" s="2">
        <v>42050</v>
      </c>
      <c r="E8238" s="1" t="s">
        <v>16452</v>
      </c>
      <c r="F8238" s="1" t="s">
        <v>95</v>
      </c>
    </row>
    <row r="8239" spans="1:6" ht="30" customHeight="1" x14ac:dyDescent="0.25">
      <c r="A8239" s="1" t="s">
        <v>16453</v>
      </c>
      <c r="B8239" s="1" t="str">
        <f>"9781784412784"</f>
        <v>9781784412784</v>
      </c>
      <c r="C8239" s="1" t="s">
        <v>971</v>
      </c>
      <c r="D8239" s="2">
        <v>42062</v>
      </c>
      <c r="E8239" s="1" t="s">
        <v>16454</v>
      </c>
      <c r="F8239" s="1" t="s">
        <v>95</v>
      </c>
    </row>
    <row r="8240" spans="1:6" ht="30" customHeight="1" x14ac:dyDescent="0.25">
      <c r="A8240" s="1" t="s">
        <v>16455</v>
      </c>
      <c r="B8240" s="1" t="str">
        <f>"9781118473368"</f>
        <v>9781118473368</v>
      </c>
      <c r="C8240" s="1" t="s">
        <v>65</v>
      </c>
      <c r="D8240" s="2">
        <v>41831</v>
      </c>
      <c r="E8240" s="1" t="s">
        <v>16456</v>
      </c>
      <c r="F8240" s="1" t="s">
        <v>13</v>
      </c>
    </row>
    <row r="8241" spans="1:6" ht="30" customHeight="1" x14ac:dyDescent="0.25">
      <c r="A8241" s="1" t="s">
        <v>16457</v>
      </c>
      <c r="B8241" s="1" t="str">
        <f>"9781581108927"</f>
        <v>9781581108927</v>
      </c>
      <c r="C8241" s="1" t="s">
        <v>9624</v>
      </c>
      <c r="D8241" s="2">
        <v>42004</v>
      </c>
      <c r="E8241" s="1" t="s">
        <v>16458</v>
      </c>
      <c r="F8241" s="1" t="s">
        <v>13</v>
      </c>
    </row>
    <row r="8242" spans="1:6" ht="30" customHeight="1" x14ac:dyDescent="0.25">
      <c r="A8242" s="1" t="s">
        <v>16459</v>
      </c>
      <c r="B8242" s="1" t="str">
        <f>"9781581109177"</f>
        <v>9781581109177</v>
      </c>
      <c r="C8242" s="1" t="s">
        <v>9624</v>
      </c>
      <c r="D8242" s="2">
        <v>42029</v>
      </c>
      <c r="E8242" s="1" t="s">
        <v>16460</v>
      </c>
      <c r="F8242" s="1" t="s">
        <v>13</v>
      </c>
    </row>
    <row r="8243" spans="1:6" ht="30" customHeight="1" x14ac:dyDescent="0.25">
      <c r="A8243" s="1" t="s">
        <v>16461</v>
      </c>
      <c r="B8243" s="1" t="str">
        <f>"9783527673667"</f>
        <v>9783527673667</v>
      </c>
      <c r="C8243" s="1" t="s">
        <v>65</v>
      </c>
      <c r="D8243" s="2">
        <v>42116</v>
      </c>
      <c r="E8243" s="1" t="s">
        <v>16462</v>
      </c>
      <c r="F8243" s="1" t="s">
        <v>268</v>
      </c>
    </row>
    <row r="8244" spans="1:6" ht="30" customHeight="1" x14ac:dyDescent="0.25">
      <c r="A8244" s="1" t="s">
        <v>16463</v>
      </c>
      <c r="B8244" s="1" t="str">
        <f>"9781782412564"</f>
        <v>9781782412564</v>
      </c>
      <c r="C8244" s="1" t="s">
        <v>68</v>
      </c>
      <c r="D8244" s="2">
        <v>42079</v>
      </c>
      <c r="E8244" s="1" t="s">
        <v>16464</v>
      </c>
      <c r="F8244" s="1" t="s">
        <v>13</v>
      </c>
    </row>
    <row r="8245" spans="1:6" ht="30" customHeight="1" x14ac:dyDescent="0.25">
      <c r="A8245" s="1" t="s">
        <v>16465</v>
      </c>
      <c r="B8245" s="1" t="str">
        <f>"9781782413059"</f>
        <v>9781782413059</v>
      </c>
      <c r="C8245" s="1" t="s">
        <v>68</v>
      </c>
      <c r="D8245" s="2">
        <v>42068</v>
      </c>
      <c r="E8245" s="1" t="s">
        <v>16466</v>
      </c>
      <c r="F8245" s="1" t="s">
        <v>291</v>
      </c>
    </row>
    <row r="8246" spans="1:6" ht="30" customHeight="1" x14ac:dyDescent="0.25">
      <c r="A8246" s="1" t="s">
        <v>16467</v>
      </c>
      <c r="B8246" s="1" t="str">
        <f>"9781782413097"</f>
        <v>9781782413097</v>
      </c>
      <c r="C8246" s="1" t="s">
        <v>68</v>
      </c>
      <c r="D8246" s="2">
        <v>42068</v>
      </c>
      <c r="E8246" s="1" t="s">
        <v>16468</v>
      </c>
      <c r="F8246" s="1" t="s">
        <v>13</v>
      </c>
    </row>
    <row r="8247" spans="1:6" ht="30" customHeight="1" x14ac:dyDescent="0.25">
      <c r="A8247" s="1" t="s">
        <v>16469</v>
      </c>
      <c r="B8247" s="1" t="str">
        <f>"9781782413400"</f>
        <v>9781782413400</v>
      </c>
      <c r="C8247" s="1" t="s">
        <v>8994</v>
      </c>
      <c r="D8247" s="2">
        <v>42076</v>
      </c>
      <c r="E8247" s="1" t="s">
        <v>16470</v>
      </c>
      <c r="F8247" s="1" t="s">
        <v>291</v>
      </c>
    </row>
    <row r="8248" spans="1:6" ht="30" customHeight="1" x14ac:dyDescent="0.25">
      <c r="A8248" s="1" t="s">
        <v>16471</v>
      </c>
      <c r="B8248" s="1" t="str">
        <f>"9781782413431"</f>
        <v>9781782413431</v>
      </c>
      <c r="C8248" s="1" t="s">
        <v>68</v>
      </c>
      <c r="D8248" s="2">
        <v>42080</v>
      </c>
      <c r="E8248" s="1" t="s">
        <v>16472</v>
      </c>
      <c r="F8248" s="1" t="s">
        <v>13</v>
      </c>
    </row>
    <row r="8249" spans="1:6" ht="30" customHeight="1" x14ac:dyDescent="0.25">
      <c r="A8249" s="1" t="s">
        <v>16473</v>
      </c>
      <c r="B8249" s="1" t="str">
        <f>"9781782413486"</f>
        <v>9781782413486</v>
      </c>
      <c r="C8249" s="1" t="s">
        <v>8994</v>
      </c>
      <c r="D8249" s="2">
        <v>42068</v>
      </c>
      <c r="E8249" s="1" t="s">
        <v>16474</v>
      </c>
      <c r="F8249" s="1" t="s">
        <v>13</v>
      </c>
    </row>
    <row r="8250" spans="1:6" ht="30" customHeight="1" x14ac:dyDescent="0.25">
      <c r="A8250" s="1" t="s">
        <v>16475</v>
      </c>
      <c r="B8250" s="1" t="str">
        <f>"9780231536370"</f>
        <v>9780231536370</v>
      </c>
      <c r="C8250" s="1" t="s">
        <v>11751</v>
      </c>
      <c r="D8250" s="2">
        <v>42192</v>
      </c>
      <c r="E8250" s="1" t="s">
        <v>16476</v>
      </c>
      <c r="F8250" s="1" t="s">
        <v>104</v>
      </c>
    </row>
    <row r="8251" spans="1:6" ht="30" customHeight="1" x14ac:dyDescent="0.25">
      <c r="A8251" s="1" t="s">
        <v>16477</v>
      </c>
      <c r="B8251" s="1" t="str">
        <f>"9781118307847"</f>
        <v>9781118307847</v>
      </c>
      <c r="C8251" s="1" t="s">
        <v>65</v>
      </c>
      <c r="D8251" s="2">
        <v>42061</v>
      </c>
      <c r="E8251" s="1" t="s">
        <v>16478</v>
      </c>
      <c r="F8251" s="1" t="s">
        <v>13</v>
      </c>
    </row>
    <row r="8252" spans="1:6" ht="30" customHeight="1" x14ac:dyDescent="0.25">
      <c r="A8252" s="1" t="s">
        <v>16479</v>
      </c>
      <c r="B8252" s="1" t="str">
        <f>"9780520933231"</f>
        <v>9780520933231</v>
      </c>
      <c r="C8252" s="1" t="s">
        <v>818</v>
      </c>
      <c r="D8252" s="2">
        <v>39591</v>
      </c>
      <c r="E8252" s="1" t="s">
        <v>16480</v>
      </c>
      <c r="F8252" s="1" t="s">
        <v>30</v>
      </c>
    </row>
    <row r="8253" spans="1:6" ht="30" customHeight="1" x14ac:dyDescent="0.25">
      <c r="A8253" s="1" t="s">
        <v>16481</v>
      </c>
      <c r="B8253" s="1" t="str">
        <f>"9781118951002"</f>
        <v>9781118951002</v>
      </c>
      <c r="C8253" s="1" t="s">
        <v>65</v>
      </c>
      <c r="D8253" s="2">
        <v>42065</v>
      </c>
      <c r="E8253" s="1" t="s">
        <v>16482</v>
      </c>
      <c r="F8253" s="1" t="s">
        <v>13</v>
      </c>
    </row>
    <row r="8254" spans="1:6" ht="30" customHeight="1" x14ac:dyDescent="0.25">
      <c r="A8254" s="1" t="s">
        <v>16483</v>
      </c>
      <c r="B8254" s="1" t="str">
        <f>"9781118844823"</f>
        <v>9781118844823</v>
      </c>
      <c r="C8254" s="1" t="s">
        <v>65</v>
      </c>
      <c r="D8254" s="2">
        <v>42066</v>
      </c>
      <c r="E8254" s="1" t="s">
        <v>16484</v>
      </c>
      <c r="F8254" s="1" t="s">
        <v>13</v>
      </c>
    </row>
    <row r="8255" spans="1:6" ht="30" customHeight="1" x14ac:dyDescent="0.25">
      <c r="A8255" s="1" t="s">
        <v>16485</v>
      </c>
      <c r="B8255" s="1" t="str">
        <f>"9781118976180"</f>
        <v>9781118976180</v>
      </c>
      <c r="C8255" s="1" t="s">
        <v>65</v>
      </c>
      <c r="D8255" s="2">
        <v>42066</v>
      </c>
      <c r="E8255" s="1" t="s">
        <v>16486</v>
      </c>
      <c r="F8255" s="1" t="s">
        <v>13</v>
      </c>
    </row>
    <row r="8256" spans="1:6" ht="30" customHeight="1" x14ac:dyDescent="0.25">
      <c r="A8256" s="1" t="s">
        <v>16487</v>
      </c>
      <c r="B8256" s="1" t="str">
        <f>"9781782411956"</f>
        <v>9781782411956</v>
      </c>
      <c r="C8256" s="1" t="s">
        <v>8994</v>
      </c>
      <c r="D8256" s="2">
        <v>42082</v>
      </c>
      <c r="E8256" s="1" t="s">
        <v>16488</v>
      </c>
      <c r="F8256" s="1" t="s">
        <v>13</v>
      </c>
    </row>
    <row r="8257" spans="1:6" ht="30" customHeight="1" x14ac:dyDescent="0.25">
      <c r="A8257" s="1" t="s">
        <v>16489</v>
      </c>
      <c r="B8257" s="1" t="str">
        <f>"9781782412694"</f>
        <v>9781782412694</v>
      </c>
      <c r="C8257" s="1" t="s">
        <v>68</v>
      </c>
      <c r="D8257" s="2">
        <v>42082</v>
      </c>
      <c r="E8257" s="1" t="s">
        <v>16490</v>
      </c>
      <c r="F8257" s="1" t="s">
        <v>13</v>
      </c>
    </row>
    <row r="8258" spans="1:6" ht="30" customHeight="1" x14ac:dyDescent="0.25">
      <c r="A8258" s="1" t="s">
        <v>16491</v>
      </c>
      <c r="B8258" s="1" t="str">
        <f>"9781782413479"</f>
        <v>9781782413479</v>
      </c>
      <c r="C8258" s="1" t="s">
        <v>8994</v>
      </c>
      <c r="D8258" s="2">
        <v>42082</v>
      </c>
      <c r="E8258" s="1" t="s">
        <v>16492</v>
      </c>
      <c r="F8258" s="1" t="s">
        <v>13</v>
      </c>
    </row>
    <row r="8259" spans="1:6" ht="30" customHeight="1" x14ac:dyDescent="0.25">
      <c r="A8259" s="1" t="s">
        <v>16493</v>
      </c>
      <c r="B8259" s="1" t="str">
        <f>"9781782413554"</f>
        <v>9781782413554</v>
      </c>
      <c r="C8259" s="1" t="s">
        <v>68</v>
      </c>
      <c r="D8259" s="2">
        <v>42082</v>
      </c>
      <c r="E8259" s="1" t="s">
        <v>16494</v>
      </c>
      <c r="F8259" s="1" t="s">
        <v>13</v>
      </c>
    </row>
    <row r="8260" spans="1:6" ht="30" customHeight="1" x14ac:dyDescent="0.25">
      <c r="A8260" s="1" t="s">
        <v>16495</v>
      </c>
      <c r="B8260" s="1" t="str">
        <f>"9781782413967"</f>
        <v>9781782413967</v>
      </c>
      <c r="C8260" s="1" t="s">
        <v>8994</v>
      </c>
      <c r="D8260" s="2">
        <v>42080</v>
      </c>
      <c r="E8260" s="1" t="s">
        <v>14414</v>
      </c>
      <c r="F8260" s="1" t="s">
        <v>104</v>
      </c>
    </row>
    <row r="8261" spans="1:6" ht="30" customHeight="1" x14ac:dyDescent="0.25">
      <c r="A8261" s="1" t="s">
        <v>16496</v>
      </c>
      <c r="B8261" s="1" t="str">
        <f>"9781118843178"</f>
        <v>9781118843178</v>
      </c>
      <c r="C8261" s="1" t="s">
        <v>65</v>
      </c>
      <c r="D8261" s="2">
        <v>42067</v>
      </c>
      <c r="E8261" s="1" t="s">
        <v>16497</v>
      </c>
      <c r="F8261" s="1" t="s">
        <v>294</v>
      </c>
    </row>
    <row r="8262" spans="1:6" ht="30" customHeight="1" x14ac:dyDescent="0.25">
      <c r="A8262" s="1" t="s">
        <v>16498</v>
      </c>
      <c r="B8262" s="1" t="str">
        <f>"9781119087267"</f>
        <v>9781119087267</v>
      </c>
      <c r="C8262" s="1" t="s">
        <v>65</v>
      </c>
      <c r="D8262" s="2">
        <v>42065</v>
      </c>
      <c r="E8262" s="1" t="s">
        <v>16499</v>
      </c>
      <c r="F8262" s="1" t="s">
        <v>13</v>
      </c>
    </row>
    <row r="8263" spans="1:6" ht="30" customHeight="1" x14ac:dyDescent="0.25">
      <c r="A8263" s="1" t="s">
        <v>16500</v>
      </c>
      <c r="B8263" s="1" t="str">
        <f>"9783905758474"</f>
        <v>9783905758474</v>
      </c>
      <c r="C8263" s="1" t="s">
        <v>16501</v>
      </c>
      <c r="D8263" s="2">
        <v>41761</v>
      </c>
      <c r="E8263" s="1" t="s">
        <v>16502</v>
      </c>
      <c r="F8263" s="1" t="s">
        <v>13</v>
      </c>
    </row>
    <row r="8264" spans="1:6" ht="30" customHeight="1" x14ac:dyDescent="0.25">
      <c r="A8264" s="1" t="s">
        <v>16503</v>
      </c>
      <c r="B8264" s="1" t="str">
        <f>"9781118777503"</f>
        <v>9781118777503</v>
      </c>
      <c r="C8264" s="1" t="s">
        <v>65</v>
      </c>
      <c r="D8264" s="2">
        <v>42212</v>
      </c>
      <c r="E8264" s="1" t="s">
        <v>16504</v>
      </c>
      <c r="F8264" s="1" t="s">
        <v>13</v>
      </c>
    </row>
    <row r="8265" spans="1:6" ht="30" customHeight="1" x14ac:dyDescent="0.25">
      <c r="A8265" s="1" t="s">
        <v>16505</v>
      </c>
      <c r="B8265" s="1" t="str">
        <f>"9781118900857"</f>
        <v>9781118900857</v>
      </c>
      <c r="C8265" s="1" t="s">
        <v>11</v>
      </c>
      <c r="D8265" s="2">
        <v>42061</v>
      </c>
      <c r="E8265" s="1" t="s">
        <v>16506</v>
      </c>
      <c r="F8265" s="1" t="s">
        <v>13</v>
      </c>
    </row>
    <row r="8266" spans="1:6" ht="30" customHeight="1" x14ac:dyDescent="0.25">
      <c r="A8266" s="1" t="s">
        <v>16507</v>
      </c>
      <c r="B8266" s="1" t="str">
        <f>"9781118925188"</f>
        <v>9781118925188</v>
      </c>
      <c r="C8266" s="1" t="s">
        <v>65</v>
      </c>
      <c r="D8266" s="2">
        <v>42222</v>
      </c>
      <c r="E8266" s="1" t="s">
        <v>16508</v>
      </c>
      <c r="F8266" s="1" t="s">
        <v>13</v>
      </c>
    </row>
    <row r="8267" spans="1:6" ht="30" customHeight="1" x14ac:dyDescent="0.25">
      <c r="A8267" s="1" t="s">
        <v>7485</v>
      </c>
      <c r="B8267" s="1" t="str">
        <f>"9781118983614"</f>
        <v>9781118983614</v>
      </c>
      <c r="C8267" s="1" t="s">
        <v>65</v>
      </c>
      <c r="D8267" s="2">
        <v>42076</v>
      </c>
      <c r="E8267" s="1" t="s">
        <v>16509</v>
      </c>
      <c r="F8267" s="1" t="s">
        <v>13</v>
      </c>
    </row>
    <row r="8268" spans="1:6" ht="30" customHeight="1" x14ac:dyDescent="0.25">
      <c r="A8268" s="1" t="s">
        <v>16510</v>
      </c>
      <c r="B8268" s="1" t="str">
        <f>"9781119098362"</f>
        <v>9781119098362</v>
      </c>
      <c r="C8268" s="1" t="s">
        <v>15807</v>
      </c>
      <c r="D8268" s="2">
        <v>42068</v>
      </c>
      <c r="E8268" s="1" t="s">
        <v>16511</v>
      </c>
      <c r="F8268" s="1" t="s">
        <v>33</v>
      </c>
    </row>
    <row r="8269" spans="1:6" ht="30" customHeight="1" x14ac:dyDescent="0.25">
      <c r="A8269" s="1" t="s">
        <v>16512</v>
      </c>
      <c r="B8269" s="1" t="str">
        <f>"9780804040631"</f>
        <v>9780804040631</v>
      </c>
      <c r="C8269" s="1" t="s">
        <v>15419</v>
      </c>
      <c r="D8269" s="2">
        <v>42064</v>
      </c>
      <c r="E8269" s="1" t="s">
        <v>16513</v>
      </c>
      <c r="F8269" s="1" t="s">
        <v>599</v>
      </c>
    </row>
    <row r="8270" spans="1:6" ht="30" customHeight="1" x14ac:dyDescent="0.25">
      <c r="A8270" s="1" t="s">
        <v>16514</v>
      </c>
      <c r="B8270" s="1" t="str">
        <f>"9781452945187"</f>
        <v>9781452945187</v>
      </c>
      <c r="C8270" s="1" t="s">
        <v>3458</v>
      </c>
      <c r="D8270" s="2">
        <v>42095</v>
      </c>
      <c r="E8270" s="1" t="s">
        <v>16515</v>
      </c>
      <c r="F8270" s="1" t="s">
        <v>33</v>
      </c>
    </row>
    <row r="8271" spans="1:6" ht="30" customHeight="1" x14ac:dyDescent="0.25">
      <c r="A8271" s="1" t="s">
        <v>11269</v>
      </c>
      <c r="B8271" s="1" t="str">
        <f>"9781907830334"</f>
        <v>9781907830334</v>
      </c>
      <c r="C8271" s="1" t="s">
        <v>11198</v>
      </c>
      <c r="D8271" s="2">
        <v>42095</v>
      </c>
      <c r="E8271" s="1" t="s">
        <v>11258</v>
      </c>
      <c r="F8271" s="1" t="s">
        <v>13</v>
      </c>
    </row>
    <row r="8272" spans="1:6" ht="30" customHeight="1" x14ac:dyDescent="0.25">
      <c r="A8272" s="1" t="s">
        <v>16516</v>
      </c>
      <c r="B8272" s="1" t="str">
        <f>"9788024627489"</f>
        <v>9788024627489</v>
      </c>
      <c r="C8272" s="1" t="s">
        <v>16517</v>
      </c>
      <c r="D8272" s="2">
        <v>41395</v>
      </c>
      <c r="E8272" s="1" t="s">
        <v>16518</v>
      </c>
      <c r="F8272" s="1" t="s">
        <v>176</v>
      </c>
    </row>
    <row r="8273" spans="1:6" ht="30" customHeight="1" x14ac:dyDescent="0.25">
      <c r="A8273" s="1" t="s">
        <v>16519</v>
      </c>
      <c r="B8273" s="1" t="str">
        <f>"9788024628233"</f>
        <v>9788024628233</v>
      </c>
      <c r="C8273" s="1" t="s">
        <v>16517</v>
      </c>
      <c r="D8273" s="2">
        <v>41944</v>
      </c>
      <c r="E8273" s="1" t="s">
        <v>16520</v>
      </c>
      <c r="F8273" s="1" t="s">
        <v>13</v>
      </c>
    </row>
    <row r="8274" spans="1:6" ht="30" customHeight="1" x14ac:dyDescent="0.25">
      <c r="A8274" s="1" t="s">
        <v>16521</v>
      </c>
      <c r="B8274" s="1" t="str">
        <f>"9788024626642"</f>
        <v>9788024626642</v>
      </c>
      <c r="C8274" s="1" t="s">
        <v>16517</v>
      </c>
      <c r="D8274" s="2">
        <v>41548</v>
      </c>
      <c r="E8274" s="1" t="s">
        <v>16522</v>
      </c>
      <c r="F8274" s="1" t="s">
        <v>13</v>
      </c>
    </row>
    <row r="8275" spans="1:6" ht="30" customHeight="1" x14ac:dyDescent="0.25">
      <c r="A8275" s="1" t="s">
        <v>16523</v>
      </c>
      <c r="B8275" s="1" t="str">
        <f>"9789966040282"</f>
        <v>9789966040282</v>
      </c>
      <c r="C8275" s="1" t="s">
        <v>13453</v>
      </c>
      <c r="D8275" s="2">
        <v>41088</v>
      </c>
      <c r="E8275" s="1" t="s">
        <v>16524</v>
      </c>
      <c r="F8275" s="1" t="s">
        <v>30</v>
      </c>
    </row>
    <row r="8276" spans="1:6" ht="30" customHeight="1" x14ac:dyDescent="0.25">
      <c r="A8276" s="1" t="s">
        <v>16525</v>
      </c>
      <c r="B8276" s="1" t="str">
        <f>"9781118469743"</f>
        <v>9781118469743</v>
      </c>
      <c r="C8276" s="1" t="s">
        <v>65</v>
      </c>
      <c r="D8276" s="2">
        <v>42080</v>
      </c>
      <c r="E8276" s="1" t="s">
        <v>4511</v>
      </c>
      <c r="F8276" s="1" t="s">
        <v>13</v>
      </c>
    </row>
    <row r="8277" spans="1:6" ht="30" customHeight="1" x14ac:dyDescent="0.25">
      <c r="A8277" s="1" t="s">
        <v>16526</v>
      </c>
      <c r="B8277" s="1" t="str">
        <f>"9781118609149"</f>
        <v>9781118609149</v>
      </c>
      <c r="C8277" s="1" t="s">
        <v>65</v>
      </c>
      <c r="D8277" s="2">
        <v>42061</v>
      </c>
      <c r="E8277" s="1" t="s">
        <v>16527</v>
      </c>
      <c r="F8277" s="1" t="s">
        <v>13</v>
      </c>
    </row>
    <row r="8278" spans="1:6" ht="30" customHeight="1" x14ac:dyDescent="0.25">
      <c r="A8278" s="1" t="s">
        <v>16528</v>
      </c>
      <c r="B8278" s="1" t="str">
        <f>"9781118703397"</f>
        <v>9781118703397</v>
      </c>
      <c r="C8278" s="1" t="s">
        <v>65</v>
      </c>
      <c r="D8278" s="2">
        <v>42163</v>
      </c>
      <c r="E8278" s="1" t="s">
        <v>16529</v>
      </c>
      <c r="F8278" s="1" t="s">
        <v>13</v>
      </c>
    </row>
    <row r="8279" spans="1:6" ht="30" customHeight="1" x14ac:dyDescent="0.25">
      <c r="A8279" s="1" t="s">
        <v>16530</v>
      </c>
      <c r="B8279" s="1" t="str">
        <f>"9781782413073"</f>
        <v>9781782413073</v>
      </c>
      <c r="C8279" s="1" t="s">
        <v>8994</v>
      </c>
      <c r="D8279" s="2">
        <v>42108</v>
      </c>
      <c r="E8279" s="1" t="s">
        <v>10123</v>
      </c>
      <c r="F8279" s="1" t="s">
        <v>13</v>
      </c>
    </row>
    <row r="8280" spans="1:6" ht="30" customHeight="1" x14ac:dyDescent="0.25">
      <c r="A8280" s="1" t="s">
        <v>16531</v>
      </c>
      <c r="B8280" s="1" t="str">
        <f>"9780520960763"</f>
        <v>9780520960763</v>
      </c>
      <c r="C8280" s="1" t="s">
        <v>818</v>
      </c>
      <c r="D8280" s="2">
        <v>42223</v>
      </c>
      <c r="E8280" s="1" t="s">
        <v>16532</v>
      </c>
      <c r="F8280" s="1" t="s">
        <v>13</v>
      </c>
    </row>
    <row r="8281" spans="1:6" ht="30" customHeight="1" x14ac:dyDescent="0.25">
      <c r="A8281" s="1" t="s">
        <v>16533</v>
      </c>
      <c r="B8281" s="1" t="str">
        <f>"9781119001249"</f>
        <v>9781119001249</v>
      </c>
      <c r="C8281" s="1" t="s">
        <v>65</v>
      </c>
      <c r="D8281" s="2">
        <v>42086</v>
      </c>
      <c r="E8281" s="1" t="s">
        <v>10914</v>
      </c>
      <c r="F8281" s="1" t="s">
        <v>13</v>
      </c>
    </row>
    <row r="8282" spans="1:6" ht="30" customHeight="1" x14ac:dyDescent="0.25">
      <c r="A8282" s="1" t="s">
        <v>16534</v>
      </c>
      <c r="B8282" s="1" t="str">
        <f>"9789027268747"</f>
        <v>9789027268747</v>
      </c>
      <c r="C8282" s="1" t="s">
        <v>8479</v>
      </c>
      <c r="D8282" s="2">
        <v>42109</v>
      </c>
      <c r="E8282" s="1" t="s">
        <v>16535</v>
      </c>
      <c r="F8282" s="1" t="s">
        <v>13</v>
      </c>
    </row>
    <row r="8283" spans="1:6" ht="30" customHeight="1" x14ac:dyDescent="0.25">
      <c r="A8283" s="1" t="s">
        <v>16536</v>
      </c>
      <c r="B8283" s="1" t="str">
        <f>"9781782413196"</f>
        <v>9781782413196</v>
      </c>
      <c r="C8283" s="1" t="s">
        <v>8994</v>
      </c>
      <c r="D8283" s="2">
        <v>42123</v>
      </c>
      <c r="E8283" s="1" t="s">
        <v>16537</v>
      </c>
      <c r="F8283" s="1" t="s">
        <v>291</v>
      </c>
    </row>
    <row r="8284" spans="1:6" ht="30" customHeight="1" x14ac:dyDescent="0.25">
      <c r="A8284" s="1" t="s">
        <v>16538</v>
      </c>
      <c r="B8284" s="1" t="str">
        <f>"9781610755252"</f>
        <v>9781610755252</v>
      </c>
      <c r="C8284" s="1" t="s">
        <v>16539</v>
      </c>
      <c r="D8284" s="2">
        <v>41760</v>
      </c>
      <c r="E8284" s="1" t="s">
        <v>16540</v>
      </c>
      <c r="F8284" s="1" t="s">
        <v>1693</v>
      </c>
    </row>
    <row r="8285" spans="1:6" ht="30" customHeight="1" x14ac:dyDescent="0.25">
      <c r="A8285" s="1" t="s">
        <v>11144</v>
      </c>
      <c r="B8285" s="1" t="str">
        <f>"9781118754573"</f>
        <v>9781118754573</v>
      </c>
      <c r="C8285" s="1" t="s">
        <v>65</v>
      </c>
      <c r="D8285" s="2">
        <v>42095</v>
      </c>
      <c r="E8285" s="1" t="s">
        <v>11145</v>
      </c>
      <c r="F8285" s="1" t="s">
        <v>13</v>
      </c>
    </row>
    <row r="8286" spans="1:6" ht="30" customHeight="1" x14ac:dyDescent="0.25">
      <c r="A8286" s="1" t="s">
        <v>16541</v>
      </c>
      <c r="B8286" s="1" t="str">
        <f>"9781118914731"</f>
        <v>9781118914731</v>
      </c>
      <c r="C8286" s="1" t="s">
        <v>65</v>
      </c>
      <c r="D8286" s="2">
        <v>42095</v>
      </c>
      <c r="E8286" s="1" t="s">
        <v>16542</v>
      </c>
      <c r="F8286" s="1" t="s">
        <v>13</v>
      </c>
    </row>
    <row r="8287" spans="1:6" ht="30" customHeight="1" x14ac:dyDescent="0.25">
      <c r="A8287" s="1" t="s">
        <v>16543</v>
      </c>
      <c r="B8287" s="1" t="str">
        <f>"9781119025818"</f>
        <v>9781119025818</v>
      </c>
      <c r="C8287" s="1" t="s">
        <v>65</v>
      </c>
      <c r="D8287" s="2">
        <v>42160</v>
      </c>
      <c r="E8287" s="1" t="s">
        <v>16544</v>
      </c>
      <c r="F8287" s="1" t="s">
        <v>13</v>
      </c>
    </row>
    <row r="8288" spans="1:6" ht="30" customHeight="1" x14ac:dyDescent="0.25">
      <c r="A8288" s="1" t="s">
        <v>16545</v>
      </c>
      <c r="B8288" s="1" t="str">
        <f>"9780203301654"</f>
        <v>9780203301654</v>
      </c>
      <c r="C8288" s="1" t="s">
        <v>99</v>
      </c>
      <c r="D8288" s="2">
        <v>36927</v>
      </c>
      <c r="E8288" s="1" t="s">
        <v>16546</v>
      </c>
      <c r="F8288" s="1" t="s">
        <v>114</v>
      </c>
    </row>
    <row r="8289" spans="1:6" ht="30" customHeight="1" x14ac:dyDescent="0.25">
      <c r="A8289" s="1" t="s">
        <v>16547</v>
      </c>
      <c r="B8289" s="1" t="str">
        <f>"9783869455860"</f>
        <v>9783869455860</v>
      </c>
      <c r="C8289" s="1" t="s">
        <v>16369</v>
      </c>
      <c r="D8289" s="2">
        <v>41294</v>
      </c>
      <c r="E8289" s="1" t="s">
        <v>16548</v>
      </c>
      <c r="F8289" s="1" t="s">
        <v>8971</v>
      </c>
    </row>
    <row r="8290" spans="1:6" ht="30" customHeight="1" x14ac:dyDescent="0.25">
      <c r="A8290" s="1" t="s">
        <v>16549</v>
      </c>
      <c r="B8290" s="1" t="str">
        <f>"9781782413820"</f>
        <v>9781782413820</v>
      </c>
      <c r="C8290" s="1" t="s">
        <v>68</v>
      </c>
      <c r="D8290" s="2">
        <v>42118</v>
      </c>
      <c r="E8290" s="1" t="s">
        <v>9151</v>
      </c>
      <c r="F8290" s="1" t="s">
        <v>13</v>
      </c>
    </row>
    <row r="8291" spans="1:6" ht="30" customHeight="1" x14ac:dyDescent="0.25">
      <c r="A8291" s="1" t="s">
        <v>16550</v>
      </c>
      <c r="B8291" s="1" t="str">
        <f>"9781452942056"</f>
        <v>9781452942056</v>
      </c>
      <c r="C8291" s="1" t="s">
        <v>3458</v>
      </c>
      <c r="D8291" s="2">
        <v>42090</v>
      </c>
      <c r="E8291" s="1" t="s">
        <v>16551</v>
      </c>
      <c r="F8291" s="1" t="s">
        <v>304</v>
      </c>
    </row>
    <row r="8292" spans="1:6" ht="30" customHeight="1" x14ac:dyDescent="0.25">
      <c r="A8292" s="1" t="s">
        <v>16552</v>
      </c>
      <c r="B8292" s="1" t="str">
        <f>"9781597567961"</f>
        <v>9781597567961</v>
      </c>
      <c r="C8292" s="1" t="s">
        <v>15933</v>
      </c>
      <c r="D8292" s="2">
        <v>41698</v>
      </c>
      <c r="E8292" s="1" t="s">
        <v>16048</v>
      </c>
      <c r="F8292" s="1" t="s">
        <v>176</v>
      </c>
    </row>
    <row r="8293" spans="1:6" ht="30" customHeight="1" x14ac:dyDescent="0.25">
      <c r="A8293" s="1" t="s">
        <v>16553</v>
      </c>
      <c r="B8293" s="1" t="str">
        <f>"9781597568098"</f>
        <v>9781597568098</v>
      </c>
      <c r="C8293" s="1" t="s">
        <v>15933</v>
      </c>
      <c r="D8293" s="2">
        <v>40695</v>
      </c>
      <c r="E8293" s="1" t="s">
        <v>16554</v>
      </c>
      <c r="F8293" s="1" t="s">
        <v>13</v>
      </c>
    </row>
    <row r="8294" spans="1:6" ht="30" customHeight="1" x14ac:dyDescent="0.25">
      <c r="A8294" s="1" t="s">
        <v>16555</v>
      </c>
      <c r="B8294" s="1" t="str">
        <f>"9781597568166"</f>
        <v>9781597568166</v>
      </c>
      <c r="C8294" s="1" t="s">
        <v>15933</v>
      </c>
      <c r="D8294" s="2">
        <v>39873</v>
      </c>
      <c r="E8294" s="1" t="s">
        <v>16556</v>
      </c>
      <c r="F8294" s="1" t="s">
        <v>13</v>
      </c>
    </row>
    <row r="8295" spans="1:6" ht="30" customHeight="1" x14ac:dyDescent="0.25">
      <c r="A8295" s="1" t="s">
        <v>16557</v>
      </c>
      <c r="B8295" s="1" t="str">
        <f>"9789027268655"</f>
        <v>9789027268655</v>
      </c>
      <c r="C8295" s="1" t="s">
        <v>8479</v>
      </c>
      <c r="D8295" s="2">
        <v>42109</v>
      </c>
      <c r="E8295" s="1" t="s">
        <v>16558</v>
      </c>
      <c r="F8295" s="1" t="s">
        <v>13</v>
      </c>
    </row>
    <row r="8296" spans="1:6" ht="30" customHeight="1" x14ac:dyDescent="0.25">
      <c r="A8296" s="1" t="s">
        <v>16559</v>
      </c>
      <c r="B8296" s="1" t="str">
        <f>"9781597568210"</f>
        <v>9781597568210</v>
      </c>
      <c r="C8296" s="1" t="s">
        <v>15933</v>
      </c>
      <c r="D8296" s="2">
        <v>40617</v>
      </c>
      <c r="E8296" s="1" t="s">
        <v>16560</v>
      </c>
      <c r="F8296" s="1" t="s">
        <v>13</v>
      </c>
    </row>
    <row r="8297" spans="1:6" ht="30" customHeight="1" x14ac:dyDescent="0.25">
      <c r="A8297" s="1" t="s">
        <v>16353</v>
      </c>
      <c r="B8297" s="1" t="str">
        <f>"9781597568425"</f>
        <v>9781597568425</v>
      </c>
      <c r="C8297" s="1" t="s">
        <v>15933</v>
      </c>
      <c r="D8297" s="2">
        <v>39753</v>
      </c>
      <c r="E8297" s="1" t="s">
        <v>16561</v>
      </c>
      <c r="F8297" s="1" t="s">
        <v>13</v>
      </c>
    </row>
    <row r="8298" spans="1:6" ht="30" customHeight="1" x14ac:dyDescent="0.25">
      <c r="A8298" s="1" t="s">
        <v>16562</v>
      </c>
      <c r="B8298" s="1" t="str">
        <f>"9780199718047"</f>
        <v>9780199718047</v>
      </c>
      <c r="C8298" s="1" t="s">
        <v>1120</v>
      </c>
      <c r="D8298" s="2">
        <v>40278</v>
      </c>
      <c r="E8298" s="1" t="s">
        <v>16563</v>
      </c>
      <c r="F8298" s="1" t="s">
        <v>13</v>
      </c>
    </row>
    <row r="8299" spans="1:6" ht="30" customHeight="1" x14ac:dyDescent="0.25">
      <c r="A8299" s="1" t="s">
        <v>16564</v>
      </c>
      <c r="B8299" s="1" t="str">
        <f>"9780199718351"</f>
        <v>9780199718351</v>
      </c>
      <c r="C8299" s="1" t="s">
        <v>1123</v>
      </c>
      <c r="D8299" s="2">
        <v>39756</v>
      </c>
      <c r="E8299" s="1" t="s">
        <v>16565</v>
      </c>
      <c r="F8299" s="1" t="s">
        <v>13</v>
      </c>
    </row>
    <row r="8300" spans="1:6" ht="30" customHeight="1" x14ac:dyDescent="0.25">
      <c r="A8300" s="1" t="s">
        <v>16566</v>
      </c>
      <c r="B8300" s="1" t="str">
        <f>"9780199719990"</f>
        <v>9780199719990</v>
      </c>
      <c r="C8300" s="1" t="s">
        <v>1123</v>
      </c>
      <c r="D8300" s="2">
        <v>39549</v>
      </c>
      <c r="E8300" s="1" t="s">
        <v>1811</v>
      </c>
      <c r="F8300" s="1" t="s">
        <v>87</v>
      </c>
    </row>
    <row r="8301" spans="1:6" ht="30" customHeight="1" x14ac:dyDescent="0.25">
      <c r="A8301" s="1" t="s">
        <v>16567</v>
      </c>
      <c r="B8301" s="1" t="str">
        <f>"9780199748594"</f>
        <v>9780199748594</v>
      </c>
      <c r="C8301" s="1" t="s">
        <v>1123</v>
      </c>
      <c r="D8301" s="2">
        <v>40115</v>
      </c>
      <c r="E8301" s="1" t="s">
        <v>16568</v>
      </c>
      <c r="F8301" s="1" t="s">
        <v>21</v>
      </c>
    </row>
    <row r="8302" spans="1:6" ht="30" customHeight="1" x14ac:dyDescent="0.25">
      <c r="A8302" s="1" t="s">
        <v>8991</v>
      </c>
      <c r="B8302" s="1" t="str">
        <f>"9780199709755"</f>
        <v>9780199709755</v>
      </c>
      <c r="C8302" s="1" t="s">
        <v>1120</v>
      </c>
      <c r="D8302" s="2">
        <v>39979</v>
      </c>
      <c r="E8302" s="1" t="s">
        <v>16569</v>
      </c>
      <c r="F8302" s="1" t="s">
        <v>13</v>
      </c>
    </row>
    <row r="8303" spans="1:6" ht="30" customHeight="1" x14ac:dyDescent="0.25">
      <c r="A8303" s="1" t="s">
        <v>16570</v>
      </c>
      <c r="B8303" s="1" t="str">
        <f>"9780199711642"</f>
        <v>9780199711642</v>
      </c>
      <c r="C8303" s="1" t="s">
        <v>1120</v>
      </c>
      <c r="D8303" s="2">
        <v>40084</v>
      </c>
      <c r="E8303" s="1" t="s">
        <v>16571</v>
      </c>
      <c r="F8303" s="1" t="s">
        <v>95</v>
      </c>
    </row>
    <row r="8304" spans="1:6" ht="30" customHeight="1" x14ac:dyDescent="0.25">
      <c r="A8304" s="1" t="s">
        <v>16572</v>
      </c>
      <c r="B8304" s="1" t="str">
        <f>"9780199713158"</f>
        <v>9780199713158</v>
      </c>
      <c r="C8304" s="1" t="s">
        <v>1123</v>
      </c>
      <c r="D8304" s="2">
        <v>39510</v>
      </c>
      <c r="E8304" s="1" t="s">
        <v>16573</v>
      </c>
      <c r="F8304" s="1" t="s">
        <v>21</v>
      </c>
    </row>
    <row r="8305" spans="1:6" ht="30" customHeight="1" x14ac:dyDescent="0.25">
      <c r="A8305" s="1" t="s">
        <v>16574</v>
      </c>
      <c r="B8305" s="1" t="str">
        <f>""</f>
        <v/>
      </c>
      <c r="C8305" s="1" t="s">
        <v>1117</v>
      </c>
      <c r="D8305" s="2">
        <v>39752</v>
      </c>
      <c r="E8305" s="1" t="s">
        <v>5346</v>
      </c>
      <c r="F8305" s="1" t="s">
        <v>13</v>
      </c>
    </row>
    <row r="8306" spans="1:6" ht="30" customHeight="1" x14ac:dyDescent="0.25">
      <c r="A8306" s="1" t="s">
        <v>16575</v>
      </c>
      <c r="B8306" s="1" t="str">
        <f>"9780199759668"</f>
        <v>9780199759668</v>
      </c>
      <c r="C8306" s="1" t="s">
        <v>1123</v>
      </c>
      <c r="D8306" s="2">
        <v>36818</v>
      </c>
      <c r="E8306" s="1" t="s">
        <v>16576</v>
      </c>
      <c r="F8306" s="1" t="s">
        <v>205</v>
      </c>
    </row>
    <row r="8307" spans="1:6" ht="30" customHeight="1" x14ac:dyDescent="0.25">
      <c r="A8307" s="1" t="s">
        <v>16577</v>
      </c>
      <c r="B8307" s="1" t="str">
        <f>"9780199703289"</f>
        <v>9780199703289</v>
      </c>
      <c r="C8307" s="1" t="s">
        <v>1123</v>
      </c>
      <c r="D8307" s="2">
        <v>39869</v>
      </c>
      <c r="E8307" s="1" t="s">
        <v>16578</v>
      </c>
      <c r="F8307" s="1" t="s">
        <v>16579</v>
      </c>
    </row>
    <row r="8308" spans="1:6" ht="30" customHeight="1" x14ac:dyDescent="0.25">
      <c r="A8308" s="1" t="s">
        <v>16580</v>
      </c>
      <c r="B8308" s="1" t="str">
        <f>"9780199748396"</f>
        <v>9780199748396</v>
      </c>
      <c r="C8308" s="1" t="s">
        <v>1123</v>
      </c>
      <c r="D8308" s="2">
        <v>39416</v>
      </c>
      <c r="E8308" s="1" t="s">
        <v>16414</v>
      </c>
      <c r="F8308" s="1" t="s">
        <v>13</v>
      </c>
    </row>
    <row r="8309" spans="1:6" ht="30" customHeight="1" x14ac:dyDescent="0.25">
      <c r="A8309" s="1" t="s">
        <v>16581</v>
      </c>
      <c r="B8309" s="1" t="str">
        <f>"9780199722891"</f>
        <v>9780199722891</v>
      </c>
      <c r="C8309" s="1" t="s">
        <v>1123</v>
      </c>
      <c r="D8309" s="2">
        <v>39902</v>
      </c>
      <c r="E8309" s="1" t="s">
        <v>16582</v>
      </c>
      <c r="F8309" s="1" t="s">
        <v>30</v>
      </c>
    </row>
    <row r="8310" spans="1:6" ht="30" customHeight="1" x14ac:dyDescent="0.25">
      <c r="A8310" s="1" t="s">
        <v>16583</v>
      </c>
      <c r="B8310" s="1" t="str">
        <f>"9780199721917"</f>
        <v>9780199721917</v>
      </c>
      <c r="C8310" s="1" t="s">
        <v>1123</v>
      </c>
      <c r="D8310" s="2">
        <v>39562</v>
      </c>
      <c r="E8310" s="1" t="s">
        <v>16584</v>
      </c>
      <c r="F8310" s="1" t="s">
        <v>148</v>
      </c>
    </row>
    <row r="8311" spans="1:6" ht="30" customHeight="1" x14ac:dyDescent="0.25">
      <c r="A8311" s="1" t="s">
        <v>16585</v>
      </c>
      <c r="B8311" s="1" t="str">
        <f>"9780199748266"</f>
        <v>9780199748266</v>
      </c>
      <c r="C8311" s="1" t="s">
        <v>1120</v>
      </c>
      <c r="D8311" s="2">
        <v>39335</v>
      </c>
      <c r="E8311" s="1" t="s">
        <v>16586</v>
      </c>
      <c r="F8311" s="1" t="s">
        <v>13</v>
      </c>
    </row>
    <row r="8312" spans="1:6" ht="30" customHeight="1" x14ac:dyDescent="0.25">
      <c r="A8312" s="1" t="s">
        <v>16587</v>
      </c>
      <c r="B8312" s="1" t="str">
        <f>"9780199748013"</f>
        <v>9780199748013</v>
      </c>
      <c r="C8312" s="1" t="s">
        <v>1123</v>
      </c>
      <c r="D8312" s="2">
        <v>38064</v>
      </c>
      <c r="E8312" s="1" t="s">
        <v>16588</v>
      </c>
      <c r="F8312" s="1" t="s">
        <v>21</v>
      </c>
    </row>
    <row r="8313" spans="1:6" ht="30" customHeight="1" x14ac:dyDescent="0.25">
      <c r="A8313" s="1" t="s">
        <v>16589</v>
      </c>
      <c r="B8313" s="1" t="str">
        <f>"9780199719167"</f>
        <v>9780199719167</v>
      </c>
      <c r="C8313" s="1" t="s">
        <v>1123</v>
      </c>
      <c r="D8313" s="2">
        <v>39177</v>
      </c>
      <c r="E8313" s="1" t="s">
        <v>16590</v>
      </c>
      <c r="F8313" s="1" t="s">
        <v>3696</v>
      </c>
    </row>
    <row r="8314" spans="1:6" ht="30" customHeight="1" x14ac:dyDescent="0.25">
      <c r="A8314" s="1" t="s">
        <v>16591</v>
      </c>
      <c r="B8314" s="1" t="str">
        <f>"9780195348866"</f>
        <v>9780195348866</v>
      </c>
      <c r="C8314" s="1" t="s">
        <v>1117</v>
      </c>
      <c r="D8314" s="2">
        <v>37376</v>
      </c>
      <c r="E8314" s="1" t="s">
        <v>16592</v>
      </c>
      <c r="F8314" s="1" t="s">
        <v>95</v>
      </c>
    </row>
    <row r="8315" spans="1:6" ht="30" customHeight="1" x14ac:dyDescent="0.25">
      <c r="A8315" s="1" t="s">
        <v>16593</v>
      </c>
      <c r="B8315" s="1" t="str">
        <f>"9780199748242"</f>
        <v>9780199748242</v>
      </c>
      <c r="C8315" s="1" t="s">
        <v>1123</v>
      </c>
      <c r="D8315" s="2">
        <v>39107</v>
      </c>
      <c r="E8315" s="1" t="s">
        <v>16594</v>
      </c>
      <c r="F8315" s="1" t="s">
        <v>13</v>
      </c>
    </row>
    <row r="8316" spans="1:6" ht="30" customHeight="1" x14ac:dyDescent="0.25">
      <c r="A8316" s="1" t="s">
        <v>16595</v>
      </c>
      <c r="B8316" s="1" t="str">
        <f>"9780861969104"</f>
        <v>9780861969104</v>
      </c>
      <c r="C8316" s="1" t="s">
        <v>19</v>
      </c>
      <c r="D8316" s="2">
        <v>41788</v>
      </c>
      <c r="E8316" s="1" t="s">
        <v>16596</v>
      </c>
      <c r="F8316" s="1" t="s">
        <v>3843</v>
      </c>
    </row>
    <row r="8317" spans="1:6" ht="30" customHeight="1" x14ac:dyDescent="0.25">
      <c r="A8317" s="1" t="s">
        <v>16597</v>
      </c>
      <c r="B8317" s="1" t="str">
        <f>"9781118469569"</f>
        <v>9781118469569</v>
      </c>
      <c r="C8317" s="1" t="s">
        <v>65</v>
      </c>
      <c r="D8317" s="2">
        <v>42102</v>
      </c>
      <c r="E8317" s="1" t="s">
        <v>16598</v>
      </c>
      <c r="F8317" s="1" t="s">
        <v>87</v>
      </c>
    </row>
    <row r="8318" spans="1:6" ht="30" customHeight="1" x14ac:dyDescent="0.25">
      <c r="A8318" s="1" t="s">
        <v>16599</v>
      </c>
      <c r="B8318" s="1" t="str">
        <f>"9781119114543"</f>
        <v>9781119114543</v>
      </c>
      <c r="C8318" s="1" t="s">
        <v>65</v>
      </c>
      <c r="D8318" s="2">
        <v>42240</v>
      </c>
      <c r="E8318" s="1" t="s">
        <v>16600</v>
      </c>
      <c r="F8318" s="1" t="s">
        <v>13</v>
      </c>
    </row>
    <row r="8319" spans="1:6" ht="30" customHeight="1" x14ac:dyDescent="0.25">
      <c r="A8319" s="1" t="s">
        <v>16601</v>
      </c>
      <c r="B8319" s="1" t="str">
        <f>"9781118887301"</f>
        <v>9781118887301</v>
      </c>
      <c r="C8319" s="1" t="s">
        <v>65</v>
      </c>
      <c r="D8319" s="2">
        <v>42103</v>
      </c>
      <c r="E8319" s="1" t="s">
        <v>16602</v>
      </c>
      <c r="F8319" s="1" t="s">
        <v>13</v>
      </c>
    </row>
    <row r="8320" spans="1:6" ht="30" customHeight="1" x14ac:dyDescent="0.25">
      <c r="A8320" s="1" t="s">
        <v>16603</v>
      </c>
      <c r="B8320" s="1" t="str">
        <f>"9781581108552"</f>
        <v>9781581108552</v>
      </c>
      <c r="C8320" s="1" t="s">
        <v>9624</v>
      </c>
      <c r="D8320" s="2">
        <v>42005</v>
      </c>
      <c r="E8320" s="1" t="s">
        <v>16604</v>
      </c>
      <c r="F8320" s="1" t="s">
        <v>13</v>
      </c>
    </row>
    <row r="8321" spans="1:6" ht="30" customHeight="1" x14ac:dyDescent="0.25">
      <c r="A8321" s="1" t="s">
        <v>16605</v>
      </c>
      <c r="B8321" s="1" t="str">
        <f>"9781581109245"</f>
        <v>9781581109245</v>
      </c>
      <c r="C8321" s="1" t="s">
        <v>9624</v>
      </c>
      <c r="D8321" s="2">
        <v>42102</v>
      </c>
      <c r="E8321" s="1" t="s">
        <v>9624</v>
      </c>
      <c r="F8321" s="1" t="s">
        <v>13</v>
      </c>
    </row>
    <row r="8322" spans="1:6" ht="30" customHeight="1" x14ac:dyDescent="0.25">
      <c r="A8322" s="1" t="s">
        <v>16606</v>
      </c>
      <c r="B8322" s="1" t="str">
        <f>"9781784418663"</f>
        <v>9781784418663</v>
      </c>
      <c r="C8322" s="1" t="s">
        <v>971</v>
      </c>
      <c r="D8322" s="2">
        <v>42012</v>
      </c>
      <c r="E8322" s="1" t="s">
        <v>16607</v>
      </c>
      <c r="F8322" s="1" t="s">
        <v>30</v>
      </c>
    </row>
    <row r="8323" spans="1:6" ht="30" customHeight="1" x14ac:dyDescent="0.25">
      <c r="A8323" s="1" t="s">
        <v>16608</v>
      </c>
      <c r="B8323" s="1" t="str">
        <f>"9781784419202"</f>
        <v>9781784419202</v>
      </c>
      <c r="C8323" s="1" t="s">
        <v>971</v>
      </c>
      <c r="D8323" s="2">
        <v>42038</v>
      </c>
      <c r="E8323" s="1" t="s">
        <v>16609</v>
      </c>
      <c r="F8323" s="1" t="s">
        <v>30</v>
      </c>
    </row>
    <row r="8324" spans="1:6" ht="30" customHeight="1" x14ac:dyDescent="0.25">
      <c r="A8324" s="1" t="s">
        <v>16610</v>
      </c>
      <c r="B8324" s="1" t="str">
        <f>"9781784419387"</f>
        <v>9781784419387</v>
      </c>
      <c r="C8324" s="1" t="s">
        <v>971</v>
      </c>
      <c r="D8324" s="2">
        <v>42044</v>
      </c>
      <c r="E8324" s="1" t="s">
        <v>16611</v>
      </c>
      <c r="F8324" s="1" t="s">
        <v>9</v>
      </c>
    </row>
    <row r="8325" spans="1:6" ht="30" customHeight="1" x14ac:dyDescent="0.25">
      <c r="A8325" s="1" t="s">
        <v>16612</v>
      </c>
      <c r="B8325" s="1" t="str">
        <f>"9781496305763"</f>
        <v>9781496305763</v>
      </c>
      <c r="C8325" s="1" t="s">
        <v>16613</v>
      </c>
      <c r="D8325" s="2">
        <v>41738</v>
      </c>
      <c r="E8325" s="1" t="s">
        <v>16614</v>
      </c>
      <c r="F8325" s="1" t="s">
        <v>13</v>
      </c>
    </row>
    <row r="8326" spans="1:6" ht="30" customHeight="1" x14ac:dyDescent="0.25">
      <c r="A8326" s="1" t="s">
        <v>16615</v>
      </c>
      <c r="B8326" s="1" t="str">
        <f>"9781496305930"</f>
        <v>9781496305930</v>
      </c>
      <c r="C8326" s="1" t="s">
        <v>16613</v>
      </c>
      <c r="D8326" s="2">
        <v>41780</v>
      </c>
      <c r="E8326" s="1" t="s">
        <v>16616</v>
      </c>
      <c r="F8326" s="1" t="s">
        <v>13</v>
      </c>
    </row>
    <row r="8327" spans="1:6" ht="30" customHeight="1" x14ac:dyDescent="0.25">
      <c r="A8327" s="1" t="s">
        <v>16617</v>
      </c>
      <c r="B8327" s="1" t="str">
        <f>"9781496305787"</f>
        <v>9781496305787</v>
      </c>
      <c r="C8327" s="1" t="s">
        <v>16613</v>
      </c>
      <c r="D8327" s="2">
        <v>41703</v>
      </c>
      <c r="E8327" s="1" t="s">
        <v>16618</v>
      </c>
      <c r="F8327" s="1" t="s">
        <v>13</v>
      </c>
    </row>
    <row r="8328" spans="1:6" ht="30" customHeight="1" x14ac:dyDescent="0.25">
      <c r="A8328" s="1" t="s">
        <v>16619</v>
      </c>
      <c r="B8328" s="1" t="str">
        <f>"9781496305893"</f>
        <v>9781496305893</v>
      </c>
      <c r="C8328" s="1" t="s">
        <v>16613</v>
      </c>
      <c r="D8328" s="2">
        <v>41731</v>
      </c>
      <c r="E8328" s="1" t="s">
        <v>16620</v>
      </c>
      <c r="F8328" s="1" t="s">
        <v>95</v>
      </c>
    </row>
    <row r="8329" spans="1:6" ht="30" customHeight="1" x14ac:dyDescent="0.25">
      <c r="A8329" s="1" t="s">
        <v>16621</v>
      </c>
      <c r="B8329" s="1" t="str">
        <f>"9781496305756"</f>
        <v>9781496305756</v>
      </c>
      <c r="C8329" s="1" t="s">
        <v>16613</v>
      </c>
      <c r="D8329" s="2">
        <v>41767</v>
      </c>
      <c r="E8329" s="1" t="s">
        <v>16622</v>
      </c>
      <c r="F8329" s="1" t="s">
        <v>13</v>
      </c>
    </row>
    <row r="8330" spans="1:6" ht="30" customHeight="1" x14ac:dyDescent="0.25">
      <c r="A8330" s="1" t="s">
        <v>16623</v>
      </c>
      <c r="B8330" s="1" t="str">
        <f>"9781496305800"</f>
        <v>9781496305800</v>
      </c>
      <c r="C8330" s="1" t="s">
        <v>16613</v>
      </c>
      <c r="D8330" s="2">
        <v>41743</v>
      </c>
      <c r="E8330" s="1" t="s">
        <v>16624</v>
      </c>
      <c r="F8330" s="1" t="s">
        <v>13</v>
      </c>
    </row>
    <row r="8331" spans="1:6" ht="30" customHeight="1" x14ac:dyDescent="0.25">
      <c r="A8331" s="1" t="s">
        <v>16625</v>
      </c>
      <c r="B8331" s="1" t="str">
        <f>"9781469874050"</f>
        <v>9781469874050</v>
      </c>
      <c r="C8331" s="1" t="s">
        <v>16613</v>
      </c>
      <c r="D8331" s="2">
        <v>41535</v>
      </c>
      <c r="E8331" s="1" t="s">
        <v>16626</v>
      </c>
      <c r="F8331" s="1" t="s">
        <v>13</v>
      </c>
    </row>
    <row r="8332" spans="1:6" ht="30" customHeight="1" x14ac:dyDescent="0.25">
      <c r="A8332" s="1" t="s">
        <v>16627</v>
      </c>
      <c r="B8332" s="1" t="str">
        <f>"9781469878928"</f>
        <v>9781469878928</v>
      </c>
      <c r="C8332" s="1" t="s">
        <v>16613</v>
      </c>
      <c r="D8332" s="2">
        <v>41446</v>
      </c>
      <c r="E8332" s="1" t="s">
        <v>16628</v>
      </c>
      <c r="F8332" s="1" t="s">
        <v>13</v>
      </c>
    </row>
    <row r="8333" spans="1:6" ht="30" customHeight="1" x14ac:dyDescent="0.25">
      <c r="A8333" s="1" t="s">
        <v>16629</v>
      </c>
      <c r="B8333" s="1" t="str">
        <f>"9781469881096"</f>
        <v>9781469881096</v>
      </c>
      <c r="C8333" s="1" t="s">
        <v>16613</v>
      </c>
      <c r="D8333" s="2">
        <v>41423</v>
      </c>
      <c r="E8333" s="1" t="s">
        <v>16630</v>
      </c>
      <c r="F8333" s="1" t="s">
        <v>13</v>
      </c>
    </row>
    <row r="8334" spans="1:6" ht="30" customHeight="1" x14ac:dyDescent="0.25">
      <c r="A8334" s="1" t="s">
        <v>16631</v>
      </c>
      <c r="B8334" s="1" t="str">
        <f>"9781469879888"</f>
        <v>9781469879888</v>
      </c>
      <c r="C8334" s="1" t="s">
        <v>16613</v>
      </c>
      <c r="D8334" s="2">
        <v>41533</v>
      </c>
      <c r="E8334" s="1" t="s">
        <v>16632</v>
      </c>
      <c r="F8334" s="1" t="s">
        <v>13</v>
      </c>
    </row>
    <row r="8335" spans="1:6" ht="30" customHeight="1" x14ac:dyDescent="0.25">
      <c r="A8335" s="1" t="s">
        <v>16633</v>
      </c>
      <c r="B8335" s="1" t="str">
        <f>"9781469876108"</f>
        <v>9781469876108</v>
      </c>
      <c r="C8335" s="1" t="s">
        <v>16613</v>
      </c>
      <c r="D8335" s="2">
        <v>41586</v>
      </c>
      <c r="E8335" s="1" t="s">
        <v>16634</v>
      </c>
      <c r="F8335" s="1" t="s">
        <v>13</v>
      </c>
    </row>
    <row r="8336" spans="1:6" ht="30" customHeight="1" x14ac:dyDescent="0.25">
      <c r="A8336" s="1" t="s">
        <v>16635</v>
      </c>
      <c r="B8336" s="1" t="str">
        <f>"9781469832364"</f>
        <v>9781469832364</v>
      </c>
      <c r="C8336" s="1" t="s">
        <v>16613</v>
      </c>
      <c r="D8336" s="2">
        <v>41442</v>
      </c>
      <c r="E8336" s="1" t="s">
        <v>16636</v>
      </c>
      <c r="F8336" s="1" t="s">
        <v>137</v>
      </c>
    </row>
    <row r="8337" spans="1:6" ht="30" customHeight="1" x14ac:dyDescent="0.25">
      <c r="A8337" s="1" t="s">
        <v>16637</v>
      </c>
      <c r="B8337" s="1" t="str">
        <f>"9781469874371"</f>
        <v>9781469874371</v>
      </c>
      <c r="C8337" s="1" t="s">
        <v>16613</v>
      </c>
      <c r="D8337" s="2">
        <v>41302</v>
      </c>
      <c r="E8337" s="1" t="s">
        <v>16638</v>
      </c>
      <c r="F8337" s="1" t="s">
        <v>205</v>
      </c>
    </row>
    <row r="8338" spans="1:6" ht="30" customHeight="1" x14ac:dyDescent="0.25">
      <c r="A8338" s="1" t="s">
        <v>16639</v>
      </c>
      <c r="B8338" s="1" t="str">
        <f>"9781469874784"</f>
        <v>9781469874784</v>
      </c>
      <c r="C8338" s="1" t="s">
        <v>16613</v>
      </c>
      <c r="D8338" s="2">
        <v>41401</v>
      </c>
      <c r="E8338" s="1" t="s">
        <v>16640</v>
      </c>
      <c r="F8338" s="1" t="s">
        <v>13</v>
      </c>
    </row>
    <row r="8339" spans="1:6" ht="30" customHeight="1" x14ac:dyDescent="0.25">
      <c r="A8339" s="1" t="s">
        <v>16641</v>
      </c>
      <c r="B8339" s="1" t="str">
        <f>"9781469879833"</f>
        <v>9781469879833</v>
      </c>
      <c r="C8339" s="1" t="s">
        <v>16613</v>
      </c>
      <c r="D8339" s="2">
        <v>41558</v>
      </c>
      <c r="E8339" s="1" t="s">
        <v>16642</v>
      </c>
      <c r="F8339" s="1" t="s">
        <v>13</v>
      </c>
    </row>
    <row r="8340" spans="1:6" ht="30" customHeight="1" x14ac:dyDescent="0.25">
      <c r="A8340" s="1" t="s">
        <v>16643</v>
      </c>
      <c r="B8340" s="1" t="str">
        <f>"9781469876085"</f>
        <v>9781469876085</v>
      </c>
      <c r="C8340" s="1" t="s">
        <v>16613</v>
      </c>
      <c r="D8340" s="2">
        <v>41579</v>
      </c>
      <c r="E8340" s="1" t="s">
        <v>16644</v>
      </c>
      <c r="F8340" s="1" t="s">
        <v>13</v>
      </c>
    </row>
    <row r="8341" spans="1:6" ht="30" customHeight="1" x14ac:dyDescent="0.25">
      <c r="A8341" s="1" t="s">
        <v>16645</v>
      </c>
      <c r="B8341" s="1" t="str">
        <f>"9781469878607"</f>
        <v>9781469878607</v>
      </c>
      <c r="C8341" s="1" t="s">
        <v>16613</v>
      </c>
      <c r="D8341" s="2">
        <v>41551</v>
      </c>
      <c r="E8341" s="1" t="s">
        <v>16646</v>
      </c>
      <c r="F8341" s="1" t="s">
        <v>13</v>
      </c>
    </row>
    <row r="8342" spans="1:6" ht="30" customHeight="1" x14ac:dyDescent="0.25">
      <c r="A8342" s="1" t="s">
        <v>16647</v>
      </c>
      <c r="B8342" s="1" t="str">
        <f>"9781469880358"</f>
        <v>9781469880358</v>
      </c>
      <c r="C8342" s="1" t="s">
        <v>16613</v>
      </c>
      <c r="D8342" s="2">
        <v>41064</v>
      </c>
      <c r="E8342" s="1" t="s">
        <v>16648</v>
      </c>
      <c r="F8342" s="1" t="s">
        <v>13</v>
      </c>
    </row>
    <row r="8343" spans="1:6" ht="30" customHeight="1" x14ac:dyDescent="0.25">
      <c r="A8343" s="1" t="s">
        <v>16649</v>
      </c>
      <c r="B8343" s="1" t="str">
        <f>"9781469880570"</f>
        <v>9781469880570</v>
      </c>
      <c r="C8343" s="1" t="s">
        <v>16613</v>
      </c>
      <c r="D8343" s="2">
        <v>40932</v>
      </c>
      <c r="E8343" s="1" t="s">
        <v>16650</v>
      </c>
      <c r="F8343" s="1" t="s">
        <v>13</v>
      </c>
    </row>
    <row r="8344" spans="1:6" ht="30" customHeight="1" x14ac:dyDescent="0.25">
      <c r="A8344" s="1" t="s">
        <v>16651</v>
      </c>
      <c r="B8344" s="1" t="str">
        <f>"9781469874159"</f>
        <v>9781469874159</v>
      </c>
      <c r="C8344" s="1" t="s">
        <v>16613</v>
      </c>
      <c r="D8344" s="2">
        <v>41239</v>
      </c>
      <c r="E8344" s="1" t="s">
        <v>16652</v>
      </c>
      <c r="F8344" s="1" t="s">
        <v>13</v>
      </c>
    </row>
    <row r="8345" spans="1:6" ht="30" customHeight="1" x14ac:dyDescent="0.25">
      <c r="A8345" s="1" t="s">
        <v>16653</v>
      </c>
      <c r="B8345" s="1" t="str">
        <f>"9781469878829"</f>
        <v>9781469878829</v>
      </c>
      <c r="C8345" s="1" t="s">
        <v>16613</v>
      </c>
      <c r="D8345" s="2">
        <v>41222</v>
      </c>
      <c r="E8345" s="1" t="s">
        <v>16654</v>
      </c>
      <c r="F8345" s="1" t="s">
        <v>13</v>
      </c>
    </row>
    <row r="8346" spans="1:6" ht="30" customHeight="1" x14ac:dyDescent="0.25">
      <c r="A8346" s="1" t="s">
        <v>16655</v>
      </c>
      <c r="B8346" s="1" t="str">
        <f>"9781496327956"</f>
        <v>9781496327956</v>
      </c>
      <c r="C8346" s="1" t="s">
        <v>16613</v>
      </c>
      <c r="D8346" s="2">
        <v>41061</v>
      </c>
      <c r="E8346" s="1" t="s">
        <v>16656</v>
      </c>
      <c r="F8346" s="1" t="s">
        <v>13</v>
      </c>
    </row>
    <row r="8347" spans="1:6" ht="30" customHeight="1" x14ac:dyDescent="0.25">
      <c r="A8347" s="1" t="s">
        <v>16657</v>
      </c>
      <c r="B8347" s="1" t="str">
        <f>"9781469878539"</f>
        <v>9781469878539</v>
      </c>
      <c r="C8347" s="1" t="s">
        <v>16613</v>
      </c>
      <c r="D8347" s="2">
        <v>41260</v>
      </c>
      <c r="E8347" s="1" t="s">
        <v>16658</v>
      </c>
      <c r="F8347" s="1" t="s">
        <v>13</v>
      </c>
    </row>
    <row r="8348" spans="1:6" ht="30" customHeight="1" x14ac:dyDescent="0.25">
      <c r="A8348" s="1" t="s">
        <v>16659</v>
      </c>
      <c r="B8348" s="1" t="str">
        <f>"9781469873985"</f>
        <v>9781469873985</v>
      </c>
      <c r="C8348" s="1" t="s">
        <v>16613</v>
      </c>
      <c r="D8348" s="2">
        <v>41162</v>
      </c>
      <c r="E8348" s="1" t="s">
        <v>16660</v>
      </c>
      <c r="F8348" s="1" t="s">
        <v>13</v>
      </c>
    </row>
    <row r="8349" spans="1:6" ht="30" customHeight="1" x14ac:dyDescent="0.25">
      <c r="A8349" s="1" t="s">
        <v>16661</v>
      </c>
      <c r="B8349" s="1" t="str">
        <f>"9781469821504"</f>
        <v>9781469821504</v>
      </c>
      <c r="C8349" s="1" t="s">
        <v>16613</v>
      </c>
      <c r="D8349" s="2">
        <v>41205</v>
      </c>
      <c r="E8349" s="1" t="s">
        <v>16662</v>
      </c>
      <c r="F8349" s="1" t="s">
        <v>13</v>
      </c>
    </row>
    <row r="8350" spans="1:6" ht="30" customHeight="1" x14ac:dyDescent="0.25">
      <c r="A8350" s="1" t="s">
        <v>16663</v>
      </c>
      <c r="B8350" s="1" t="str">
        <f>"9781469878584"</f>
        <v>9781469878584</v>
      </c>
      <c r="C8350" s="1" t="s">
        <v>16613</v>
      </c>
      <c r="D8350" s="2">
        <v>41214</v>
      </c>
      <c r="E8350" s="1" t="s">
        <v>16664</v>
      </c>
      <c r="F8350" s="1" t="s">
        <v>13</v>
      </c>
    </row>
    <row r="8351" spans="1:6" ht="30" customHeight="1" x14ac:dyDescent="0.25">
      <c r="A8351" s="1" t="s">
        <v>16665</v>
      </c>
      <c r="B8351" s="1" t="str">
        <f>"9781469878713"</f>
        <v>9781469878713</v>
      </c>
      <c r="C8351" s="1" t="s">
        <v>16613</v>
      </c>
      <c r="D8351" s="2">
        <v>40966</v>
      </c>
      <c r="E8351" s="1" t="s">
        <v>16666</v>
      </c>
      <c r="F8351" s="1" t="s">
        <v>13</v>
      </c>
    </row>
    <row r="8352" spans="1:6" ht="30" customHeight="1" x14ac:dyDescent="0.25">
      <c r="A8352" s="1" t="s">
        <v>16667</v>
      </c>
      <c r="B8352" s="1" t="str">
        <f>"9781469885735"</f>
        <v>9781469885735</v>
      </c>
      <c r="C8352" s="1" t="s">
        <v>16613</v>
      </c>
      <c r="D8352" s="2">
        <v>40938</v>
      </c>
      <c r="E8352" s="1" t="s">
        <v>16668</v>
      </c>
      <c r="F8352" s="1" t="s">
        <v>13</v>
      </c>
    </row>
    <row r="8353" spans="1:6" ht="30" customHeight="1" x14ac:dyDescent="0.25">
      <c r="A8353" s="1" t="s">
        <v>16669</v>
      </c>
      <c r="B8353" s="1" t="str">
        <f>"9781469878683"</f>
        <v>9781469878683</v>
      </c>
      <c r="C8353" s="1" t="s">
        <v>16613</v>
      </c>
      <c r="D8353" s="2">
        <v>40952</v>
      </c>
      <c r="E8353" s="1" t="s">
        <v>16670</v>
      </c>
      <c r="F8353" s="1" t="s">
        <v>13</v>
      </c>
    </row>
    <row r="8354" spans="1:6" ht="30" customHeight="1" x14ac:dyDescent="0.25">
      <c r="A8354" s="1" t="s">
        <v>16671</v>
      </c>
      <c r="B8354" s="1" t="str">
        <f>"9781469876764"</f>
        <v>9781469876764</v>
      </c>
      <c r="C8354" s="1" t="s">
        <v>16613</v>
      </c>
      <c r="D8354" s="2">
        <v>41127</v>
      </c>
      <c r="E8354" s="1" t="s">
        <v>16672</v>
      </c>
      <c r="F8354" s="1" t="s">
        <v>13</v>
      </c>
    </row>
    <row r="8355" spans="1:6" ht="30" customHeight="1" x14ac:dyDescent="0.25">
      <c r="A8355" s="1" t="s">
        <v>16673</v>
      </c>
      <c r="B8355" s="1" t="str">
        <f>"9781469874005"</f>
        <v>9781469874005</v>
      </c>
      <c r="C8355" s="1" t="s">
        <v>16613</v>
      </c>
      <c r="D8355" s="2">
        <v>41162</v>
      </c>
      <c r="E8355" s="1" t="s">
        <v>16674</v>
      </c>
      <c r="F8355" s="1" t="s">
        <v>13</v>
      </c>
    </row>
    <row r="8356" spans="1:6" ht="30" customHeight="1" x14ac:dyDescent="0.25">
      <c r="A8356" s="1" t="s">
        <v>16675</v>
      </c>
      <c r="B8356" s="1" t="str">
        <f>"9781469875118"</f>
        <v>9781469875118</v>
      </c>
      <c r="C8356" s="1" t="s">
        <v>16613</v>
      </c>
      <c r="D8356" s="2">
        <v>41198</v>
      </c>
      <c r="E8356" s="1" t="s">
        <v>16676</v>
      </c>
      <c r="F8356" s="1" t="s">
        <v>13</v>
      </c>
    </row>
    <row r="8357" spans="1:6" ht="30" customHeight="1" x14ac:dyDescent="0.25">
      <c r="A8357" s="1" t="s">
        <v>16677</v>
      </c>
      <c r="B8357" s="1" t="str">
        <f>"9781469880389"</f>
        <v>9781469880389</v>
      </c>
      <c r="C8357" s="1" t="s">
        <v>16613</v>
      </c>
      <c r="D8357" s="2">
        <v>40893</v>
      </c>
      <c r="E8357" s="1" t="s">
        <v>16678</v>
      </c>
      <c r="F8357" s="1" t="s">
        <v>13</v>
      </c>
    </row>
    <row r="8358" spans="1:6" ht="30" customHeight="1" x14ac:dyDescent="0.25">
      <c r="A8358" s="1" t="s">
        <v>16679</v>
      </c>
      <c r="B8358" s="1" t="str">
        <f>"9781469875224"</f>
        <v>9781469875224</v>
      </c>
      <c r="C8358" s="1" t="s">
        <v>16613</v>
      </c>
      <c r="D8358" s="2">
        <v>40604</v>
      </c>
      <c r="E8358" s="1" t="s">
        <v>16680</v>
      </c>
      <c r="F8358" s="1" t="s">
        <v>13</v>
      </c>
    </row>
    <row r="8359" spans="1:6" ht="30" customHeight="1" x14ac:dyDescent="0.25">
      <c r="A8359" s="1" t="s">
        <v>16681</v>
      </c>
      <c r="B8359" s="1" t="str">
        <f>"9781469875576"</f>
        <v>9781469875576</v>
      </c>
      <c r="C8359" s="1" t="s">
        <v>16613</v>
      </c>
      <c r="D8359" s="2">
        <v>40897</v>
      </c>
      <c r="E8359" s="1" t="s">
        <v>16682</v>
      </c>
      <c r="F8359" s="1" t="s">
        <v>13</v>
      </c>
    </row>
    <row r="8360" spans="1:6" ht="30" customHeight="1" x14ac:dyDescent="0.25">
      <c r="A8360" s="1" t="s">
        <v>16683</v>
      </c>
      <c r="B8360" s="1" t="str">
        <f>"9781469875286"</f>
        <v>9781469875286</v>
      </c>
      <c r="C8360" s="1" t="s">
        <v>16613</v>
      </c>
      <c r="D8360" s="2">
        <v>40631</v>
      </c>
      <c r="E8360" s="1" t="s">
        <v>16684</v>
      </c>
      <c r="F8360" s="1" t="s">
        <v>13</v>
      </c>
    </row>
    <row r="8361" spans="1:6" ht="30" customHeight="1" x14ac:dyDescent="0.25">
      <c r="A8361" s="1" t="s">
        <v>16685</v>
      </c>
      <c r="B8361" s="1" t="str">
        <f>"9781469821634"</f>
        <v>9781469821634</v>
      </c>
      <c r="C8361" s="1" t="s">
        <v>16613</v>
      </c>
      <c r="D8361" s="2">
        <v>40700</v>
      </c>
      <c r="E8361" s="1" t="s">
        <v>16686</v>
      </c>
      <c r="F8361" s="1" t="s">
        <v>13</v>
      </c>
    </row>
    <row r="8362" spans="1:6" ht="30" customHeight="1" x14ac:dyDescent="0.25">
      <c r="A8362" s="1" t="s">
        <v>16687</v>
      </c>
      <c r="B8362" s="1" t="str">
        <f>"9781469880365"</f>
        <v>9781469880365</v>
      </c>
      <c r="C8362" s="1" t="s">
        <v>16613</v>
      </c>
      <c r="D8362" s="2">
        <v>40897</v>
      </c>
      <c r="E8362" s="1" t="s">
        <v>16688</v>
      </c>
      <c r="F8362" s="1" t="s">
        <v>13</v>
      </c>
    </row>
    <row r="8363" spans="1:6" ht="30" customHeight="1" x14ac:dyDescent="0.25">
      <c r="A8363" s="1" t="s">
        <v>16689</v>
      </c>
      <c r="B8363" s="1" t="str">
        <f>"9781469876986"</f>
        <v>9781469876986</v>
      </c>
      <c r="C8363" s="1" t="s">
        <v>16613</v>
      </c>
      <c r="D8363" s="2">
        <v>40822</v>
      </c>
      <c r="E8363" s="1" t="s">
        <v>16690</v>
      </c>
      <c r="F8363" s="1" t="s">
        <v>13</v>
      </c>
    </row>
    <row r="8364" spans="1:6" ht="30" customHeight="1" x14ac:dyDescent="0.25">
      <c r="A8364" s="1" t="s">
        <v>16691</v>
      </c>
      <c r="B8364" s="1" t="str">
        <f>"9781469880341"</f>
        <v>9781469880341</v>
      </c>
      <c r="C8364" s="1" t="s">
        <v>16613</v>
      </c>
      <c r="D8364" s="2">
        <v>40893</v>
      </c>
      <c r="E8364" s="1" t="s">
        <v>16692</v>
      </c>
      <c r="F8364" s="1" t="s">
        <v>13</v>
      </c>
    </row>
    <row r="8365" spans="1:6" ht="30" customHeight="1" x14ac:dyDescent="0.25">
      <c r="A8365" s="1" t="s">
        <v>16693</v>
      </c>
      <c r="B8365" s="1" t="str">
        <f>"9781469874272"</f>
        <v>9781469874272</v>
      </c>
      <c r="C8365" s="1" t="s">
        <v>16613</v>
      </c>
      <c r="D8365" s="2">
        <v>40830</v>
      </c>
      <c r="E8365" s="1" t="s">
        <v>16694</v>
      </c>
      <c r="F8365" s="1" t="s">
        <v>176</v>
      </c>
    </row>
    <row r="8366" spans="1:6" ht="30" customHeight="1" x14ac:dyDescent="0.25">
      <c r="A8366" s="1" t="s">
        <v>16695</v>
      </c>
      <c r="B8366" s="1" t="str">
        <f>"9781469874869"</f>
        <v>9781469874869</v>
      </c>
      <c r="C8366" s="1" t="s">
        <v>16613</v>
      </c>
      <c r="D8366" s="2">
        <v>40858</v>
      </c>
      <c r="E8366" s="1" t="s">
        <v>16696</v>
      </c>
      <c r="F8366" s="1" t="s">
        <v>13</v>
      </c>
    </row>
    <row r="8367" spans="1:6" ht="30" customHeight="1" x14ac:dyDescent="0.25">
      <c r="A8367" s="1" t="s">
        <v>16697</v>
      </c>
      <c r="B8367" s="1" t="str">
        <f>"9781469821566"</f>
        <v>9781469821566</v>
      </c>
      <c r="C8367" s="1" t="s">
        <v>16613</v>
      </c>
      <c r="D8367" s="2">
        <v>40756</v>
      </c>
      <c r="E8367" s="1" t="s">
        <v>16698</v>
      </c>
      <c r="F8367" s="1" t="s">
        <v>13</v>
      </c>
    </row>
    <row r="8368" spans="1:6" ht="30" customHeight="1" x14ac:dyDescent="0.25">
      <c r="A8368" s="1" t="s">
        <v>16699</v>
      </c>
      <c r="B8368" s="1" t="str">
        <f>"9781469821528"</f>
        <v>9781469821528</v>
      </c>
      <c r="C8368" s="1" t="s">
        <v>16613</v>
      </c>
      <c r="D8368" s="2">
        <v>40900</v>
      </c>
      <c r="E8368" s="1" t="s">
        <v>16700</v>
      </c>
      <c r="F8368" s="1" t="s">
        <v>362</v>
      </c>
    </row>
    <row r="8369" spans="1:6" ht="30" customHeight="1" x14ac:dyDescent="0.25">
      <c r="A8369" s="1" t="s">
        <v>16701</v>
      </c>
      <c r="B8369" s="1" t="str">
        <f>"9781469877754"</f>
        <v>9781469877754</v>
      </c>
      <c r="C8369" s="1" t="s">
        <v>16613</v>
      </c>
      <c r="D8369" s="2">
        <v>40631</v>
      </c>
      <c r="E8369" s="1" t="s">
        <v>16702</v>
      </c>
      <c r="F8369" s="1" t="s">
        <v>13</v>
      </c>
    </row>
    <row r="8370" spans="1:6" ht="30" customHeight="1" x14ac:dyDescent="0.25">
      <c r="A8370" s="1" t="s">
        <v>16703</v>
      </c>
      <c r="B8370" s="1" t="str">
        <f>"9781469880525"</f>
        <v>9781469880525</v>
      </c>
      <c r="C8370" s="1" t="s">
        <v>16613</v>
      </c>
      <c r="D8370" s="2">
        <v>40746</v>
      </c>
      <c r="E8370" s="1" t="s">
        <v>16704</v>
      </c>
      <c r="F8370" s="1" t="s">
        <v>82</v>
      </c>
    </row>
    <row r="8371" spans="1:6" ht="30" customHeight="1" x14ac:dyDescent="0.25">
      <c r="A8371" s="1" t="s">
        <v>16705</v>
      </c>
      <c r="B8371" s="1" t="str">
        <f>"9781469878782"</f>
        <v>9781469878782</v>
      </c>
      <c r="C8371" s="1" t="s">
        <v>16613</v>
      </c>
      <c r="D8371" s="2">
        <v>40560</v>
      </c>
      <c r="E8371" s="1" t="s">
        <v>16706</v>
      </c>
      <c r="F8371" s="1" t="s">
        <v>13</v>
      </c>
    </row>
    <row r="8372" spans="1:6" ht="30" customHeight="1" x14ac:dyDescent="0.25">
      <c r="A8372" s="1" t="s">
        <v>16707</v>
      </c>
      <c r="B8372" s="1" t="str">
        <f>"9781469821559"</f>
        <v>9781469821559</v>
      </c>
      <c r="C8372" s="1" t="s">
        <v>16613</v>
      </c>
      <c r="D8372" s="2">
        <v>40878</v>
      </c>
      <c r="E8372" s="1" t="s">
        <v>16708</v>
      </c>
      <c r="F8372" s="1" t="s">
        <v>13</v>
      </c>
    </row>
    <row r="8373" spans="1:6" ht="30" customHeight="1" x14ac:dyDescent="0.25">
      <c r="A8373" s="1" t="s">
        <v>16709</v>
      </c>
      <c r="B8373" s="1" t="str">
        <f>"9781469874883"</f>
        <v>9781469874883</v>
      </c>
      <c r="C8373" s="1" t="s">
        <v>16613</v>
      </c>
      <c r="D8373" s="2">
        <v>40681</v>
      </c>
      <c r="E8373" s="1" t="s">
        <v>16710</v>
      </c>
      <c r="F8373" s="1" t="s">
        <v>13</v>
      </c>
    </row>
    <row r="8374" spans="1:6" ht="30" customHeight="1" x14ac:dyDescent="0.25">
      <c r="A8374" s="1" t="s">
        <v>16711</v>
      </c>
      <c r="B8374" s="1" t="str">
        <f>"9781469880815"</f>
        <v>9781469880815</v>
      </c>
      <c r="C8374" s="1" t="s">
        <v>16613</v>
      </c>
      <c r="D8374" s="2">
        <v>40361</v>
      </c>
      <c r="E8374" s="1" t="s">
        <v>16712</v>
      </c>
      <c r="F8374" s="1" t="s">
        <v>13</v>
      </c>
    </row>
    <row r="8375" spans="1:6" ht="30" customHeight="1" x14ac:dyDescent="0.25">
      <c r="A8375" s="1" t="s">
        <v>16713</v>
      </c>
      <c r="B8375" s="1" t="str">
        <f>"9781469800035"</f>
        <v>9781469800035</v>
      </c>
      <c r="C8375" s="1" t="s">
        <v>16613</v>
      </c>
      <c r="D8375" s="2">
        <v>40385</v>
      </c>
      <c r="E8375" s="1" t="s">
        <v>16714</v>
      </c>
      <c r="F8375" s="1" t="s">
        <v>13</v>
      </c>
    </row>
    <row r="8376" spans="1:6" ht="30" customHeight="1" x14ac:dyDescent="0.25">
      <c r="A8376" s="1" t="s">
        <v>16715</v>
      </c>
      <c r="B8376" s="1" t="str">
        <f>"9781496328038"</f>
        <v>9781496328038</v>
      </c>
      <c r="C8376" s="1" t="s">
        <v>16613</v>
      </c>
      <c r="D8376" s="2">
        <v>40462</v>
      </c>
      <c r="E8376" s="1" t="s">
        <v>16716</v>
      </c>
      <c r="F8376" s="1" t="s">
        <v>13</v>
      </c>
    </row>
    <row r="8377" spans="1:6" ht="30" customHeight="1" x14ac:dyDescent="0.25">
      <c r="A8377" s="1" t="s">
        <v>16717</v>
      </c>
      <c r="B8377" s="1" t="str">
        <f>"9781469877921"</f>
        <v>9781469877921</v>
      </c>
      <c r="C8377" s="1" t="s">
        <v>16613</v>
      </c>
      <c r="D8377" s="2">
        <v>40504</v>
      </c>
      <c r="E8377" s="1" t="s">
        <v>16718</v>
      </c>
      <c r="F8377" s="1" t="s">
        <v>356</v>
      </c>
    </row>
    <row r="8378" spans="1:6" ht="30" customHeight="1" x14ac:dyDescent="0.25">
      <c r="A8378" s="1" t="s">
        <v>16719</v>
      </c>
      <c r="B8378" s="1" t="str">
        <f>"9781469880730"</f>
        <v>9781469880730</v>
      </c>
      <c r="C8378" s="1" t="s">
        <v>16613</v>
      </c>
      <c r="D8378" s="2">
        <v>40261</v>
      </c>
      <c r="E8378" s="1" t="s">
        <v>16720</v>
      </c>
      <c r="F8378" s="1" t="s">
        <v>13</v>
      </c>
    </row>
    <row r="8379" spans="1:6" ht="30" customHeight="1" x14ac:dyDescent="0.25">
      <c r="A8379" s="1" t="s">
        <v>16721</v>
      </c>
      <c r="B8379" s="1" t="str">
        <f>"9781469880709"</f>
        <v>9781469880709</v>
      </c>
      <c r="C8379" s="1" t="s">
        <v>16613</v>
      </c>
      <c r="D8379" s="2">
        <v>40521</v>
      </c>
      <c r="E8379" s="1" t="s">
        <v>16720</v>
      </c>
      <c r="F8379" s="1" t="s">
        <v>13</v>
      </c>
    </row>
    <row r="8380" spans="1:6" ht="30" customHeight="1" x14ac:dyDescent="0.25">
      <c r="A8380" s="1" t="s">
        <v>16722</v>
      </c>
      <c r="B8380" s="1" t="str">
        <f>"9781469877679"</f>
        <v>9781469877679</v>
      </c>
      <c r="C8380" s="1" t="s">
        <v>16613</v>
      </c>
      <c r="D8380" s="2">
        <v>40505</v>
      </c>
      <c r="E8380" s="1" t="s">
        <v>16723</v>
      </c>
      <c r="F8380" s="1" t="s">
        <v>13</v>
      </c>
    </row>
    <row r="8381" spans="1:6" ht="30" customHeight="1" x14ac:dyDescent="0.25">
      <c r="A8381" s="1" t="s">
        <v>16724</v>
      </c>
      <c r="B8381" s="1" t="str">
        <f>"9781469874821"</f>
        <v>9781469874821</v>
      </c>
      <c r="C8381" s="1" t="s">
        <v>16613</v>
      </c>
      <c r="D8381" s="2">
        <v>40490</v>
      </c>
      <c r="E8381" s="1" t="s">
        <v>16725</v>
      </c>
      <c r="F8381" s="1" t="s">
        <v>13</v>
      </c>
    </row>
    <row r="8382" spans="1:6" ht="30" customHeight="1" x14ac:dyDescent="0.25">
      <c r="A8382" s="1" t="s">
        <v>16726</v>
      </c>
      <c r="B8382" s="1" t="str">
        <f>"9781469880327"</f>
        <v>9781469880327</v>
      </c>
      <c r="C8382" s="1" t="s">
        <v>16613</v>
      </c>
      <c r="D8382" s="2">
        <v>40476</v>
      </c>
      <c r="E8382" s="1" t="s">
        <v>16727</v>
      </c>
      <c r="F8382" s="1" t="s">
        <v>13</v>
      </c>
    </row>
    <row r="8383" spans="1:6" ht="30" customHeight="1" x14ac:dyDescent="0.25">
      <c r="A8383" s="1" t="s">
        <v>16728</v>
      </c>
      <c r="B8383" s="1" t="str">
        <f>"9781469877693"</f>
        <v>9781469877693</v>
      </c>
      <c r="C8383" s="1" t="s">
        <v>16613</v>
      </c>
      <c r="D8383" s="2">
        <v>40389</v>
      </c>
      <c r="E8383" s="1" t="s">
        <v>16729</v>
      </c>
      <c r="F8383" s="1" t="s">
        <v>13</v>
      </c>
    </row>
    <row r="8384" spans="1:6" ht="30" customHeight="1" x14ac:dyDescent="0.25">
      <c r="A8384" s="1" t="s">
        <v>16730</v>
      </c>
      <c r="B8384" s="1" t="str">
        <f>"9781469821719"</f>
        <v>9781469821719</v>
      </c>
      <c r="C8384" s="1" t="s">
        <v>16613</v>
      </c>
      <c r="D8384" s="2">
        <v>40437</v>
      </c>
      <c r="E8384" s="1" t="s">
        <v>16731</v>
      </c>
      <c r="F8384" s="1" t="s">
        <v>13</v>
      </c>
    </row>
    <row r="8385" spans="1:6" ht="30" customHeight="1" x14ac:dyDescent="0.25">
      <c r="A8385" s="1" t="s">
        <v>16732</v>
      </c>
      <c r="B8385" s="1" t="str">
        <f>"9781469874814"</f>
        <v>9781469874814</v>
      </c>
      <c r="C8385" s="1" t="s">
        <v>16613</v>
      </c>
      <c r="D8385" s="2">
        <v>40462</v>
      </c>
      <c r="E8385" s="1" t="s">
        <v>16733</v>
      </c>
      <c r="F8385" s="1" t="s">
        <v>13</v>
      </c>
    </row>
    <row r="8386" spans="1:6" ht="30" customHeight="1" x14ac:dyDescent="0.25">
      <c r="A8386" s="1" t="s">
        <v>16734</v>
      </c>
      <c r="B8386" s="1" t="str">
        <f>"9781469879390"</f>
        <v>9781469879390</v>
      </c>
      <c r="C8386" s="1" t="s">
        <v>16613</v>
      </c>
      <c r="D8386" s="2">
        <v>40476</v>
      </c>
      <c r="E8386" s="1" t="s">
        <v>16735</v>
      </c>
      <c r="F8386" s="1" t="s">
        <v>13</v>
      </c>
    </row>
    <row r="8387" spans="1:6" ht="30" customHeight="1" x14ac:dyDescent="0.25">
      <c r="A8387" s="1" t="s">
        <v>16736</v>
      </c>
      <c r="B8387" s="1" t="str">
        <f>"9781469800851"</f>
        <v>9781469800851</v>
      </c>
      <c r="C8387" s="1" t="s">
        <v>16613</v>
      </c>
      <c r="D8387" s="2">
        <v>40532</v>
      </c>
      <c r="E8387" s="1" t="s">
        <v>16737</v>
      </c>
      <c r="F8387" s="1" t="s">
        <v>13</v>
      </c>
    </row>
    <row r="8388" spans="1:6" ht="30" customHeight="1" x14ac:dyDescent="0.25">
      <c r="A8388" s="1" t="s">
        <v>16738</v>
      </c>
      <c r="B8388" s="1" t="str">
        <f>"9781469877525"</f>
        <v>9781469877525</v>
      </c>
      <c r="C8388" s="1" t="s">
        <v>16613</v>
      </c>
      <c r="D8388" s="2">
        <v>40534</v>
      </c>
      <c r="E8388" s="1" t="s">
        <v>16739</v>
      </c>
      <c r="F8388" s="1" t="s">
        <v>13</v>
      </c>
    </row>
    <row r="8389" spans="1:6" ht="30" customHeight="1" x14ac:dyDescent="0.25">
      <c r="A8389" s="1" t="s">
        <v>16740</v>
      </c>
      <c r="B8389" s="1" t="str">
        <f>"9781469873961"</f>
        <v>9781469873961</v>
      </c>
      <c r="C8389" s="1" t="s">
        <v>16613</v>
      </c>
      <c r="D8389" s="2">
        <v>40261</v>
      </c>
      <c r="E8389" s="1" t="s">
        <v>16741</v>
      </c>
      <c r="F8389" s="1" t="s">
        <v>137</v>
      </c>
    </row>
    <row r="8390" spans="1:6" ht="30" customHeight="1" x14ac:dyDescent="0.25">
      <c r="A8390" s="1" t="s">
        <v>16742</v>
      </c>
      <c r="B8390" s="1" t="str">
        <f>"9781451159912"</f>
        <v>9781451159912</v>
      </c>
      <c r="C8390" s="1" t="s">
        <v>16613</v>
      </c>
      <c r="D8390" s="2">
        <v>39872</v>
      </c>
      <c r="E8390" s="1" t="s">
        <v>16743</v>
      </c>
      <c r="F8390" s="1" t="s">
        <v>13</v>
      </c>
    </row>
    <row r="8391" spans="1:6" ht="30" customHeight="1" x14ac:dyDescent="0.25">
      <c r="A8391" s="1" t="s">
        <v>16744</v>
      </c>
      <c r="B8391" s="1" t="str">
        <f>"9781469812977"</f>
        <v>9781469812977</v>
      </c>
      <c r="C8391" s="1" t="s">
        <v>16613</v>
      </c>
      <c r="D8391" s="2">
        <v>39962</v>
      </c>
      <c r="E8391" s="1" t="s">
        <v>16745</v>
      </c>
      <c r="F8391" s="1" t="s">
        <v>13</v>
      </c>
    </row>
    <row r="8392" spans="1:6" ht="30" customHeight="1" x14ac:dyDescent="0.25">
      <c r="A8392" s="1" t="s">
        <v>16746</v>
      </c>
      <c r="B8392" s="1" t="str">
        <f>"9781469878430"</f>
        <v>9781469878430</v>
      </c>
      <c r="C8392" s="1" t="s">
        <v>16613</v>
      </c>
      <c r="D8392" s="2">
        <v>40140</v>
      </c>
      <c r="E8392" s="1" t="s">
        <v>16747</v>
      </c>
      <c r="F8392" s="1" t="s">
        <v>13</v>
      </c>
    </row>
    <row r="8393" spans="1:6" ht="30" customHeight="1" x14ac:dyDescent="0.25">
      <c r="A8393" s="1" t="s">
        <v>16748</v>
      </c>
      <c r="B8393" s="1" t="str">
        <f>"9781451165753"</f>
        <v>9781451165753</v>
      </c>
      <c r="C8393" s="1" t="s">
        <v>16613</v>
      </c>
      <c r="D8393" s="2">
        <v>40136</v>
      </c>
      <c r="E8393" s="1" t="s">
        <v>16749</v>
      </c>
      <c r="F8393" s="1" t="s">
        <v>13</v>
      </c>
    </row>
    <row r="8394" spans="1:6" ht="30" customHeight="1" x14ac:dyDescent="0.25">
      <c r="A8394" s="1" t="s">
        <v>16750</v>
      </c>
      <c r="B8394" s="1" t="str">
        <f>"9781451157383"</f>
        <v>9781451157383</v>
      </c>
      <c r="C8394" s="1" t="s">
        <v>16613</v>
      </c>
      <c r="D8394" s="2">
        <v>39873</v>
      </c>
      <c r="E8394" s="1" t="s">
        <v>16622</v>
      </c>
      <c r="F8394" s="1" t="s">
        <v>13</v>
      </c>
    </row>
    <row r="8395" spans="1:6" ht="30" customHeight="1" x14ac:dyDescent="0.25">
      <c r="A8395" s="1" t="s">
        <v>16751</v>
      </c>
      <c r="B8395" s="1" t="str">
        <f>"9781451157277"</f>
        <v>9781451157277</v>
      </c>
      <c r="C8395" s="1" t="s">
        <v>16613</v>
      </c>
      <c r="D8395" s="2">
        <v>39349</v>
      </c>
      <c r="E8395" s="1" t="s">
        <v>16752</v>
      </c>
      <c r="F8395" s="1" t="s">
        <v>13</v>
      </c>
    </row>
    <row r="8396" spans="1:6" ht="30" customHeight="1" x14ac:dyDescent="0.25">
      <c r="A8396" s="1" t="s">
        <v>16753</v>
      </c>
      <c r="B8396" s="1" t="str">
        <f>"9781451167375"</f>
        <v>9781451167375</v>
      </c>
      <c r="C8396" s="1" t="s">
        <v>16613</v>
      </c>
      <c r="D8396" s="2">
        <v>39339</v>
      </c>
      <c r="E8396" s="1" t="s">
        <v>16754</v>
      </c>
      <c r="F8396" s="1" t="s">
        <v>13</v>
      </c>
    </row>
    <row r="8397" spans="1:6" ht="30" customHeight="1" x14ac:dyDescent="0.25">
      <c r="A8397" s="1" t="s">
        <v>16755</v>
      </c>
      <c r="B8397" s="1" t="str">
        <f>"9781469878324"</f>
        <v>9781469878324</v>
      </c>
      <c r="C8397" s="1" t="s">
        <v>16613</v>
      </c>
      <c r="D8397" s="2">
        <v>39077</v>
      </c>
      <c r="E8397" s="1" t="s">
        <v>16756</v>
      </c>
      <c r="F8397" s="1" t="s">
        <v>13</v>
      </c>
    </row>
    <row r="8398" spans="1:6" ht="30" customHeight="1" x14ac:dyDescent="0.25">
      <c r="A8398" s="1" t="s">
        <v>16757</v>
      </c>
      <c r="B8398" s="1" t="str">
        <f>"9781469876153"</f>
        <v>9781469876153</v>
      </c>
      <c r="C8398" s="1" t="s">
        <v>16613</v>
      </c>
      <c r="D8398" s="2">
        <v>39056</v>
      </c>
      <c r="E8398" s="1" t="s">
        <v>16758</v>
      </c>
      <c r="F8398" s="1" t="s">
        <v>13</v>
      </c>
    </row>
    <row r="8399" spans="1:6" ht="30" customHeight="1" x14ac:dyDescent="0.25">
      <c r="A8399" s="1" t="s">
        <v>16759</v>
      </c>
      <c r="B8399" s="1" t="str">
        <f>"9781469875880"</f>
        <v>9781469875880</v>
      </c>
      <c r="C8399" s="1" t="s">
        <v>16613</v>
      </c>
      <c r="D8399" s="2">
        <v>39022</v>
      </c>
      <c r="E8399" s="1" t="s">
        <v>16760</v>
      </c>
      <c r="F8399" s="1" t="s">
        <v>13</v>
      </c>
    </row>
    <row r="8400" spans="1:6" ht="30" customHeight="1" x14ac:dyDescent="0.25">
      <c r="A8400" s="1" t="s">
        <v>16761</v>
      </c>
      <c r="B8400" s="1" t="str">
        <f>"9781469886251"</f>
        <v>9781469886251</v>
      </c>
      <c r="C8400" s="1" t="s">
        <v>16613</v>
      </c>
      <c r="D8400" s="2">
        <v>38353</v>
      </c>
      <c r="E8400" s="1" t="s">
        <v>16762</v>
      </c>
      <c r="F8400" s="1" t="s">
        <v>13</v>
      </c>
    </row>
    <row r="8401" spans="1:6" ht="30" customHeight="1" x14ac:dyDescent="0.25">
      <c r="A8401" s="1" t="s">
        <v>16763</v>
      </c>
      <c r="B8401" s="1" t="str">
        <f>"9781451167023"</f>
        <v>9781451167023</v>
      </c>
      <c r="C8401" s="1" t="s">
        <v>16613</v>
      </c>
      <c r="D8401" s="2">
        <v>38561</v>
      </c>
      <c r="E8401" s="1" t="s">
        <v>16764</v>
      </c>
      <c r="F8401" s="1" t="s">
        <v>126</v>
      </c>
    </row>
    <row r="8402" spans="1:6" ht="30" customHeight="1" x14ac:dyDescent="0.25">
      <c r="A8402" s="1" t="s">
        <v>16765</v>
      </c>
      <c r="B8402" s="1" t="str">
        <f>"9781469873848"</f>
        <v>9781469873848</v>
      </c>
      <c r="C8402" s="1" t="s">
        <v>16613</v>
      </c>
      <c r="D8402" s="2">
        <v>38471</v>
      </c>
      <c r="E8402" s="1" t="s">
        <v>16766</v>
      </c>
      <c r="F8402" s="1" t="s">
        <v>13</v>
      </c>
    </row>
    <row r="8403" spans="1:6" ht="30" customHeight="1" x14ac:dyDescent="0.25">
      <c r="A8403" s="1" t="s">
        <v>16767</v>
      </c>
      <c r="B8403" s="1" t="str">
        <f>"9781469874944"</f>
        <v>9781469874944</v>
      </c>
      <c r="C8403" s="1" t="s">
        <v>16613</v>
      </c>
      <c r="D8403" s="2">
        <v>38411</v>
      </c>
      <c r="E8403" s="1" t="s">
        <v>16768</v>
      </c>
      <c r="F8403" s="1" t="s">
        <v>13</v>
      </c>
    </row>
    <row r="8404" spans="1:6" ht="30" customHeight="1" x14ac:dyDescent="0.25">
      <c r="A8404" s="1" t="s">
        <v>16769</v>
      </c>
      <c r="B8404" s="1" t="str">
        <f>"9781469874920"</f>
        <v>9781469874920</v>
      </c>
      <c r="C8404" s="1" t="s">
        <v>16613</v>
      </c>
      <c r="D8404" s="2">
        <v>38651</v>
      </c>
      <c r="E8404" s="1" t="s">
        <v>16770</v>
      </c>
      <c r="F8404" s="1" t="s">
        <v>13</v>
      </c>
    </row>
    <row r="8405" spans="1:6" ht="30" customHeight="1" x14ac:dyDescent="0.25">
      <c r="A8405" s="1" t="s">
        <v>16771</v>
      </c>
      <c r="B8405" s="1" t="str">
        <f>"9781451168181"</f>
        <v>9781451168181</v>
      </c>
      <c r="C8405" s="1" t="s">
        <v>16613</v>
      </c>
      <c r="D8405" s="2">
        <v>38657</v>
      </c>
      <c r="E8405" s="1" t="s">
        <v>16773</v>
      </c>
      <c r="F8405" s="1" t="s">
        <v>126</v>
      </c>
    </row>
    <row r="8406" spans="1:6" ht="30" customHeight="1" x14ac:dyDescent="0.25">
      <c r="A8406" s="1" t="s">
        <v>16774</v>
      </c>
      <c r="B8406" s="1" t="str">
        <f>"9781469874197"</f>
        <v>9781469874197</v>
      </c>
      <c r="C8406" s="1" t="s">
        <v>16613</v>
      </c>
      <c r="D8406" s="2">
        <v>38418</v>
      </c>
      <c r="E8406" s="1" t="s">
        <v>16775</v>
      </c>
      <c r="F8406" s="1" t="s">
        <v>9422</v>
      </c>
    </row>
    <row r="8407" spans="1:6" ht="30" customHeight="1" x14ac:dyDescent="0.25">
      <c r="A8407" s="1" t="s">
        <v>16776</v>
      </c>
      <c r="B8407" s="1" t="str">
        <f>"9781451166316"</f>
        <v>9781451166316</v>
      </c>
      <c r="C8407" s="1" t="s">
        <v>16613</v>
      </c>
      <c r="D8407" s="2">
        <v>38621</v>
      </c>
      <c r="E8407" s="1" t="s">
        <v>16764</v>
      </c>
      <c r="F8407" s="1" t="s">
        <v>13</v>
      </c>
    </row>
    <row r="8408" spans="1:6" ht="30" customHeight="1" x14ac:dyDescent="0.25">
      <c r="A8408" s="1" t="s">
        <v>16777</v>
      </c>
      <c r="B8408" s="1" t="str">
        <f>"9781469885834"</f>
        <v>9781469885834</v>
      </c>
      <c r="C8408" s="1" t="s">
        <v>16613</v>
      </c>
      <c r="D8408" s="2">
        <v>38460</v>
      </c>
      <c r="E8408" s="1" t="s">
        <v>16778</v>
      </c>
      <c r="F8408" s="1" t="s">
        <v>13</v>
      </c>
    </row>
    <row r="8409" spans="1:6" ht="30" customHeight="1" x14ac:dyDescent="0.25">
      <c r="A8409" s="1" t="s">
        <v>16779</v>
      </c>
      <c r="B8409" s="1" t="str">
        <f>"9781451166415"</f>
        <v>9781451166415</v>
      </c>
      <c r="C8409" s="1" t="s">
        <v>16613</v>
      </c>
      <c r="D8409" s="2">
        <v>38596</v>
      </c>
      <c r="E8409" s="1" t="s">
        <v>16780</v>
      </c>
      <c r="F8409" s="1" t="s">
        <v>126</v>
      </c>
    </row>
    <row r="8410" spans="1:6" ht="30" customHeight="1" x14ac:dyDescent="0.25">
      <c r="A8410" s="1" t="s">
        <v>16781</v>
      </c>
      <c r="B8410" s="1" t="str">
        <f>"9781469885957"</f>
        <v>9781469885957</v>
      </c>
      <c r="C8410" s="1" t="s">
        <v>16613</v>
      </c>
      <c r="D8410" s="2">
        <v>38460</v>
      </c>
      <c r="E8410" s="1" t="s">
        <v>16778</v>
      </c>
      <c r="F8410" s="1" t="s">
        <v>126</v>
      </c>
    </row>
    <row r="8411" spans="1:6" ht="30" customHeight="1" x14ac:dyDescent="0.25">
      <c r="A8411" s="1" t="s">
        <v>16782</v>
      </c>
      <c r="B8411" s="1" t="str">
        <f>"9781469885889"</f>
        <v>9781469885889</v>
      </c>
      <c r="C8411" s="1" t="s">
        <v>16613</v>
      </c>
      <c r="D8411" s="2">
        <v>38429</v>
      </c>
      <c r="E8411" s="1" t="s">
        <v>16778</v>
      </c>
      <c r="F8411" s="1" t="s">
        <v>82</v>
      </c>
    </row>
    <row r="8412" spans="1:6" ht="30" customHeight="1" x14ac:dyDescent="0.25">
      <c r="A8412" s="1" t="s">
        <v>16783</v>
      </c>
      <c r="B8412" s="1" t="str">
        <f>"9781469885872"</f>
        <v>9781469885872</v>
      </c>
      <c r="C8412" s="1" t="s">
        <v>16613</v>
      </c>
      <c r="D8412" s="2">
        <v>38434</v>
      </c>
      <c r="E8412" s="1" t="s">
        <v>16778</v>
      </c>
      <c r="F8412" s="1" t="s">
        <v>5964</v>
      </c>
    </row>
    <row r="8413" spans="1:6" ht="30" customHeight="1" x14ac:dyDescent="0.25">
      <c r="A8413" s="1" t="s">
        <v>16784</v>
      </c>
      <c r="B8413" s="1" t="str">
        <f>"9781469885865"</f>
        <v>9781469885865</v>
      </c>
      <c r="C8413" s="1" t="s">
        <v>16613</v>
      </c>
      <c r="D8413" s="2">
        <v>38399</v>
      </c>
      <c r="E8413" s="1" t="s">
        <v>16778</v>
      </c>
      <c r="F8413" s="1" t="s">
        <v>13</v>
      </c>
    </row>
    <row r="8414" spans="1:6" ht="30" customHeight="1" x14ac:dyDescent="0.25">
      <c r="A8414" s="1" t="s">
        <v>16785</v>
      </c>
      <c r="B8414" s="1" t="str">
        <f>"9781451166675"</f>
        <v>9781451166675</v>
      </c>
      <c r="C8414" s="1" t="s">
        <v>16613</v>
      </c>
      <c r="D8414" s="2">
        <v>38405</v>
      </c>
      <c r="E8414" s="1" t="s">
        <v>16764</v>
      </c>
      <c r="F8414" s="1" t="s">
        <v>13</v>
      </c>
    </row>
    <row r="8415" spans="1:6" ht="30" customHeight="1" x14ac:dyDescent="0.25">
      <c r="A8415" s="1" t="s">
        <v>16786</v>
      </c>
      <c r="B8415" s="1" t="str">
        <f>"9781469885926"</f>
        <v>9781469885926</v>
      </c>
      <c r="C8415" s="1" t="s">
        <v>16613</v>
      </c>
      <c r="D8415" s="2">
        <v>38397</v>
      </c>
      <c r="E8415" s="1" t="s">
        <v>16778</v>
      </c>
      <c r="F8415" s="1" t="s">
        <v>137</v>
      </c>
    </row>
    <row r="8416" spans="1:6" ht="30" customHeight="1" x14ac:dyDescent="0.25">
      <c r="A8416" s="1" t="s">
        <v>16787</v>
      </c>
      <c r="B8416" s="1" t="str">
        <f>"9781469885919"</f>
        <v>9781469885919</v>
      </c>
      <c r="C8416" s="1" t="s">
        <v>16613</v>
      </c>
      <c r="D8416" s="2">
        <v>38429</v>
      </c>
      <c r="E8416" s="1" t="s">
        <v>16778</v>
      </c>
      <c r="F8416" s="1" t="s">
        <v>126</v>
      </c>
    </row>
    <row r="8417" spans="1:6" ht="30" customHeight="1" x14ac:dyDescent="0.25">
      <c r="A8417" s="1" t="s">
        <v>16788</v>
      </c>
      <c r="B8417" s="1" t="str">
        <f>"9781469885964"</f>
        <v>9781469885964</v>
      </c>
      <c r="C8417" s="1" t="s">
        <v>16613</v>
      </c>
      <c r="D8417" s="2">
        <v>38597</v>
      </c>
      <c r="E8417" s="1" t="s">
        <v>16778</v>
      </c>
      <c r="F8417" s="1" t="s">
        <v>126</v>
      </c>
    </row>
    <row r="8418" spans="1:6" ht="30" customHeight="1" x14ac:dyDescent="0.25">
      <c r="A8418" s="1" t="s">
        <v>16789</v>
      </c>
      <c r="B8418" s="1" t="str">
        <f>"9781469885896"</f>
        <v>9781469885896</v>
      </c>
      <c r="C8418" s="1" t="s">
        <v>16613</v>
      </c>
      <c r="D8418" s="2">
        <v>38439</v>
      </c>
      <c r="E8418" s="1" t="s">
        <v>16778</v>
      </c>
      <c r="F8418" s="1" t="s">
        <v>13</v>
      </c>
    </row>
    <row r="8419" spans="1:6" ht="30" customHeight="1" x14ac:dyDescent="0.25">
      <c r="A8419" s="1" t="s">
        <v>16790</v>
      </c>
      <c r="B8419" s="1" t="str">
        <f>"9781469885940"</f>
        <v>9781469885940</v>
      </c>
      <c r="C8419" s="1" t="s">
        <v>16613</v>
      </c>
      <c r="D8419" s="2">
        <v>38401</v>
      </c>
      <c r="E8419" s="1" t="s">
        <v>16778</v>
      </c>
      <c r="F8419" s="1" t="s">
        <v>126</v>
      </c>
    </row>
    <row r="8420" spans="1:6" ht="30" customHeight="1" x14ac:dyDescent="0.25">
      <c r="A8420" s="1" t="s">
        <v>16791</v>
      </c>
      <c r="B8420" s="1" t="str">
        <f>"9781469886244"</f>
        <v>9781469886244</v>
      </c>
      <c r="C8420" s="1" t="s">
        <v>16613</v>
      </c>
      <c r="D8420" s="2">
        <v>38651</v>
      </c>
      <c r="E8420" s="1" t="s">
        <v>16778</v>
      </c>
      <c r="F8420" s="1" t="s">
        <v>137</v>
      </c>
    </row>
    <row r="8421" spans="1:6" ht="30" customHeight="1" x14ac:dyDescent="0.25">
      <c r="A8421" s="1" t="s">
        <v>16792</v>
      </c>
      <c r="B8421" s="1" t="str">
        <f>"9781469885933"</f>
        <v>9781469885933</v>
      </c>
      <c r="C8421" s="1" t="s">
        <v>16613</v>
      </c>
      <c r="D8421" s="2">
        <v>38463</v>
      </c>
      <c r="E8421" s="1" t="s">
        <v>16778</v>
      </c>
      <c r="F8421" s="1" t="s">
        <v>13</v>
      </c>
    </row>
    <row r="8422" spans="1:6" ht="30" customHeight="1" x14ac:dyDescent="0.25">
      <c r="A8422" s="1" t="s">
        <v>16793</v>
      </c>
      <c r="B8422" s="1" t="str">
        <f>"9781469880853"</f>
        <v>9781469880853</v>
      </c>
      <c r="C8422" s="1" t="s">
        <v>16613</v>
      </c>
      <c r="D8422" s="2">
        <v>38565</v>
      </c>
      <c r="E8422" s="1" t="s">
        <v>16794</v>
      </c>
      <c r="F8422" s="1" t="s">
        <v>268</v>
      </c>
    </row>
    <row r="8423" spans="1:6" ht="30" customHeight="1" x14ac:dyDescent="0.25">
      <c r="A8423" s="1" t="s">
        <v>16795</v>
      </c>
      <c r="B8423" s="1" t="str">
        <f>"9781469875033"</f>
        <v>9781469875033</v>
      </c>
      <c r="C8423" s="1" t="s">
        <v>16613</v>
      </c>
      <c r="D8423" s="2">
        <v>38651</v>
      </c>
      <c r="E8423" s="1" t="s">
        <v>16796</v>
      </c>
      <c r="F8423" s="1" t="s">
        <v>13</v>
      </c>
    </row>
    <row r="8424" spans="1:6" ht="30" customHeight="1" x14ac:dyDescent="0.25">
      <c r="A8424" s="1" t="s">
        <v>16797</v>
      </c>
      <c r="B8424" s="1" t="str">
        <f>"9781469878966"</f>
        <v>9781469878966</v>
      </c>
      <c r="C8424" s="1" t="s">
        <v>16613</v>
      </c>
      <c r="D8424" s="2">
        <v>38626</v>
      </c>
      <c r="E8424" s="1" t="s">
        <v>16798</v>
      </c>
      <c r="F8424" s="1" t="s">
        <v>13</v>
      </c>
    </row>
    <row r="8425" spans="1:6" ht="30" customHeight="1" x14ac:dyDescent="0.25">
      <c r="A8425" s="1" t="s">
        <v>16799</v>
      </c>
      <c r="B8425" s="1" t="str">
        <f>"9781469875422"</f>
        <v>9781469875422</v>
      </c>
      <c r="C8425" s="1" t="s">
        <v>16613</v>
      </c>
      <c r="D8425" s="2">
        <v>38450</v>
      </c>
      <c r="E8425" s="1" t="s">
        <v>16800</v>
      </c>
      <c r="F8425" s="1" t="s">
        <v>13</v>
      </c>
    </row>
    <row r="8426" spans="1:6" ht="30" customHeight="1" x14ac:dyDescent="0.25">
      <c r="A8426" s="1" t="s">
        <v>16801</v>
      </c>
      <c r="B8426" s="1" t="str">
        <f>"9781469873831"</f>
        <v>9781469873831</v>
      </c>
      <c r="C8426" s="1" t="s">
        <v>16613</v>
      </c>
      <c r="D8426" s="2">
        <v>38443</v>
      </c>
      <c r="E8426" s="1" t="s">
        <v>16802</v>
      </c>
      <c r="F8426" s="1" t="s">
        <v>13</v>
      </c>
    </row>
    <row r="8427" spans="1:6" ht="30" customHeight="1" x14ac:dyDescent="0.25">
      <c r="A8427" s="1" t="s">
        <v>16803</v>
      </c>
      <c r="B8427" s="1" t="str">
        <f>"9781469879314"</f>
        <v>9781469879314</v>
      </c>
      <c r="C8427" s="1" t="s">
        <v>16613</v>
      </c>
      <c r="D8427" s="2">
        <v>38565</v>
      </c>
      <c r="E8427" s="1" t="s">
        <v>16804</v>
      </c>
      <c r="F8427" s="1" t="s">
        <v>13</v>
      </c>
    </row>
    <row r="8428" spans="1:6" ht="30" customHeight="1" x14ac:dyDescent="0.25">
      <c r="A8428" s="1" t="s">
        <v>16805</v>
      </c>
      <c r="B8428" s="1" t="str">
        <f>"9781469879062"</f>
        <v>9781469879062</v>
      </c>
      <c r="C8428" s="1" t="s">
        <v>16613</v>
      </c>
      <c r="D8428" s="2">
        <v>38447</v>
      </c>
      <c r="E8428" s="1" t="s">
        <v>16806</v>
      </c>
      <c r="F8428" s="1" t="s">
        <v>158</v>
      </c>
    </row>
    <row r="8429" spans="1:6" ht="30" customHeight="1" x14ac:dyDescent="0.25">
      <c r="A8429" s="1" t="s">
        <v>16807</v>
      </c>
      <c r="B8429" s="1" t="str">
        <f>"9781469874326"</f>
        <v>9781469874326</v>
      </c>
      <c r="C8429" s="1" t="s">
        <v>16613</v>
      </c>
      <c r="D8429" s="2">
        <v>38600</v>
      </c>
      <c r="E8429" s="1" t="s">
        <v>16808</v>
      </c>
      <c r="F8429" s="1" t="s">
        <v>13</v>
      </c>
    </row>
    <row r="8430" spans="1:6" ht="30" customHeight="1" x14ac:dyDescent="0.25">
      <c r="A8430" s="1" t="s">
        <v>16809</v>
      </c>
      <c r="B8430" s="1" t="str">
        <f>"9781451165500"</f>
        <v>9781451165500</v>
      </c>
      <c r="C8430" s="1" t="s">
        <v>16613</v>
      </c>
      <c r="D8430" s="2">
        <v>38447</v>
      </c>
      <c r="E8430" s="1" t="s">
        <v>16810</v>
      </c>
      <c r="F8430" s="1" t="s">
        <v>13</v>
      </c>
    </row>
    <row r="8431" spans="1:6" ht="30" customHeight="1" x14ac:dyDescent="0.25">
      <c r="A8431" s="1" t="s">
        <v>16811</v>
      </c>
      <c r="B8431" s="1" t="str">
        <f>"9781469876207"</f>
        <v>9781469876207</v>
      </c>
      <c r="C8431" s="1" t="s">
        <v>16613</v>
      </c>
      <c r="D8431" s="2">
        <v>38644</v>
      </c>
      <c r="E8431" s="1" t="s">
        <v>16812</v>
      </c>
      <c r="F8431" s="1" t="s">
        <v>16813</v>
      </c>
    </row>
    <row r="8432" spans="1:6" ht="30" customHeight="1" x14ac:dyDescent="0.25">
      <c r="A8432" s="1" t="s">
        <v>16814</v>
      </c>
      <c r="B8432" s="1" t="str">
        <f>"9781469879994"</f>
        <v>9781469879994</v>
      </c>
      <c r="C8432" s="1" t="s">
        <v>16613</v>
      </c>
      <c r="D8432" s="2">
        <v>38608</v>
      </c>
      <c r="E8432" s="1" t="s">
        <v>16815</v>
      </c>
      <c r="F8432" s="1" t="s">
        <v>13</v>
      </c>
    </row>
    <row r="8433" spans="1:6" ht="30" customHeight="1" x14ac:dyDescent="0.25">
      <c r="A8433" s="1" t="s">
        <v>16816</v>
      </c>
      <c r="B8433" s="1" t="str">
        <f>"9781469874968"</f>
        <v>9781469874968</v>
      </c>
      <c r="C8433" s="1" t="s">
        <v>16613</v>
      </c>
      <c r="D8433" s="2">
        <v>38644</v>
      </c>
      <c r="E8433" s="1" t="s">
        <v>16817</v>
      </c>
      <c r="F8433" s="1" t="s">
        <v>13</v>
      </c>
    </row>
    <row r="8434" spans="1:6" ht="30" customHeight="1" x14ac:dyDescent="0.25">
      <c r="A8434" s="1" t="s">
        <v>16818</v>
      </c>
      <c r="B8434" s="1" t="str">
        <f>"9781469877570"</f>
        <v>9781469877570</v>
      </c>
      <c r="C8434" s="1" t="s">
        <v>16613</v>
      </c>
      <c r="D8434" s="2">
        <v>38608</v>
      </c>
      <c r="E8434" s="1" t="s">
        <v>16819</v>
      </c>
      <c r="F8434" s="1" t="s">
        <v>599</v>
      </c>
    </row>
    <row r="8435" spans="1:6" ht="30" customHeight="1" x14ac:dyDescent="0.25">
      <c r="A8435" s="1" t="s">
        <v>16820</v>
      </c>
      <c r="B8435" s="1" t="str">
        <f>"9781451165104"</f>
        <v>9781451165104</v>
      </c>
      <c r="C8435" s="1" t="s">
        <v>16613</v>
      </c>
      <c r="D8435" s="2">
        <v>38565</v>
      </c>
      <c r="E8435" s="1" t="s">
        <v>16821</v>
      </c>
      <c r="F8435" s="1" t="s">
        <v>13</v>
      </c>
    </row>
    <row r="8436" spans="1:6" ht="30" customHeight="1" x14ac:dyDescent="0.25">
      <c r="A8436" s="1" t="s">
        <v>16822</v>
      </c>
      <c r="B8436" s="1" t="str">
        <f>"9781469876924"</f>
        <v>9781469876924</v>
      </c>
      <c r="C8436" s="1" t="s">
        <v>16613</v>
      </c>
      <c r="D8436" s="2">
        <v>38565</v>
      </c>
      <c r="E8436" s="1" t="s">
        <v>16823</v>
      </c>
      <c r="F8436" s="1" t="s">
        <v>176</v>
      </c>
    </row>
    <row r="8437" spans="1:6" ht="30" customHeight="1" x14ac:dyDescent="0.25">
      <c r="A8437" s="1" t="s">
        <v>16824</v>
      </c>
      <c r="B8437" s="1" t="str">
        <f>"9781469878140"</f>
        <v>9781469878140</v>
      </c>
      <c r="C8437" s="1" t="s">
        <v>16613</v>
      </c>
      <c r="D8437" s="2">
        <v>38491</v>
      </c>
      <c r="E8437" s="1" t="s">
        <v>16825</v>
      </c>
      <c r="F8437" s="1" t="s">
        <v>13</v>
      </c>
    </row>
    <row r="8438" spans="1:6" ht="30" customHeight="1" x14ac:dyDescent="0.25">
      <c r="A8438" s="1" t="s">
        <v>16826</v>
      </c>
      <c r="B8438" s="1" t="str">
        <f>"9781469875637"</f>
        <v>9781469875637</v>
      </c>
      <c r="C8438" s="1" t="s">
        <v>16613</v>
      </c>
      <c r="D8438" s="2">
        <v>38608</v>
      </c>
      <c r="E8438" s="1" t="s">
        <v>16827</v>
      </c>
      <c r="F8438" s="1" t="s">
        <v>13</v>
      </c>
    </row>
    <row r="8439" spans="1:6" ht="30" customHeight="1" x14ac:dyDescent="0.25">
      <c r="A8439" s="1" t="s">
        <v>16828</v>
      </c>
      <c r="B8439" s="1" t="str">
        <f>"9781469878249"</f>
        <v>9781469878249</v>
      </c>
      <c r="C8439" s="1" t="s">
        <v>16613</v>
      </c>
      <c r="D8439" s="2">
        <v>38482</v>
      </c>
      <c r="E8439" s="1" t="s">
        <v>16829</v>
      </c>
      <c r="F8439" s="1" t="s">
        <v>13</v>
      </c>
    </row>
    <row r="8440" spans="1:6" ht="30" customHeight="1" x14ac:dyDescent="0.25">
      <c r="A8440" s="1" t="s">
        <v>16830</v>
      </c>
      <c r="B8440" s="1" t="str">
        <f>"9781469878225"</f>
        <v>9781469878225</v>
      </c>
      <c r="C8440" s="1" t="s">
        <v>16613</v>
      </c>
      <c r="D8440" s="2">
        <v>38626</v>
      </c>
      <c r="E8440" s="1" t="s">
        <v>16831</v>
      </c>
      <c r="F8440" s="1" t="s">
        <v>356</v>
      </c>
    </row>
    <row r="8441" spans="1:6" ht="30" customHeight="1" x14ac:dyDescent="0.25">
      <c r="A8441" s="1" t="s">
        <v>16832</v>
      </c>
      <c r="B8441" s="1" t="str">
        <f>"9781469880129"</f>
        <v>9781469880129</v>
      </c>
      <c r="C8441" s="1" t="s">
        <v>16613</v>
      </c>
      <c r="D8441" s="2">
        <v>38608</v>
      </c>
      <c r="E8441" s="1" t="s">
        <v>16833</v>
      </c>
      <c r="F8441" s="1" t="s">
        <v>13</v>
      </c>
    </row>
    <row r="8442" spans="1:6" ht="30" customHeight="1" x14ac:dyDescent="0.25">
      <c r="A8442" s="1" t="s">
        <v>16834</v>
      </c>
      <c r="B8442" s="1" t="str">
        <f>"9781469878232"</f>
        <v>9781469878232</v>
      </c>
      <c r="C8442" s="1" t="s">
        <v>16613</v>
      </c>
      <c r="D8442" s="2">
        <v>38608</v>
      </c>
      <c r="E8442" s="1" t="s">
        <v>16835</v>
      </c>
      <c r="F8442" s="1" t="s">
        <v>13</v>
      </c>
    </row>
    <row r="8443" spans="1:6" ht="30" customHeight="1" x14ac:dyDescent="0.25">
      <c r="A8443" s="1" t="s">
        <v>16836</v>
      </c>
      <c r="B8443" s="1" t="str">
        <f>"9781469877365"</f>
        <v>9781469877365</v>
      </c>
      <c r="C8443" s="1" t="s">
        <v>16613</v>
      </c>
      <c r="D8443" s="2">
        <v>38432</v>
      </c>
      <c r="E8443" s="1" t="s">
        <v>16837</v>
      </c>
      <c r="F8443" s="1" t="s">
        <v>13</v>
      </c>
    </row>
    <row r="8444" spans="1:6" ht="30" customHeight="1" x14ac:dyDescent="0.25">
      <c r="A8444" s="1" t="s">
        <v>16838</v>
      </c>
      <c r="B8444" s="1" t="str">
        <f>"9781469875019"</f>
        <v>9781469875019</v>
      </c>
      <c r="C8444" s="1" t="s">
        <v>16613</v>
      </c>
      <c r="D8444" s="2">
        <v>38615</v>
      </c>
      <c r="E8444" s="1" t="s">
        <v>16839</v>
      </c>
      <c r="F8444" s="1" t="s">
        <v>438</v>
      </c>
    </row>
    <row r="8445" spans="1:6" ht="30" customHeight="1" x14ac:dyDescent="0.25">
      <c r="A8445" s="1" t="s">
        <v>16840</v>
      </c>
      <c r="B8445" s="1" t="str">
        <f>"9781469877396"</f>
        <v>9781469877396</v>
      </c>
      <c r="C8445" s="1" t="s">
        <v>16613</v>
      </c>
      <c r="D8445" s="2">
        <v>38419</v>
      </c>
      <c r="E8445" s="1" t="s">
        <v>16841</v>
      </c>
      <c r="F8445" s="1" t="s">
        <v>6200</v>
      </c>
    </row>
    <row r="8446" spans="1:6" ht="30" customHeight="1" x14ac:dyDescent="0.25">
      <c r="A8446" s="1" t="s">
        <v>16842</v>
      </c>
      <c r="B8446" s="1" t="str">
        <f>"9781469875859"</f>
        <v>9781469875859</v>
      </c>
      <c r="C8446" s="1" t="s">
        <v>16613</v>
      </c>
      <c r="D8446" s="2">
        <v>38484</v>
      </c>
      <c r="E8446" s="1" t="s">
        <v>16843</v>
      </c>
      <c r="F8446" s="1" t="s">
        <v>13</v>
      </c>
    </row>
    <row r="8447" spans="1:6" ht="30" customHeight="1" x14ac:dyDescent="0.25">
      <c r="A8447" s="1" t="s">
        <v>16844</v>
      </c>
      <c r="B8447" s="1" t="str">
        <f>"9781469876139"</f>
        <v>9781469876139</v>
      </c>
      <c r="C8447" s="1" t="s">
        <v>16613</v>
      </c>
      <c r="D8447" s="2">
        <v>38448</v>
      </c>
      <c r="E8447" s="1" t="s">
        <v>16845</v>
      </c>
      <c r="F8447" s="1" t="s">
        <v>13</v>
      </c>
    </row>
    <row r="8448" spans="1:6" ht="30" customHeight="1" x14ac:dyDescent="0.25">
      <c r="A8448" s="1" t="s">
        <v>16846</v>
      </c>
      <c r="B8448" s="1" t="str">
        <f>"9781469878317"</f>
        <v>9781469878317</v>
      </c>
      <c r="C8448" s="1" t="s">
        <v>16613</v>
      </c>
      <c r="D8448" s="2">
        <v>38644</v>
      </c>
      <c r="E8448" s="1" t="s">
        <v>16847</v>
      </c>
      <c r="F8448" s="1" t="s">
        <v>13</v>
      </c>
    </row>
    <row r="8449" spans="1:6" ht="30" customHeight="1" x14ac:dyDescent="0.25">
      <c r="A8449" s="1" t="s">
        <v>16848</v>
      </c>
      <c r="B8449" s="1" t="str">
        <f>"9781469878201"</f>
        <v>9781469878201</v>
      </c>
      <c r="C8449" s="1" t="s">
        <v>16613</v>
      </c>
      <c r="D8449" s="2">
        <v>38407</v>
      </c>
      <c r="E8449" s="1" t="s">
        <v>16849</v>
      </c>
      <c r="F8449" s="1" t="s">
        <v>13</v>
      </c>
    </row>
    <row r="8450" spans="1:6" ht="30" customHeight="1" x14ac:dyDescent="0.25">
      <c r="A8450" s="1" t="s">
        <v>16850</v>
      </c>
      <c r="B8450" s="1" t="str">
        <f>"9781469876498"</f>
        <v>9781469876498</v>
      </c>
      <c r="C8450" s="1" t="s">
        <v>16613</v>
      </c>
      <c r="D8450" s="2">
        <v>38498</v>
      </c>
      <c r="E8450" s="1" t="s">
        <v>16851</v>
      </c>
      <c r="F8450" s="1" t="s">
        <v>13</v>
      </c>
    </row>
    <row r="8451" spans="1:6" ht="30" customHeight="1" x14ac:dyDescent="0.25">
      <c r="A8451" s="1" t="s">
        <v>16852</v>
      </c>
      <c r="B8451" s="1" t="str">
        <f>"9781469875682"</f>
        <v>9781469875682</v>
      </c>
      <c r="C8451" s="1" t="s">
        <v>16613</v>
      </c>
      <c r="D8451" s="2">
        <v>38470</v>
      </c>
      <c r="E8451" s="1" t="s">
        <v>16853</v>
      </c>
      <c r="F8451" s="1" t="s">
        <v>13</v>
      </c>
    </row>
    <row r="8452" spans="1:6" ht="30" customHeight="1" x14ac:dyDescent="0.25">
      <c r="A8452" s="1" t="s">
        <v>16854</v>
      </c>
      <c r="B8452" s="1" t="str">
        <f>"9781469876450"</f>
        <v>9781469876450</v>
      </c>
      <c r="C8452" s="1" t="s">
        <v>16613</v>
      </c>
      <c r="D8452" s="2">
        <v>38632</v>
      </c>
      <c r="E8452" s="1" t="s">
        <v>16855</v>
      </c>
      <c r="F8452" s="1" t="s">
        <v>13</v>
      </c>
    </row>
    <row r="8453" spans="1:6" ht="30" customHeight="1" x14ac:dyDescent="0.25">
      <c r="A8453" s="1" t="s">
        <v>16856</v>
      </c>
      <c r="B8453" s="1" t="str">
        <f>"9781451168457"</f>
        <v>9781451168457</v>
      </c>
      <c r="C8453" s="1" t="s">
        <v>16613</v>
      </c>
      <c r="D8453" s="2">
        <v>38523</v>
      </c>
      <c r="E8453" s="1" t="s">
        <v>16764</v>
      </c>
      <c r="F8453" s="1" t="s">
        <v>234</v>
      </c>
    </row>
    <row r="8454" spans="1:6" ht="30" customHeight="1" x14ac:dyDescent="0.25">
      <c r="A8454" s="1" t="s">
        <v>16857</v>
      </c>
      <c r="B8454" s="1" t="str">
        <f>"9781469875774"</f>
        <v>9781469875774</v>
      </c>
      <c r="C8454" s="1" t="s">
        <v>16613</v>
      </c>
      <c r="D8454" s="2">
        <v>38119</v>
      </c>
      <c r="E8454" s="1" t="s">
        <v>16858</v>
      </c>
      <c r="F8454" s="1" t="s">
        <v>13</v>
      </c>
    </row>
    <row r="8455" spans="1:6" ht="30" customHeight="1" x14ac:dyDescent="0.25">
      <c r="A8455" s="1" t="s">
        <v>16859</v>
      </c>
      <c r="B8455" s="1" t="str">
        <f>"9781469881010"</f>
        <v>9781469881010</v>
      </c>
      <c r="C8455" s="1" t="s">
        <v>16613</v>
      </c>
      <c r="D8455" s="2">
        <v>38013</v>
      </c>
      <c r="E8455" s="1" t="s">
        <v>16860</v>
      </c>
      <c r="F8455" s="1" t="s">
        <v>126</v>
      </c>
    </row>
    <row r="8456" spans="1:6" ht="30" customHeight="1" x14ac:dyDescent="0.25">
      <c r="A8456" s="1" t="s">
        <v>16861</v>
      </c>
      <c r="B8456" s="1" t="str">
        <f>"9781469878331"</f>
        <v>9781469878331</v>
      </c>
      <c r="C8456" s="1" t="s">
        <v>16613</v>
      </c>
      <c r="D8456" s="2">
        <v>38231</v>
      </c>
      <c r="E8456" s="1" t="s">
        <v>16862</v>
      </c>
      <c r="F8456" s="1" t="s">
        <v>13</v>
      </c>
    </row>
    <row r="8457" spans="1:6" ht="30" customHeight="1" x14ac:dyDescent="0.25">
      <c r="A8457" s="1" t="s">
        <v>16863</v>
      </c>
      <c r="B8457" s="1" t="str">
        <f>"9781469879970"</f>
        <v>9781469879970</v>
      </c>
      <c r="C8457" s="1" t="s">
        <v>16613</v>
      </c>
      <c r="D8457" s="2">
        <v>38259</v>
      </c>
      <c r="E8457" s="1" t="s">
        <v>16864</v>
      </c>
      <c r="F8457" s="1" t="s">
        <v>13</v>
      </c>
    </row>
    <row r="8458" spans="1:6" ht="30" customHeight="1" x14ac:dyDescent="0.25">
      <c r="A8458" s="1" t="s">
        <v>16865</v>
      </c>
      <c r="B8458" s="1" t="str">
        <f>"9781469877198"</f>
        <v>9781469877198</v>
      </c>
      <c r="C8458" s="1" t="s">
        <v>16613</v>
      </c>
      <c r="D8458" s="2">
        <v>38056</v>
      </c>
      <c r="E8458" s="1" t="s">
        <v>16866</v>
      </c>
      <c r="F8458" s="1" t="s">
        <v>13</v>
      </c>
    </row>
    <row r="8459" spans="1:6" ht="30" customHeight="1" x14ac:dyDescent="0.25">
      <c r="A8459" s="1" t="s">
        <v>16867</v>
      </c>
      <c r="B8459" s="1" t="str">
        <f>"9781469877792"</f>
        <v>9781469877792</v>
      </c>
      <c r="C8459" s="1" t="s">
        <v>16613</v>
      </c>
      <c r="D8459" s="2">
        <v>38098</v>
      </c>
      <c r="E8459" s="1" t="s">
        <v>16868</v>
      </c>
      <c r="F8459" s="1" t="s">
        <v>176</v>
      </c>
    </row>
    <row r="8460" spans="1:6" ht="30" customHeight="1" x14ac:dyDescent="0.25">
      <c r="A8460" s="1" t="s">
        <v>16869</v>
      </c>
      <c r="B8460" s="1" t="str">
        <f>"9781469877389"</f>
        <v>9781469877389</v>
      </c>
      <c r="C8460" s="1" t="s">
        <v>16613</v>
      </c>
      <c r="D8460" s="2">
        <v>38239</v>
      </c>
      <c r="E8460" s="1" t="s">
        <v>16870</v>
      </c>
      <c r="F8460" s="1" t="s">
        <v>13</v>
      </c>
    </row>
    <row r="8461" spans="1:6" ht="30" customHeight="1" x14ac:dyDescent="0.25">
      <c r="A8461" s="1" t="s">
        <v>16871</v>
      </c>
      <c r="B8461" s="1" t="str">
        <f>"9781469875804"</f>
        <v>9781469875804</v>
      </c>
      <c r="C8461" s="1" t="s">
        <v>16613</v>
      </c>
      <c r="D8461" s="2">
        <v>38342</v>
      </c>
      <c r="E8461" s="1" t="s">
        <v>16872</v>
      </c>
      <c r="F8461" s="1" t="s">
        <v>13</v>
      </c>
    </row>
    <row r="8462" spans="1:6" ht="30" customHeight="1" x14ac:dyDescent="0.25">
      <c r="A8462" s="1" t="s">
        <v>16873</v>
      </c>
      <c r="B8462" s="1" t="str">
        <f>"9781469874425"</f>
        <v>9781469874425</v>
      </c>
      <c r="C8462" s="1" t="s">
        <v>16613</v>
      </c>
      <c r="D8462" s="2">
        <v>38299</v>
      </c>
      <c r="E8462" s="1" t="s">
        <v>16874</v>
      </c>
      <c r="F8462" s="1" t="s">
        <v>13</v>
      </c>
    </row>
    <row r="8463" spans="1:6" ht="30" customHeight="1" x14ac:dyDescent="0.25">
      <c r="A8463" s="1" t="s">
        <v>16875</v>
      </c>
      <c r="B8463" s="1" t="str">
        <f>"9781469875446"</f>
        <v>9781469875446</v>
      </c>
      <c r="C8463" s="1" t="s">
        <v>16613</v>
      </c>
      <c r="D8463" s="2">
        <v>38243</v>
      </c>
      <c r="E8463" s="1" t="s">
        <v>16876</v>
      </c>
      <c r="F8463" s="1" t="s">
        <v>13</v>
      </c>
    </row>
    <row r="8464" spans="1:6" ht="30" customHeight="1" x14ac:dyDescent="0.25">
      <c r="A8464" s="1" t="s">
        <v>16877</v>
      </c>
      <c r="B8464" s="1" t="str">
        <f>"9781451166590"</f>
        <v>9781451166590</v>
      </c>
      <c r="C8464" s="1" t="s">
        <v>16613</v>
      </c>
      <c r="D8464" s="2">
        <v>38161</v>
      </c>
      <c r="E8464" s="1" t="s">
        <v>16878</v>
      </c>
      <c r="F8464" s="1" t="s">
        <v>13</v>
      </c>
    </row>
    <row r="8465" spans="1:6" ht="30" customHeight="1" x14ac:dyDescent="0.25">
      <c r="A8465" s="1" t="s">
        <v>16879</v>
      </c>
      <c r="B8465" s="1" t="str">
        <f>"9781469877808"</f>
        <v>9781469877808</v>
      </c>
      <c r="C8465" s="1" t="s">
        <v>16613</v>
      </c>
      <c r="D8465" s="2">
        <v>38306</v>
      </c>
      <c r="E8465" s="1" t="s">
        <v>16880</v>
      </c>
      <c r="F8465" s="1" t="s">
        <v>13</v>
      </c>
    </row>
    <row r="8466" spans="1:6" ht="30" customHeight="1" x14ac:dyDescent="0.25">
      <c r="A8466" s="1" t="s">
        <v>16881</v>
      </c>
      <c r="B8466" s="1" t="str">
        <f>"9781469878188"</f>
        <v>9781469878188</v>
      </c>
      <c r="C8466" s="1" t="s">
        <v>16613</v>
      </c>
      <c r="D8466" s="2">
        <v>38070</v>
      </c>
      <c r="E8466" s="1" t="s">
        <v>16882</v>
      </c>
      <c r="F8466" s="1" t="s">
        <v>13</v>
      </c>
    </row>
    <row r="8467" spans="1:6" ht="30" customHeight="1" x14ac:dyDescent="0.25">
      <c r="A8467" s="1" t="s">
        <v>16883</v>
      </c>
      <c r="B8467" s="1" t="str">
        <f>"9781469876474"</f>
        <v>9781469876474</v>
      </c>
      <c r="C8467" s="1" t="s">
        <v>16613</v>
      </c>
      <c r="D8467" s="2">
        <v>38215</v>
      </c>
      <c r="E8467" s="1" t="s">
        <v>16884</v>
      </c>
      <c r="F8467" s="1" t="s">
        <v>13</v>
      </c>
    </row>
    <row r="8468" spans="1:6" ht="30" customHeight="1" x14ac:dyDescent="0.25">
      <c r="A8468" s="1" t="s">
        <v>16885</v>
      </c>
      <c r="B8468" s="1" t="str">
        <f>"9781469877327"</f>
        <v>9781469877327</v>
      </c>
      <c r="C8468" s="1" t="s">
        <v>16613</v>
      </c>
      <c r="D8468" s="2">
        <v>38068</v>
      </c>
      <c r="E8468" s="1" t="s">
        <v>16886</v>
      </c>
      <c r="F8468" s="1" t="s">
        <v>13</v>
      </c>
    </row>
    <row r="8469" spans="1:6" ht="30" customHeight="1" x14ac:dyDescent="0.25">
      <c r="A8469" s="1" t="s">
        <v>16887</v>
      </c>
      <c r="B8469" s="1" t="str">
        <f>"9781469875439"</f>
        <v>9781469875439</v>
      </c>
      <c r="C8469" s="1" t="s">
        <v>16613</v>
      </c>
      <c r="D8469" s="2">
        <v>38169</v>
      </c>
      <c r="E8469" s="1" t="s">
        <v>16888</v>
      </c>
      <c r="F8469" s="1" t="s">
        <v>13</v>
      </c>
    </row>
    <row r="8470" spans="1:6" ht="30" customHeight="1" x14ac:dyDescent="0.25">
      <c r="A8470" s="1" t="s">
        <v>16889</v>
      </c>
      <c r="B8470" s="1" t="str">
        <f>"9781451167603"</f>
        <v>9781451167603</v>
      </c>
      <c r="C8470" s="1" t="s">
        <v>16613</v>
      </c>
      <c r="D8470" s="2">
        <v>38166</v>
      </c>
      <c r="E8470" s="1" t="s">
        <v>16890</v>
      </c>
      <c r="F8470" s="1" t="s">
        <v>268</v>
      </c>
    </row>
    <row r="8471" spans="1:6" ht="30" customHeight="1" x14ac:dyDescent="0.25">
      <c r="A8471" s="1" t="s">
        <v>16891</v>
      </c>
      <c r="B8471" s="1" t="str">
        <f>"9781469885858"</f>
        <v>9781469885858</v>
      </c>
      <c r="C8471" s="1" t="s">
        <v>16613</v>
      </c>
      <c r="D8471" s="2">
        <v>38349</v>
      </c>
      <c r="E8471" s="1" t="s">
        <v>16778</v>
      </c>
      <c r="F8471" s="1" t="s">
        <v>13</v>
      </c>
    </row>
    <row r="8472" spans="1:6" ht="30" customHeight="1" x14ac:dyDescent="0.25">
      <c r="A8472" s="1" t="s">
        <v>16892</v>
      </c>
      <c r="B8472" s="1" t="str">
        <f>"9781469885827"</f>
        <v>9781469885827</v>
      </c>
      <c r="C8472" s="1" t="s">
        <v>16613</v>
      </c>
      <c r="D8472" s="2">
        <v>38112</v>
      </c>
      <c r="E8472" s="1" t="s">
        <v>16778</v>
      </c>
      <c r="F8472" s="1" t="s">
        <v>234</v>
      </c>
    </row>
    <row r="8473" spans="1:6" ht="30" customHeight="1" x14ac:dyDescent="0.25">
      <c r="A8473" s="1" t="s">
        <v>16893</v>
      </c>
      <c r="B8473" s="1" t="str">
        <f>"9781469885780"</f>
        <v>9781469885780</v>
      </c>
      <c r="C8473" s="1" t="s">
        <v>16613</v>
      </c>
      <c r="D8473" s="2">
        <v>38040</v>
      </c>
      <c r="E8473" s="1" t="s">
        <v>16778</v>
      </c>
      <c r="F8473" s="1" t="s">
        <v>13</v>
      </c>
    </row>
    <row r="8474" spans="1:6" ht="30" customHeight="1" x14ac:dyDescent="0.25">
      <c r="A8474" s="1" t="s">
        <v>16894</v>
      </c>
      <c r="B8474" s="1" t="str">
        <f>"9781469885766"</f>
        <v>9781469885766</v>
      </c>
      <c r="C8474" s="1" t="s">
        <v>16613</v>
      </c>
      <c r="D8474" s="2">
        <v>38034</v>
      </c>
      <c r="E8474" s="1" t="s">
        <v>16778</v>
      </c>
      <c r="F8474" s="1" t="s">
        <v>30</v>
      </c>
    </row>
    <row r="8475" spans="1:6" ht="30" customHeight="1" x14ac:dyDescent="0.25">
      <c r="A8475" s="1" t="s">
        <v>16895</v>
      </c>
      <c r="B8475" s="1" t="str">
        <f>"9781469885810"</f>
        <v>9781469885810</v>
      </c>
      <c r="C8475" s="1" t="s">
        <v>16613</v>
      </c>
      <c r="D8475" s="2">
        <v>38062</v>
      </c>
      <c r="E8475" s="1" t="s">
        <v>16778</v>
      </c>
      <c r="F8475" s="1" t="s">
        <v>137</v>
      </c>
    </row>
    <row r="8476" spans="1:6" ht="30" customHeight="1" x14ac:dyDescent="0.25">
      <c r="A8476" s="1" t="s">
        <v>16896</v>
      </c>
      <c r="B8476" s="1" t="str">
        <f>"9781469885803"</f>
        <v>9781469885803</v>
      </c>
      <c r="C8476" s="1" t="s">
        <v>16613</v>
      </c>
      <c r="D8476" s="2">
        <v>38050</v>
      </c>
      <c r="E8476" s="1" t="s">
        <v>16778</v>
      </c>
      <c r="F8476" s="1" t="s">
        <v>234</v>
      </c>
    </row>
    <row r="8477" spans="1:6" ht="30" customHeight="1" x14ac:dyDescent="0.25">
      <c r="A8477" s="1" t="s">
        <v>16897</v>
      </c>
      <c r="B8477" s="1" t="str">
        <f>"9781469885841"</f>
        <v>9781469885841</v>
      </c>
      <c r="C8477" s="1" t="s">
        <v>16613</v>
      </c>
      <c r="D8477" s="2">
        <v>38306</v>
      </c>
      <c r="E8477" s="1" t="s">
        <v>16898</v>
      </c>
      <c r="F8477" s="1" t="s">
        <v>13</v>
      </c>
    </row>
    <row r="8478" spans="1:6" ht="30" customHeight="1" x14ac:dyDescent="0.25">
      <c r="A8478" s="1" t="s">
        <v>16899</v>
      </c>
      <c r="B8478" s="1" t="str">
        <f>"9781469885797"</f>
        <v>9781469885797</v>
      </c>
      <c r="C8478" s="1" t="s">
        <v>16613</v>
      </c>
      <c r="D8478" s="2">
        <v>38056</v>
      </c>
      <c r="E8478" s="1" t="s">
        <v>16778</v>
      </c>
      <c r="F8478" s="1" t="s">
        <v>13</v>
      </c>
    </row>
    <row r="8479" spans="1:6" ht="30" customHeight="1" x14ac:dyDescent="0.25">
      <c r="A8479" s="1" t="s">
        <v>16900</v>
      </c>
      <c r="B8479" s="1" t="str">
        <f>"9781469875606"</f>
        <v>9781469875606</v>
      </c>
      <c r="C8479" s="1" t="s">
        <v>16613</v>
      </c>
      <c r="D8479" s="2">
        <v>38139</v>
      </c>
      <c r="E8479" s="1" t="s">
        <v>16901</v>
      </c>
      <c r="F8479" s="1" t="s">
        <v>13</v>
      </c>
    </row>
    <row r="8480" spans="1:6" ht="30" customHeight="1" x14ac:dyDescent="0.25">
      <c r="A8480" s="1" t="s">
        <v>16902</v>
      </c>
      <c r="B8480" s="1" t="str">
        <f>"9781469880419"</f>
        <v>9781469880419</v>
      </c>
      <c r="C8480" s="1" t="s">
        <v>16613</v>
      </c>
      <c r="D8480" s="2">
        <v>38047</v>
      </c>
      <c r="E8480" s="1" t="s">
        <v>16903</v>
      </c>
      <c r="F8480" s="1" t="s">
        <v>13</v>
      </c>
    </row>
    <row r="8481" spans="1:6" ht="30" customHeight="1" x14ac:dyDescent="0.25">
      <c r="A8481" s="1" t="s">
        <v>16904</v>
      </c>
      <c r="B8481" s="1" t="str">
        <f>"9781469874593"</f>
        <v>9781469874593</v>
      </c>
      <c r="C8481" s="1" t="s">
        <v>16613</v>
      </c>
      <c r="D8481" s="2">
        <v>38251</v>
      </c>
      <c r="E8481" s="1" t="s">
        <v>16905</v>
      </c>
      <c r="F8481" s="1" t="s">
        <v>13</v>
      </c>
    </row>
    <row r="8482" spans="1:6" ht="30" customHeight="1" x14ac:dyDescent="0.25">
      <c r="A8482" s="1" t="s">
        <v>16906</v>
      </c>
      <c r="B8482" s="1" t="str">
        <f>"9781469876177"</f>
        <v>9781469876177</v>
      </c>
      <c r="C8482" s="1" t="s">
        <v>16613</v>
      </c>
      <c r="D8482" s="2">
        <v>38285</v>
      </c>
      <c r="E8482" s="1" t="s">
        <v>16907</v>
      </c>
      <c r="F8482" s="1" t="s">
        <v>13</v>
      </c>
    </row>
    <row r="8483" spans="1:6" ht="30" customHeight="1" x14ac:dyDescent="0.25">
      <c r="A8483" s="1" t="s">
        <v>16908</v>
      </c>
      <c r="B8483" s="1" t="str">
        <f>"9781469875293"</f>
        <v>9781469875293</v>
      </c>
      <c r="C8483" s="1" t="s">
        <v>16613</v>
      </c>
      <c r="D8483" s="2">
        <v>38285</v>
      </c>
      <c r="E8483" s="1" t="s">
        <v>16909</v>
      </c>
      <c r="F8483" s="1" t="s">
        <v>13</v>
      </c>
    </row>
    <row r="8484" spans="1:6" ht="30" customHeight="1" x14ac:dyDescent="0.25">
      <c r="A8484" s="1" t="s">
        <v>16910</v>
      </c>
      <c r="B8484" s="1" t="str">
        <f>"9781469878867"</f>
        <v>9781469878867</v>
      </c>
      <c r="C8484" s="1" t="s">
        <v>16613</v>
      </c>
      <c r="D8484" s="2">
        <v>38251</v>
      </c>
      <c r="E8484" s="1" t="s">
        <v>16911</v>
      </c>
      <c r="F8484" s="1" t="s">
        <v>13</v>
      </c>
    </row>
    <row r="8485" spans="1:6" ht="30" customHeight="1" x14ac:dyDescent="0.25">
      <c r="A8485" s="1" t="s">
        <v>16912</v>
      </c>
      <c r="B8485" s="1" t="str">
        <f>"9781469875415"</f>
        <v>9781469875415</v>
      </c>
      <c r="C8485" s="1" t="s">
        <v>16613</v>
      </c>
      <c r="D8485" s="2">
        <v>38267</v>
      </c>
      <c r="E8485" s="1" t="s">
        <v>16913</v>
      </c>
      <c r="F8485" s="1" t="s">
        <v>13</v>
      </c>
    </row>
    <row r="8486" spans="1:6" ht="30" customHeight="1" x14ac:dyDescent="0.25">
      <c r="A8486" s="1" t="s">
        <v>14531</v>
      </c>
      <c r="B8486" s="1" t="str">
        <f>"9781469876115"</f>
        <v>9781469876115</v>
      </c>
      <c r="C8486" s="1" t="s">
        <v>16613</v>
      </c>
      <c r="D8486" s="2">
        <v>38161</v>
      </c>
      <c r="E8486" s="1" t="s">
        <v>16914</v>
      </c>
      <c r="F8486" s="1" t="s">
        <v>13</v>
      </c>
    </row>
    <row r="8487" spans="1:6" ht="30" customHeight="1" x14ac:dyDescent="0.25">
      <c r="A8487" s="1" t="s">
        <v>16915</v>
      </c>
      <c r="B8487" s="1" t="str">
        <f>"9781469876740"</f>
        <v>9781469876740</v>
      </c>
      <c r="C8487" s="1" t="s">
        <v>16613</v>
      </c>
      <c r="D8487" s="2">
        <v>38146</v>
      </c>
      <c r="E8487" s="1" t="s">
        <v>16916</v>
      </c>
      <c r="F8487" s="1" t="s">
        <v>13</v>
      </c>
    </row>
    <row r="8488" spans="1:6" ht="30" customHeight="1" x14ac:dyDescent="0.25">
      <c r="A8488" s="1" t="s">
        <v>16917</v>
      </c>
      <c r="B8488" s="1" t="str">
        <f>"9781469876191"</f>
        <v>9781469876191</v>
      </c>
      <c r="C8488" s="1" t="s">
        <v>16613</v>
      </c>
      <c r="D8488" s="2">
        <v>38328</v>
      </c>
      <c r="E8488" s="1" t="s">
        <v>16918</v>
      </c>
      <c r="F8488" s="1" t="s">
        <v>13</v>
      </c>
    </row>
    <row r="8489" spans="1:6" ht="30" customHeight="1" x14ac:dyDescent="0.25">
      <c r="A8489" s="1" t="s">
        <v>16919</v>
      </c>
      <c r="B8489" s="1" t="str">
        <f>"9781451166583"</f>
        <v>9781451166583</v>
      </c>
      <c r="C8489" s="1" t="s">
        <v>16613</v>
      </c>
      <c r="D8489" s="2">
        <v>38190</v>
      </c>
      <c r="E8489" s="1" t="s">
        <v>16920</v>
      </c>
      <c r="F8489" s="1" t="s">
        <v>13</v>
      </c>
    </row>
    <row r="8490" spans="1:6" ht="30" customHeight="1" x14ac:dyDescent="0.25">
      <c r="A8490" s="1" t="s">
        <v>16921</v>
      </c>
      <c r="B8490" s="1" t="str">
        <f>"9781469878126"</f>
        <v>9781469878126</v>
      </c>
      <c r="C8490" s="1" t="s">
        <v>16613</v>
      </c>
      <c r="D8490" s="2">
        <v>38050</v>
      </c>
      <c r="E8490" s="1" t="s">
        <v>16922</v>
      </c>
      <c r="F8490" s="1" t="s">
        <v>13</v>
      </c>
    </row>
    <row r="8491" spans="1:6" ht="30" customHeight="1" x14ac:dyDescent="0.25">
      <c r="A8491" s="1" t="s">
        <v>16923</v>
      </c>
      <c r="B8491" s="1" t="str">
        <f>"9781469879109"</f>
        <v>9781469879109</v>
      </c>
      <c r="C8491" s="1" t="s">
        <v>16613</v>
      </c>
      <c r="D8491" s="2">
        <v>38338</v>
      </c>
      <c r="E8491" s="1" t="s">
        <v>16924</v>
      </c>
      <c r="F8491" s="1" t="s">
        <v>13</v>
      </c>
    </row>
    <row r="8492" spans="1:6" ht="30" customHeight="1" x14ac:dyDescent="0.25">
      <c r="A8492" s="1" t="s">
        <v>16925</v>
      </c>
      <c r="B8492" s="1" t="str">
        <f>"9781469878492"</f>
        <v>9781469878492</v>
      </c>
      <c r="C8492" s="1" t="s">
        <v>16613</v>
      </c>
      <c r="D8492" s="2">
        <v>38299</v>
      </c>
      <c r="E8492" s="1" t="s">
        <v>16926</v>
      </c>
      <c r="F8492" s="1" t="s">
        <v>13</v>
      </c>
    </row>
    <row r="8493" spans="1:6" ht="30" customHeight="1" x14ac:dyDescent="0.25">
      <c r="A8493" s="1" t="s">
        <v>16927</v>
      </c>
      <c r="B8493" s="1" t="str">
        <f>"9781469875828"</f>
        <v>9781469875828</v>
      </c>
      <c r="C8493" s="1" t="s">
        <v>16613</v>
      </c>
      <c r="D8493" s="2">
        <v>38068</v>
      </c>
      <c r="E8493" s="1" t="s">
        <v>16928</v>
      </c>
      <c r="F8493" s="1" t="s">
        <v>13</v>
      </c>
    </row>
    <row r="8494" spans="1:6" ht="30" customHeight="1" x14ac:dyDescent="0.25">
      <c r="A8494" s="1" t="s">
        <v>16929</v>
      </c>
      <c r="B8494" s="1" t="str">
        <f>"9781451166484"</f>
        <v>9781451166484</v>
      </c>
      <c r="C8494" s="1" t="s">
        <v>16613</v>
      </c>
      <c r="D8494" s="2">
        <v>38194</v>
      </c>
      <c r="E8494" s="1" t="s">
        <v>16930</v>
      </c>
      <c r="F8494" s="1" t="s">
        <v>13</v>
      </c>
    </row>
    <row r="8495" spans="1:6" ht="30" customHeight="1" x14ac:dyDescent="0.25">
      <c r="A8495" s="1" t="s">
        <v>16931</v>
      </c>
      <c r="B8495" s="1" t="str">
        <f>"9781469875385"</f>
        <v>9781469875385</v>
      </c>
      <c r="C8495" s="1" t="s">
        <v>16613</v>
      </c>
      <c r="D8495" s="2">
        <v>38267</v>
      </c>
      <c r="E8495" s="1" t="s">
        <v>16932</v>
      </c>
      <c r="F8495" s="1" t="s">
        <v>13</v>
      </c>
    </row>
    <row r="8496" spans="1:6" ht="30" customHeight="1" x14ac:dyDescent="0.25">
      <c r="A8496" s="1" t="s">
        <v>16933</v>
      </c>
      <c r="B8496" s="1" t="str">
        <f>"9781469874302"</f>
        <v>9781469874302</v>
      </c>
      <c r="C8496" s="1" t="s">
        <v>16613</v>
      </c>
      <c r="D8496" s="2">
        <v>38267</v>
      </c>
      <c r="E8496" s="1" t="s">
        <v>16934</v>
      </c>
      <c r="F8496" s="1" t="s">
        <v>13</v>
      </c>
    </row>
    <row r="8497" spans="1:6" ht="30" customHeight="1" x14ac:dyDescent="0.25">
      <c r="A8497" s="1" t="s">
        <v>16935</v>
      </c>
      <c r="B8497" s="1" t="str">
        <f>"9781451166903"</f>
        <v>9781451166903</v>
      </c>
      <c r="C8497" s="1" t="s">
        <v>16613</v>
      </c>
      <c r="D8497" s="2">
        <v>38313</v>
      </c>
      <c r="E8497" s="1" t="s">
        <v>16936</v>
      </c>
      <c r="F8497" s="1" t="s">
        <v>13</v>
      </c>
    </row>
    <row r="8498" spans="1:6" ht="30" customHeight="1" x14ac:dyDescent="0.25">
      <c r="A8498" s="1" t="s">
        <v>16937</v>
      </c>
      <c r="B8498" s="1" t="str">
        <f>"9781469878133"</f>
        <v>9781469878133</v>
      </c>
      <c r="C8498" s="1" t="s">
        <v>16613</v>
      </c>
      <c r="D8498" s="2">
        <v>38148</v>
      </c>
      <c r="E8498" s="1" t="s">
        <v>16938</v>
      </c>
      <c r="F8498" s="1" t="s">
        <v>13</v>
      </c>
    </row>
    <row r="8499" spans="1:6" ht="30" customHeight="1" x14ac:dyDescent="0.25">
      <c r="A8499" s="1" t="s">
        <v>16939</v>
      </c>
      <c r="B8499" s="1" t="str">
        <f>"9781469880778"</f>
        <v>9781469880778</v>
      </c>
      <c r="C8499" s="1" t="s">
        <v>16613</v>
      </c>
      <c r="D8499" s="2">
        <v>38062</v>
      </c>
      <c r="E8499" s="1" t="s">
        <v>16940</v>
      </c>
      <c r="F8499" s="1" t="s">
        <v>126</v>
      </c>
    </row>
    <row r="8500" spans="1:6" ht="30" customHeight="1" x14ac:dyDescent="0.25">
      <c r="A8500" s="1" t="s">
        <v>16941</v>
      </c>
      <c r="B8500" s="1" t="str">
        <f>"9781451166569"</f>
        <v>9781451166569</v>
      </c>
      <c r="C8500" s="1" t="s">
        <v>16613</v>
      </c>
      <c r="D8500" s="2">
        <v>38268</v>
      </c>
      <c r="E8500" s="1" t="s">
        <v>16942</v>
      </c>
      <c r="F8500" s="1" t="s">
        <v>13</v>
      </c>
    </row>
    <row r="8501" spans="1:6" ht="30" customHeight="1" x14ac:dyDescent="0.25">
      <c r="A8501" s="1" t="s">
        <v>16943</v>
      </c>
      <c r="B8501" s="1" t="str">
        <f>"9781469876443"</f>
        <v>9781469876443</v>
      </c>
      <c r="C8501" s="1" t="s">
        <v>16613</v>
      </c>
      <c r="D8501" s="2">
        <v>38299</v>
      </c>
      <c r="E8501" s="1" t="s">
        <v>16944</v>
      </c>
      <c r="F8501" s="1" t="s">
        <v>13</v>
      </c>
    </row>
    <row r="8502" spans="1:6" ht="30" customHeight="1" x14ac:dyDescent="0.25">
      <c r="A8502" s="1" t="s">
        <v>16945</v>
      </c>
      <c r="B8502" s="1" t="str">
        <f>"9781469880105"</f>
        <v>9781469880105</v>
      </c>
      <c r="C8502" s="1" t="s">
        <v>16613</v>
      </c>
      <c r="D8502" s="2">
        <v>38342</v>
      </c>
      <c r="E8502" s="1" t="s">
        <v>16946</v>
      </c>
      <c r="F8502" s="1" t="s">
        <v>13</v>
      </c>
    </row>
    <row r="8503" spans="1:6" ht="30" customHeight="1" x14ac:dyDescent="0.25">
      <c r="A8503" s="1" t="s">
        <v>16947</v>
      </c>
      <c r="B8503" s="1" t="str">
        <f>"9781451166576"</f>
        <v>9781451166576</v>
      </c>
      <c r="C8503" s="1" t="s">
        <v>16613</v>
      </c>
      <c r="D8503" s="2">
        <v>38068</v>
      </c>
      <c r="E8503" s="1" t="s">
        <v>16948</v>
      </c>
      <c r="F8503" s="1" t="s">
        <v>13</v>
      </c>
    </row>
    <row r="8504" spans="1:6" ht="30" customHeight="1" x14ac:dyDescent="0.25">
      <c r="A8504" s="1" t="s">
        <v>16949</v>
      </c>
      <c r="B8504" s="1" t="str">
        <f>"9781469880082"</f>
        <v>9781469880082</v>
      </c>
      <c r="C8504" s="1" t="s">
        <v>16613</v>
      </c>
      <c r="D8504" s="2">
        <v>38069</v>
      </c>
      <c r="E8504" s="1" t="s">
        <v>16950</v>
      </c>
      <c r="F8504" s="1" t="s">
        <v>13</v>
      </c>
    </row>
    <row r="8505" spans="1:6" ht="30" customHeight="1" x14ac:dyDescent="0.25">
      <c r="A8505" s="1" t="s">
        <v>16951</v>
      </c>
      <c r="B8505" s="1" t="str">
        <f>"9781469877013"</f>
        <v>9781469877013</v>
      </c>
      <c r="C8505" s="1" t="s">
        <v>16613</v>
      </c>
      <c r="D8505" s="2">
        <v>38272</v>
      </c>
      <c r="E8505" s="1" t="s">
        <v>16952</v>
      </c>
      <c r="F8505" s="1" t="s">
        <v>148</v>
      </c>
    </row>
    <row r="8506" spans="1:6" ht="30" customHeight="1" x14ac:dyDescent="0.25">
      <c r="A8506" s="1" t="s">
        <v>16953</v>
      </c>
      <c r="B8506" s="1" t="str">
        <f>"9781469879475"</f>
        <v>9781469879475</v>
      </c>
      <c r="C8506" s="1" t="s">
        <v>16613</v>
      </c>
      <c r="D8506" s="2">
        <v>38251</v>
      </c>
      <c r="E8506" s="1" t="s">
        <v>16954</v>
      </c>
      <c r="F8506" s="1" t="s">
        <v>13</v>
      </c>
    </row>
    <row r="8507" spans="1:6" ht="30" customHeight="1" x14ac:dyDescent="0.25">
      <c r="A8507" s="1" t="s">
        <v>16955</v>
      </c>
      <c r="B8507" s="1" t="str">
        <f>"9781469876481"</f>
        <v>9781469876481</v>
      </c>
      <c r="C8507" s="1" t="s">
        <v>16613</v>
      </c>
      <c r="D8507" s="2">
        <v>38238</v>
      </c>
      <c r="E8507" s="1" t="s">
        <v>16956</v>
      </c>
      <c r="F8507" s="1" t="s">
        <v>13</v>
      </c>
    </row>
    <row r="8508" spans="1:6" ht="30" customHeight="1" x14ac:dyDescent="0.25">
      <c r="A8508" s="1" t="s">
        <v>16957</v>
      </c>
      <c r="B8508" s="1" t="str">
        <f>"9781469878096"</f>
        <v>9781469878096</v>
      </c>
      <c r="C8508" s="1" t="s">
        <v>16613</v>
      </c>
      <c r="D8508" s="2">
        <v>38342</v>
      </c>
      <c r="E8508" s="1" t="s">
        <v>16958</v>
      </c>
      <c r="F8508" s="1" t="s">
        <v>13</v>
      </c>
    </row>
    <row r="8509" spans="1:6" ht="30" customHeight="1" x14ac:dyDescent="0.25">
      <c r="A8509" s="1" t="s">
        <v>16959</v>
      </c>
      <c r="B8509" s="1" t="str">
        <f>"9781469880846"</f>
        <v>9781469880846</v>
      </c>
      <c r="C8509" s="1" t="s">
        <v>16613</v>
      </c>
      <c r="D8509" s="2">
        <v>38005</v>
      </c>
      <c r="E8509" s="1" t="s">
        <v>16960</v>
      </c>
      <c r="F8509" s="1" t="s">
        <v>16961</v>
      </c>
    </row>
    <row r="8510" spans="1:6" ht="30" customHeight="1" x14ac:dyDescent="0.25">
      <c r="A8510" s="1" t="s">
        <v>16962</v>
      </c>
      <c r="B8510" s="1" t="str">
        <f>"9781469875026"</f>
        <v>9781469875026</v>
      </c>
      <c r="C8510" s="1" t="s">
        <v>16613</v>
      </c>
      <c r="D8510" s="2">
        <v>38252</v>
      </c>
      <c r="E8510" s="1" t="s">
        <v>16963</v>
      </c>
      <c r="F8510" s="1" t="s">
        <v>13</v>
      </c>
    </row>
    <row r="8511" spans="1:6" ht="30" customHeight="1" x14ac:dyDescent="0.25">
      <c r="A8511" s="1" t="s">
        <v>16964</v>
      </c>
      <c r="B8511" s="1" t="str">
        <f>"9781469874951"</f>
        <v>9781469874951</v>
      </c>
      <c r="C8511" s="1" t="s">
        <v>16613</v>
      </c>
      <c r="D8511" s="2">
        <v>38070</v>
      </c>
      <c r="E8511" s="1" t="s">
        <v>16965</v>
      </c>
      <c r="F8511" s="1" t="s">
        <v>13</v>
      </c>
    </row>
    <row r="8512" spans="1:6" ht="30" customHeight="1" x14ac:dyDescent="0.25">
      <c r="A8512" s="1" t="s">
        <v>16966</v>
      </c>
      <c r="B8512" s="1" t="str">
        <f>"9781469878171"</f>
        <v>9781469878171</v>
      </c>
      <c r="C8512" s="1" t="s">
        <v>16613</v>
      </c>
      <c r="D8512" s="2">
        <v>38139</v>
      </c>
      <c r="E8512" s="1" t="s">
        <v>16967</v>
      </c>
      <c r="F8512" s="1" t="s">
        <v>13</v>
      </c>
    </row>
    <row r="8513" spans="1:6" ht="30" customHeight="1" x14ac:dyDescent="0.25">
      <c r="A8513" s="1" t="s">
        <v>16968</v>
      </c>
      <c r="B8513" s="1" t="str">
        <f>"9781469879048"</f>
        <v>9781469879048</v>
      </c>
      <c r="C8513" s="1" t="s">
        <v>16613</v>
      </c>
      <c r="D8513" s="2">
        <v>38264</v>
      </c>
      <c r="E8513" s="1" t="s">
        <v>16969</v>
      </c>
      <c r="F8513" s="1" t="s">
        <v>70</v>
      </c>
    </row>
    <row r="8514" spans="1:6" ht="30" customHeight="1" x14ac:dyDescent="0.25">
      <c r="A8514" s="1" t="s">
        <v>16970</v>
      </c>
      <c r="B8514" s="1" t="str">
        <f>"9781469880099"</f>
        <v>9781469880099</v>
      </c>
      <c r="C8514" s="1" t="s">
        <v>16613</v>
      </c>
      <c r="D8514" s="2">
        <v>38274</v>
      </c>
      <c r="E8514" s="1" t="s">
        <v>16971</v>
      </c>
      <c r="F8514" s="1" t="s">
        <v>13</v>
      </c>
    </row>
    <row r="8515" spans="1:6" ht="30" customHeight="1" x14ac:dyDescent="0.25">
      <c r="A8515" s="1" t="s">
        <v>16972</v>
      </c>
      <c r="B8515" s="1" t="str">
        <f>"9781469878102"</f>
        <v>9781469878102</v>
      </c>
      <c r="C8515" s="1" t="s">
        <v>16613</v>
      </c>
      <c r="D8515" s="2">
        <v>38341</v>
      </c>
      <c r="E8515" s="1" t="s">
        <v>16973</v>
      </c>
      <c r="F8515" s="1" t="s">
        <v>13</v>
      </c>
    </row>
    <row r="8516" spans="1:6" ht="30" customHeight="1" x14ac:dyDescent="0.25">
      <c r="A8516" s="1" t="s">
        <v>16974</v>
      </c>
      <c r="B8516" s="1" t="str">
        <f>"9781469875798"</f>
        <v>9781469875798</v>
      </c>
      <c r="C8516" s="1" t="s">
        <v>16613</v>
      </c>
      <c r="D8516" s="2">
        <v>38034</v>
      </c>
      <c r="E8516" s="1" t="s">
        <v>16975</v>
      </c>
      <c r="F8516" s="1" t="s">
        <v>13</v>
      </c>
    </row>
    <row r="8517" spans="1:6" ht="30" customHeight="1" x14ac:dyDescent="0.25">
      <c r="A8517" s="1" t="s">
        <v>16976</v>
      </c>
      <c r="B8517" s="1" t="str">
        <f>"9781469880051"</f>
        <v>9781469880051</v>
      </c>
      <c r="C8517" s="1" t="s">
        <v>16613</v>
      </c>
      <c r="D8517" s="2">
        <v>38238</v>
      </c>
      <c r="E8517" s="1" t="s">
        <v>16977</v>
      </c>
      <c r="F8517" s="1" t="s">
        <v>13</v>
      </c>
    </row>
    <row r="8518" spans="1:6" ht="30" customHeight="1" x14ac:dyDescent="0.25">
      <c r="A8518" s="1" t="s">
        <v>16978</v>
      </c>
      <c r="B8518" s="1" t="str">
        <f>"9781469879482"</f>
        <v>9781469879482</v>
      </c>
      <c r="C8518" s="1" t="s">
        <v>16613</v>
      </c>
      <c r="D8518" s="2">
        <v>38229</v>
      </c>
      <c r="E8518" s="1" t="s">
        <v>16979</v>
      </c>
      <c r="F8518" s="1" t="s">
        <v>13</v>
      </c>
    </row>
    <row r="8519" spans="1:6" ht="30" customHeight="1" x14ac:dyDescent="0.25">
      <c r="A8519" s="1" t="s">
        <v>16980</v>
      </c>
      <c r="B8519" s="1" t="str">
        <f>"9781469874937"</f>
        <v>9781469874937</v>
      </c>
      <c r="C8519" s="1" t="s">
        <v>16613</v>
      </c>
      <c r="D8519" s="2">
        <v>38285</v>
      </c>
      <c r="E8519" s="1" t="s">
        <v>16981</v>
      </c>
      <c r="F8519" s="1" t="s">
        <v>13</v>
      </c>
    </row>
    <row r="8520" spans="1:6" ht="30" customHeight="1" x14ac:dyDescent="0.25">
      <c r="A8520" s="1" t="s">
        <v>16982</v>
      </c>
      <c r="B8520" s="1" t="str">
        <f>"9781469877020"</f>
        <v>9781469877020</v>
      </c>
      <c r="C8520" s="1" t="s">
        <v>16613</v>
      </c>
      <c r="D8520" s="2">
        <v>38230</v>
      </c>
      <c r="E8520" s="1" t="s">
        <v>16983</v>
      </c>
      <c r="F8520" s="1" t="s">
        <v>13</v>
      </c>
    </row>
    <row r="8521" spans="1:6" ht="30" customHeight="1" x14ac:dyDescent="0.25">
      <c r="A8521" s="1" t="s">
        <v>16984</v>
      </c>
      <c r="B8521" s="1" t="str">
        <f>"9781451168082"</f>
        <v>9781451168082</v>
      </c>
      <c r="C8521" s="1" t="s">
        <v>16613</v>
      </c>
      <c r="D8521" s="2">
        <v>38166</v>
      </c>
      <c r="E8521" s="1" t="s">
        <v>16890</v>
      </c>
      <c r="F8521" s="1" t="s">
        <v>13</v>
      </c>
    </row>
    <row r="8522" spans="1:6" ht="30" customHeight="1" x14ac:dyDescent="0.25">
      <c r="A8522" s="1" t="s">
        <v>16985</v>
      </c>
      <c r="B8522" s="1" t="str">
        <f>"9781451165234"</f>
        <v>9781451165234</v>
      </c>
      <c r="C8522" s="1" t="s">
        <v>16613</v>
      </c>
      <c r="D8522" s="2">
        <v>38252</v>
      </c>
      <c r="E8522" s="1" t="s">
        <v>16986</v>
      </c>
      <c r="F8522" s="1" t="s">
        <v>13</v>
      </c>
    </row>
    <row r="8523" spans="1:6" ht="30" customHeight="1" x14ac:dyDescent="0.25">
      <c r="A8523" s="1" t="s">
        <v>16987</v>
      </c>
      <c r="B8523" s="1" t="str">
        <f>"9781451167597"</f>
        <v>9781451167597</v>
      </c>
      <c r="C8523" s="1" t="s">
        <v>16613</v>
      </c>
      <c r="D8523" s="2">
        <v>38161</v>
      </c>
      <c r="E8523" s="1" t="s">
        <v>16764</v>
      </c>
      <c r="F8523" s="1" t="s">
        <v>13</v>
      </c>
    </row>
    <row r="8524" spans="1:6" ht="30" customHeight="1" x14ac:dyDescent="0.25">
      <c r="A8524" s="1" t="s">
        <v>16988</v>
      </c>
      <c r="B8524" s="1" t="str">
        <f>"9781469875781"</f>
        <v>9781469875781</v>
      </c>
      <c r="C8524" s="1" t="s">
        <v>16613</v>
      </c>
      <c r="D8524" s="2">
        <v>38139</v>
      </c>
      <c r="E8524" s="1" t="s">
        <v>16989</v>
      </c>
      <c r="F8524" s="1" t="s">
        <v>13</v>
      </c>
    </row>
    <row r="8525" spans="1:6" ht="30" customHeight="1" x14ac:dyDescent="0.25">
      <c r="A8525" s="1" t="s">
        <v>16990</v>
      </c>
      <c r="B8525" s="1" t="str">
        <f>"9781469878065"</f>
        <v>9781469878065</v>
      </c>
      <c r="C8525" s="1" t="s">
        <v>16613</v>
      </c>
      <c r="D8525" s="2">
        <v>38294</v>
      </c>
      <c r="E8525" s="1" t="s">
        <v>16991</v>
      </c>
      <c r="F8525" s="1" t="s">
        <v>13</v>
      </c>
    </row>
    <row r="8526" spans="1:6" ht="30" customHeight="1" x14ac:dyDescent="0.25">
      <c r="A8526" s="1" t="s">
        <v>16992</v>
      </c>
      <c r="B8526" s="1" t="str">
        <f>"9781451165180"</f>
        <v>9781451165180</v>
      </c>
      <c r="C8526" s="1" t="s">
        <v>16613</v>
      </c>
      <c r="D8526" s="2">
        <v>38062</v>
      </c>
      <c r="E8526" s="1" t="s">
        <v>16993</v>
      </c>
      <c r="F8526" s="1" t="s">
        <v>82</v>
      </c>
    </row>
    <row r="8527" spans="1:6" ht="30" customHeight="1" x14ac:dyDescent="0.25">
      <c r="A8527" s="1" t="s">
        <v>16994</v>
      </c>
      <c r="B8527" s="1" t="str">
        <f>"9781469874449"</f>
        <v>9781469874449</v>
      </c>
      <c r="C8527" s="1" t="s">
        <v>16613</v>
      </c>
      <c r="D8527" s="2">
        <v>38301</v>
      </c>
      <c r="E8527" s="1" t="s">
        <v>16995</v>
      </c>
      <c r="F8527" s="1" t="s">
        <v>13</v>
      </c>
    </row>
    <row r="8528" spans="1:6" ht="30" customHeight="1" x14ac:dyDescent="0.25">
      <c r="A8528" s="1" t="s">
        <v>16996</v>
      </c>
      <c r="B8528" s="1" t="str">
        <f>"9781451167580"</f>
        <v>9781451167580</v>
      </c>
      <c r="C8528" s="1" t="s">
        <v>16613</v>
      </c>
      <c r="D8528" s="2">
        <v>38161</v>
      </c>
      <c r="E8528" s="1" t="s">
        <v>16764</v>
      </c>
      <c r="F8528" s="1" t="s">
        <v>13</v>
      </c>
    </row>
    <row r="8529" spans="1:6" ht="30" customHeight="1" x14ac:dyDescent="0.25">
      <c r="A8529" s="1" t="s">
        <v>16997</v>
      </c>
      <c r="B8529" s="1" t="str">
        <f>"9781469874517"</f>
        <v>9781469874517</v>
      </c>
      <c r="C8529" s="1" t="s">
        <v>16613</v>
      </c>
      <c r="D8529" s="2">
        <v>38211</v>
      </c>
      <c r="E8529" s="1" t="s">
        <v>4844</v>
      </c>
      <c r="F8529" s="1" t="s">
        <v>13</v>
      </c>
    </row>
    <row r="8530" spans="1:6" ht="30" customHeight="1" x14ac:dyDescent="0.25">
      <c r="A8530" s="1" t="s">
        <v>16998</v>
      </c>
      <c r="B8530" s="1" t="str">
        <f>"9781469874975"</f>
        <v>9781469874975</v>
      </c>
      <c r="C8530" s="1" t="s">
        <v>16613</v>
      </c>
      <c r="D8530" s="2">
        <v>38271</v>
      </c>
      <c r="E8530" s="1" t="s">
        <v>16999</v>
      </c>
      <c r="F8530" s="1" t="s">
        <v>13</v>
      </c>
    </row>
    <row r="8531" spans="1:6" ht="30" customHeight="1" x14ac:dyDescent="0.25">
      <c r="A8531" s="1" t="s">
        <v>17000</v>
      </c>
      <c r="B8531" s="1" t="str">
        <f>"9781469880068"</f>
        <v>9781469880068</v>
      </c>
      <c r="C8531" s="1" t="s">
        <v>16613</v>
      </c>
      <c r="D8531" s="2">
        <v>38013</v>
      </c>
      <c r="E8531" s="1" t="s">
        <v>17001</v>
      </c>
      <c r="F8531" s="1" t="s">
        <v>13</v>
      </c>
    </row>
    <row r="8532" spans="1:6" ht="30" customHeight="1" x14ac:dyDescent="0.25">
      <c r="A8532" s="1" t="s">
        <v>17002</v>
      </c>
      <c r="B8532" s="1" t="str">
        <f>"9781469880877"</f>
        <v>9781469880877</v>
      </c>
      <c r="C8532" s="1" t="s">
        <v>16613</v>
      </c>
      <c r="D8532" s="2">
        <v>37784</v>
      </c>
      <c r="E8532" s="1" t="s">
        <v>17003</v>
      </c>
      <c r="F8532" s="1" t="s">
        <v>268</v>
      </c>
    </row>
    <row r="8533" spans="1:6" ht="30" customHeight="1" x14ac:dyDescent="0.25">
      <c r="A8533" s="1" t="s">
        <v>17004</v>
      </c>
      <c r="B8533" s="1" t="str">
        <f>"9781451165241"</f>
        <v>9781451165241</v>
      </c>
      <c r="C8533" s="1" t="s">
        <v>16613</v>
      </c>
      <c r="D8533" s="2">
        <v>40802</v>
      </c>
      <c r="E8533" s="1" t="s">
        <v>17005</v>
      </c>
      <c r="F8533" s="1" t="s">
        <v>13</v>
      </c>
    </row>
    <row r="8534" spans="1:6" ht="30" customHeight="1" x14ac:dyDescent="0.25">
      <c r="A8534" s="1" t="s">
        <v>17006</v>
      </c>
      <c r="B8534" s="1" t="str">
        <f>"9781451161960"</f>
        <v>9781451161960</v>
      </c>
      <c r="C8534" s="1" t="s">
        <v>16613</v>
      </c>
      <c r="D8534" s="2">
        <v>37946</v>
      </c>
      <c r="E8534" s="1" t="s">
        <v>17007</v>
      </c>
      <c r="F8534" s="1" t="s">
        <v>158</v>
      </c>
    </row>
    <row r="8535" spans="1:6" ht="30" customHeight="1" x14ac:dyDescent="0.25">
      <c r="A8535" s="1" t="s">
        <v>17008</v>
      </c>
      <c r="B8535" s="1" t="str">
        <f>"9781469885773"</f>
        <v>9781469885773</v>
      </c>
      <c r="C8535" s="1" t="s">
        <v>16613</v>
      </c>
      <c r="D8535" s="2">
        <v>37887</v>
      </c>
      <c r="E8535" s="1" t="s">
        <v>16778</v>
      </c>
      <c r="F8535" s="1" t="s">
        <v>126</v>
      </c>
    </row>
    <row r="8536" spans="1:6" ht="30" customHeight="1" x14ac:dyDescent="0.25">
      <c r="A8536" s="1" t="s">
        <v>17009</v>
      </c>
      <c r="B8536" s="1" t="str">
        <f>"9781469877297"</f>
        <v>9781469877297</v>
      </c>
      <c r="C8536" s="1" t="s">
        <v>16613</v>
      </c>
      <c r="D8536" s="2">
        <v>37782</v>
      </c>
      <c r="E8536" s="1" t="s">
        <v>17010</v>
      </c>
      <c r="F8536" s="1" t="s">
        <v>1152</v>
      </c>
    </row>
    <row r="8537" spans="1:6" ht="30" customHeight="1" x14ac:dyDescent="0.25">
      <c r="A8537" s="1" t="s">
        <v>17011</v>
      </c>
      <c r="B8537" s="1" t="str">
        <f>"9781469879499"</f>
        <v>9781469879499</v>
      </c>
      <c r="C8537" s="1" t="s">
        <v>16613</v>
      </c>
      <c r="D8537" s="2">
        <v>37881</v>
      </c>
      <c r="E8537" s="1" t="s">
        <v>17012</v>
      </c>
      <c r="F8537" s="1" t="s">
        <v>13</v>
      </c>
    </row>
    <row r="8538" spans="1:6" ht="30" customHeight="1" x14ac:dyDescent="0.25">
      <c r="A8538" s="1" t="s">
        <v>17013</v>
      </c>
      <c r="B8538" s="1" t="str">
        <f>"9781451166217"</f>
        <v>9781451166217</v>
      </c>
      <c r="C8538" s="1" t="s">
        <v>16613</v>
      </c>
      <c r="D8538" s="2">
        <v>37972</v>
      </c>
      <c r="E8538" s="1" t="s">
        <v>17014</v>
      </c>
      <c r="F8538" s="1" t="s">
        <v>13</v>
      </c>
    </row>
    <row r="8539" spans="1:6" ht="30" customHeight="1" x14ac:dyDescent="0.25">
      <c r="A8539" s="1" t="s">
        <v>10405</v>
      </c>
      <c r="B8539" s="1" t="str">
        <f>"9781469878164"</f>
        <v>9781469878164</v>
      </c>
      <c r="C8539" s="1" t="s">
        <v>16613</v>
      </c>
      <c r="D8539" s="2">
        <v>37943</v>
      </c>
      <c r="E8539" s="1" t="s">
        <v>17015</v>
      </c>
      <c r="F8539" s="1" t="s">
        <v>13</v>
      </c>
    </row>
    <row r="8540" spans="1:6" ht="30" customHeight="1" x14ac:dyDescent="0.25">
      <c r="A8540" s="1" t="s">
        <v>17016</v>
      </c>
      <c r="B8540" s="1" t="str">
        <f>"9781469873787"</f>
        <v>9781469873787</v>
      </c>
      <c r="C8540" s="1" t="s">
        <v>16613</v>
      </c>
      <c r="D8540" s="2">
        <v>37622</v>
      </c>
      <c r="E8540" s="1" t="s">
        <v>17017</v>
      </c>
      <c r="F8540" s="1" t="s">
        <v>137</v>
      </c>
    </row>
    <row r="8541" spans="1:6" ht="30" customHeight="1" x14ac:dyDescent="0.25">
      <c r="A8541" s="1" t="s">
        <v>17018</v>
      </c>
      <c r="B8541" s="1" t="str">
        <f>"9781469881058"</f>
        <v>9781469881058</v>
      </c>
      <c r="C8541" s="1" t="s">
        <v>16613</v>
      </c>
      <c r="D8541" s="2">
        <v>37693</v>
      </c>
      <c r="E8541" s="1" t="s">
        <v>17019</v>
      </c>
      <c r="F8541" s="1" t="s">
        <v>126</v>
      </c>
    </row>
    <row r="8542" spans="1:6" ht="30" customHeight="1" x14ac:dyDescent="0.25">
      <c r="A8542" s="1" t="s">
        <v>17020</v>
      </c>
      <c r="B8542" s="1" t="str">
        <f>"9781469879017"</f>
        <v>9781469879017</v>
      </c>
      <c r="C8542" s="1" t="s">
        <v>16613</v>
      </c>
      <c r="D8542" s="2">
        <v>37706</v>
      </c>
      <c r="E8542" s="1" t="s">
        <v>17021</v>
      </c>
      <c r="F8542" s="1" t="s">
        <v>13</v>
      </c>
    </row>
    <row r="8543" spans="1:6" ht="30" customHeight="1" x14ac:dyDescent="0.25">
      <c r="A8543" s="1" t="s">
        <v>17022</v>
      </c>
      <c r="B8543" s="1" t="str">
        <f>"9781469874432"</f>
        <v>9781469874432</v>
      </c>
      <c r="C8543" s="1" t="s">
        <v>16613</v>
      </c>
      <c r="D8543" s="2">
        <v>37966</v>
      </c>
      <c r="E8543" s="1" t="s">
        <v>17023</v>
      </c>
      <c r="F8543" s="1" t="s">
        <v>13</v>
      </c>
    </row>
    <row r="8544" spans="1:6" ht="30" customHeight="1" x14ac:dyDescent="0.25">
      <c r="A8544" s="1" t="s">
        <v>17024</v>
      </c>
      <c r="B8544" s="1" t="str">
        <f>"9781469879956"</f>
        <v>9781469879956</v>
      </c>
      <c r="C8544" s="1" t="s">
        <v>16613</v>
      </c>
      <c r="D8544" s="2">
        <v>37687</v>
      </c>
      <c r="E8544" s="1" t="s">
        <v>17025</v>
      </c>
      <c r="F8544" s="1" t="s">
        <v>13</v>
      </c>
    </row>
    <row r="8545" spans="1:6" ht="30" customHeight="1" x14ac:dyDescent="0.25">
      <c r="A8545" s="1" t="s">
        <v>17026</v>
      </c>
      <c r="B8545" s="1" t="str">
        <f>"9781469877969"</f>
        <v>9781469877969</v>
      </c>
      <c r="C8545" s="1" t="s">
        <v>16613</v>
      </c>
      <c r="D8545" s="2">
        <v>37970</v>
      </c>
      <c r="E8545" s="1" t="s">
        <v>17027</v>
      </c>
      <c r="F8545" s="1" t="s">
        <v>13</v>
      </c>
    </row>
    <row r="8546" spans="1:6" ht="30" customHeight="1" x14ac:dyDescent="0.25">
      <c r="A8546" s="1" t="s">
        <v>17028</v>
      </c>
      <c r="B8546" s="1" t="str">
        <f>"9781469878089"</f>
        <v>9781469878089</v>
      </c>
      <c r="C8546" s="1" t="s">
        <v>16613</v>
      </c>
      <c r="D8546" s="2">
        <v>37901</v>
      </c>
      <c r="E8546" s="1" t="s">
        <v>17029</v>
      </c>
      <c r="F8546" s="1" t="s">
        <v>13</v>
      </c>
    </row>
    <row r="8547" spans="1:6" ht="30" customHeight="1" x14ac:dyDescent="0.25">
      <c r="A8547" s="1" t="s">
        <v>17030</v>
      </c>
      <c r="B8547" s="1" t="str">
        <f>"9781469878058"</f>
        <v>9781469878058</v>
      </c>
      <c r="C8547" s="1" t="s">
        <v>16613</v>
      </c>
      <c r="D8547" s="2">
        <v>37977</v>
      </c>
      <c r="E8547" s="1" t="s">
        <v>17031</v>
      </c>
      <c r="F8547" s="1" t="s">
        <v>13</v>
      </c>
    </row>
    <row r="8548" spans="1:6" ht="30" customHeight="1" x14ac:dyDescent="0.25">
      <c r="A8548" s="1" t="s">
        <v>17032</v>
      </c>
      <c r="B8548" s="1" t="str">
        <f>"9781451166279"</f>
        <v>9781451166279</v>
      </c>
      <c r="C8548" s="1" t="s">
        <v>16613</v>
      </c>
      <c r="D8548" s="2">
        <v>37903</v>
      </c>
      <c r="E8548" s="1" t="s">
        <v>17033</v>
      </c>
      <c r="F8548" s="1" t="s">
        <v>13</v>
      </c>
    </row>
    <row r="8549" spans="1:6" ht="30" customHeight="1" x14ac:dyDescent="0.25">
      <c r="A8549" s="1" t="s">
        <v>17034</v>
      </c>
      <c r="B8549" s="1" t="str">
        <f>"9781469877273"</f>
        <v>9781469877273</v>
      </c>
      <c r="C8549" s="1" t="s">
        <v>16613</v>
      </c>
      <c r="D8549" s="2">
        <v>37681</v>
      </c>
      <c r="E8549" s="1" t="s">
        <v>17035</v>
      </c>
      <c r="F8549" s="1" t="s">
        <v>13</v>
      </c>
    </row>
    <row r="8550" spans="1:6" ht="30" customHeight="1" x14ac:dyDescent="0.25">
      <c r="A8550" s="1" t="s">
        <v>17036</v>
      </c>
      <c r="B8550" s="1" t="str">
        <f>"9781469879949"</f>
        <v>9781469879949</v>
      </c>
      <c r="C8550" s="1" t="s">
        <v>16613</v>
      </c>
      <c r="D8550" s="2">
        <v>37746</v>
      </c>
      <c r="E8550" s="1" t="s">
        <v>17037</v>
      </c>
      <c r="F8550" s="1" t="s">
        <v>13</v>
      </c>
    </row>
    <row r="8551" spans="1:6" ht="30" customHeight="1" x14ac:dyDescent="0.25">
      <c r="A8551" s="1" t="s">
        <v>17038</v>
      </c>
      <c r="B8551" s="1" t="str">
        <f>"9781451165388"</f>
        <v>9781451165388</v>
      </c>
      <c r="C8551" s="1" t="s">
        <v>16613</v>
      </c>
      <c r="D8551" s="2">
        <v>37970</v>
      </c>
      <c r="E8551" s="1" t="s">
        <v>17039</v>
      </c>
      <c r="F8551" s="1" t="s">
        <v>13</v>
      </c>
    </row>
    <row r="8552" spans="1:6" ht="30" customHeight="1" x14ac:dyDescent="0.25">
      <c r="A8552" s="1" t="s">
        <v>17040</v>
      </c>
      <c r="B8552" s="1" t="str">
        <f>"9781469879932"</f>
        <v>9781469879932</v>
      </c>
      <c r="C8552" s="1" t="s">
        <v>16613</v>
      </c>
      <c r="D8552" s="2">
        <v>37809</v>
      </c>
      <c r="E8552" s="1" t="s">
        <v>17041</v>
      </c>
      <c r="F8552" s="1" t="s">
        <v>13</v>
      </c>
    </row>
    <row r="8553" spans="1:6" ht="30" customHeight="1" x14ac:dyDescent="0.25">
      <c r="A8553" s="1" t="s">
        <v>17042</v>
      </c>
      <c r="B8553" s="1" t="str">
        <f>"9781469873916"</f>
        <v>9781469873916</v>
      </c>
      <c r="C8553" s="1" t="s">
        <v>16613</v>
      </c>
      <c r="D8553" s="2">
        <v>37887</v>
      </c>
      <c r="E8553" s="1" t="s">
        <v>17043</v>
      </c>
      <c r="F8553" s="1" t="s">
        <v>13</v>
      </c>
    </row>
    <row r="8554" spans="1:6" ht="30" customHeight="1" x14ac:dyDescent="0.25">
      <c r="A8554" s="1" t="s">
        <v>17044</v>
      </c>
      <c r="B8554" s="1" t="str">
        <f>"9781451166453"</f>
        <v>9781451166453</v>
      </c>
      <c r="C8554" s="1" t="s">
        <v>16613</v>
      </c>
      <c r="D8554" s="2">
        <v>37964</v>
      </c>
      <c r="E8554" s="1" t="s">
        <v>17045</v>
      </c>
      <c r="F8554" s="1" t="s">
        <v>13</v>
      </c>
    </row>
    <row r="8555" spans="1:6" ht="30" customHeight="1" x14ac:dyDescent="0.25">
      <c r="A8555" s="1" t="s">
        <v>17046</v>
      </c>
      <c r="B8555" s="1" t="str">
        <f>"9781451165111"</f>
        <v>9781451165111</v>
      </c>
      <c r="C8555" s="1" t="s">
        <v>16613</v>
      </c>
      <c r="D8555" s="2">
        <v>37754</v>
      </c>
      <c r="E8555" s="1" t="s">
        <v>17047</v>
      </c>
      <c r="F8555" s="1" t="s">
        <v>82</v>
      </c>
    </row>
    <row r="8556" spans="1:6" ht="30" customHeight="1" x14ac:dyDescent="0.25">
      <c r="A8556" s="1" t="s">
        <v>17048</v>
      </c>
      <c r="B8556" s="1" t="str">
        <f>"9781469877976"</f>
        <v>9781469877976</v>
      </c>
      <c r="C8556" s="1" t="s">
        <v>16613</v>
      </c>
      <c r="D8556" s="2">
        <v>37657</v>
      </c>
      <c r="E8556" s="1" t="s">
        <v>17049</v>
      </c>
      <c r="F8556" s="1" t="s">
        <v>11352</v>
      </c>
    </row>
    <row r="8557" spans="1:6" ht="30" customHeight="1" x14ac:dyDescent="0.25">
      <c r="A8557" s="1" t="s">
        <v>17050</v>
      </c>
      <c r="B8557" s="1" t="str">
        <f>"9781469875743"</f>
        <v>9781469875743</v>
      </c>
      <c r="C8557" s="1" t="s">
        <v>16613</v>
      </c>
      <c r="D8557" s="2">
        <v>37928</v>
      </c>
      <c r="E8557" s="1" t="s">
        <v>17051</v>
      </c>
      <c r="F8557" s="1" t="s">
        <v>13</v>
      </c>
    </row>
    <row r="8558" spans="1:6" ht="30" customHeight="1" x14ac:dyDescent="0.25">
      <c r="A8558" s="1" t="s">
        <v>17052</v>
      </c>
      <c r="B8558" s="1" t="str">
        <f>"9781469878027"</f>
        <v>9781469878027</v>
      </c>
      <c r="C8558" s="1" t="s">
        <v>16613</v>
      </c>
      <c r="D8558" s="2">
        <v>37746</v>
      </c>
      <c r="E8558" s="1" t="s">
        <v>17053</v>
      </c>
      <c r="F8558" s="1" t="s">
        <v>13</v>
      </c>
    </row>
    <row r="8559" spans="1:6" ht="30" customHeight="1" x14ac:dyDescent="0.25">
      <c r="A8559" s="1" t="s">
        <v>17054</v>
      </c>
      <c r="B8559" s="1" t="str">
        <f>"9781469875002"</f>
        <v>9781469875002</v>
      </c>
      <c r="C8559" s="1" t="s">
        <v>16613</v>
      </c>
      <c r="D8559" s="2">
        <v>37904</v>
      </c>
      <c r="E8559" s="1" t="s">
        <v>17055</v>
      </c>
      <c r="F8559" s="1" t="s">
        <v>13</v>
      </c>
    </row>
    <row r="8560" spans="1:6" ht="30" customHeight="1" x14ac:dyDescent="0.25">
      <c r="A8560" s="1" t="s">
        <v>17056</v>
      </c>
      <c r="B8560" s="1" t="str">
        <f>"9781469880648"</f>
        <v>9781469880648</v>
      </c>
      <c r="C8560" s="1" t="s">
        <v>16613</v>
      </c>
      <c r="D8560" s="2">
        <v>37802</v>
      </c>
      <c r="E8560" s="1" t="s">
        <v>17057</v>
      </c>
      <c r="F8560" s="1" t="s">
        <v>126</v>
      </c>
    </row>
    <row r="8561" spans="1:6" ht="30" customHeight="1" x14ac:dyDescent="0.25">
      <c r="A8561" s="1" t="s">
        <v>17058</v>
      </c>
      <c r="B8561" s="1" t="str">
        <f>"9781469877310"</f>
        <v>9781469877310</v>
      </c>
      <c r="C8561" s="1" t="s">
        <v>16613</v>
      </c>
      <c r="D8561" s="2">
        <v>37867</v>
      </c>
      <c r="E8561" s="1" t="s">
        <v>17059</v>
      </c>
      <c r="F8561" s="1" t="s">
        <v>13</v>
      </c>
    </row>
    <row r="8562" spans="1:6" ht="30" customHeight="1" x14ac:dyDescent="0.25">
      <c r="A8562" s="1" t="s">
        <v>17060</v>
      </c>
      <c r="B8562" s="1" t="str">
        <f>"9781469877303"</f>
        <v>9781469877303</v>
      </c>
      <c r="C8562" s="1" t="s">
        <v>16613</v>
      </c>
      <c r="D8562" s="2">
        <v>37664</v>
      </c>
      <c r="E8562" s="1" t="s">
        <v>17061</v>
      </c>
      <c r="F8562" s="1" t="s">
        <v>13</v>
      </c>
    </row>
    <row r="8563" spans="1:6" ht="30" customHeight="1" x14ac:dyDescent="0.25">
      <c r="A8563" s="1" t="s">
        <v>17062</v>
      </c>
      <c r="B8563" s="1" t="str">
        <f>"9781469877280"</f>
        <v>9781469877280</v>
      </c>
      <c r="C8563" s="1" t="s">
        <v>16613</v>
      </c>
      <c r="D8563" s="2">
        <v>37876</v>
      </c>
      <c r="E8563" s="1" t="s">
        <v>17063</v>
      </c>
      <c r="F8563" s="1" t="s">
        <v>13</v>
      </c>
    </row>
    <row r="8564" spans="1:6" ht="30" customHeight="1" x14ac:dyDescent="0.25">
      <c r="A8564" s="1" t="s">
        <v>17064</v>
      </c>
      <c r="B8564" s="1" t="str">
        <f>"9781469878119"</f>
        <v>9781469878119</v>
      </c>
      <c r="C8564" s="1" t="s">
        <v>16613</v>
      </c>
      <c r="D8564" s="2">
        <v>37942</v>
      </c>
      <c r="E8564" s="1" t="s">
        <v>17065</v>
      </c>
      <c r="F8564" s="1" t="s">
        <v>13</v>
      </c>
    </row>
    <row r="8565" spans="1:6" ht="30" customHeight="1" x14ac:dyDescent="0.25">
      <c r="A8565" s="1" t="s">
        <v>17066</v>
      </c>
      <c r="B8565" s="1" t="str">
        <f>"9781469875712"</f>
        <v>9781469875712</v>
      </c>
      <c r="C8565" s="1" t="s">
        <v>16613</v>
      </c>
      <c r="D8565" s="2">
        <v>37984</v>
      </c>
      <c r="E8565" s="1" t="s">
        <v>17067</v>
      </c>
      <c r="F8565" s="1" t="s">
        <v>13</v>
      </c>
    </row>
    <row r="8566" spans="1:6" ht="30" customHeight="1" x14ac:dyDescent="0.25">
      <c r="A8566" s="1" t="s">
        <v>17068</v>
      </c>
      <c r="B8566" s="1" t="str">
        <f>"9781469878157"</f>
        <v>9781469878157</v>
      </c>
      <c r="C8566" s="1" t="s">
        <v>16613</v>
      </c>
      <c r="D8566" s="2">
        <v>37965</v>
      </c>
      <c r="E8566" s="1" t="s">
        <v>17069</v>
      </c>
      <c r="F8566" s="1" t="s">
        <v>13</v>
      </c>
    </row>
    <row r="8567" spans="1:6" ht="30" customHeight="1" x14ac:dyDescent="0.25">
      <c r="A8567" s="1" t="s">
        <v>17070</v>
      </c>
      <c r="B8567" s="1" t="str">
        <f>"9781469880754"</f>
        <v>9781469880754</v>
      </c>
      <c r="C8567" s="1" t="s">
        <v>16613</v>
      </c>
      <c r="D8567" s="2">
        <v>37706</v>
      </c>
      <c r="E8567" s="1" t="s">
        <v>17071</v>
      </c>
      <c r="F8567" s="1" t="s">
        <v>126</v>
      </c>
    </row>
    <row r="8568" spans="1:6" ht="30" customHeight="1" x14ac:dyDescent="0.25">
      <c r="A8568" s="1" t="s">
        <v>17072</v>
      </c>
      <c r="B8568" s="1" t="str">
        <f>"9781469880723"</f>
        <v>9781469880723</v>
      </c>
      <c r="C8568" s="1" t="s">
        <v>16613</v>
      </c>
      <c r="D8568" s="2">
        <v>37887</v>
      </c>
      <c r="E8568" s="1" t="s">
        <v>17073</v>
      </c>
      <c r="F8568" s="1" t="s">
        <v>234</v>
      </c>
    </row>
    <row r="8569" spans="1:6" ht="30" customHeight="1" x14ac:dyDescent="0.25">
      <c r="A8569" s="1" t="s">
        <v>17074</v>
      </c>
      <c r="B8569" s="1" t="str">
        <f>"9781469880792"</f>
        <v>9781469880792</v>
      </c>
      <c r="C8569" s="1" t="s">
        <v>16613</v>
      </c>
      <c r="D8569" s="2">
        <v>37515</v>
      </c>
      <c r="E8569" s="1" t="s">
        <v>16778</v>
      </c>
      <c r="F8569" s="1" t="s">
        <v>13</v>
      </c>
    </row>
    <row r="8570" spans="1:6" ht="30" customHeight="1" x14ac:dyDescent="0.25">
      <c r="A8570" s="1" t="s">
        <v>17075</v>
      </c>
      <c r="B8570" s="1" t="str">
        <f>"9781469881065"</f>
        <v>9781469881065</v>
      </c>
      <c r="C8570" s="1" t="s">
        <v>16613</v>
      </c>
      <c r="D8570" s="2">
        <v>37452</v>
      </c>
      <c r="E8570" s="1" t="s">
        <v>17076</v>
      </c>
      <c r="F8570" s="1" t="s">
        <v>13</v>
      </c>
    </row>
    <row r="8571" spans="1:6" ht="30" customHeight="1" x14ac:dyDescent="0.25">
      <c r="A8571" s="1" t="s">
        <v>17077</v>
      </c>
      <c r="B8571" s="1" t="str">
        <f>"9781469875736"</f>
        <v>9781469875736</v>
      </c>
      <c r="C8571" s="1" t="s">
        <v>16613</v>
      </c>
      <c r="D8571" s="2">
        <v>37600</v>
      </c>
      <c r="E8571" s="1" t="s">
        <v>17078</v>
      </c>
      <c r="F8571" s="1" t="s">
        <v>13</v>
      </c>
    </row>
    <row r="8572" spans="1:6" ht="30" customHeight="1" x14ac:dyDescent="0.25">
      <c r="A8572" s="1" t="s">
        <v>8039</v>
      </c>
      <c r="B8572" s="1" t="str">
        <f>"9781469875392"</f>
        <v>9781469875392</v>
      </c>
      <c r="C8572" s="1" t="s">
        <v>16613</v>
      </c>
      <c r="D8572" s="2">
        <v>37518</v>
      </c>
      <c r="E8572" s="1" t="s">
        <v>17079</v>
      </c>
      <c r="F8572" s="1" t="s">
        <v>13</v>
      </c>
    </row>
    <row r="8573" spans="1:6" ht="30" customHeight="1" x14ac:dyDescent="0.25">
      <c r="A8573" s="1" t="s">
        <v>17080</v>
      </c>
      <c r="B8573" s="1" t="str">
        <f>"9781469873909"</f>
        <v>9781469873909</v>
      </c>
      <c r="C8573" s="1" t="s">
        <v>16613</v>
      </c>
      <c r="D8573" s="2">
        <v>37333</v>
      </c>
      <c r="E8573" s="1" t="s">
        <v>17081</v>
      </c>
      <c r="F8573" s="1" t="s">
        <v>13</v>
      </c>
    </row>
    <row r="8574" spans="1:6" ht="30" customHeight="1" x14ac:dyDescent="0.25">
      <c r="A8574" s="1" t="s">
        <v>17082</v>
      </c>
      <c r="B8574" s="1" t="str">
        <f>"9781469881041"</f>
        <v>9781469881041</v>
      </c>
      <c r="C8574" s="1" t="s">
        <v>16613</v>
      </c>
      <c r="D8574" s="2">
        <v>37448</v>
      </c>
      <c r="E8574" s="1" t="s">
        <v>16778</v>
      </c>
      <c r="F8574" s="1" t="s">
        <v>17083</v>
      </c>
    </row>
    <row r="8575" spans="1:6" ht="30" customHeight="1" x14ac:dyDescent="0.25">
      <c r="A8575" s="1" t="s">
        <v>17084</v>
      </c>
      <c r="B8575" s="1" t="str">
        <f>"9781469877259"</f>
        <v>9781469877259</v>
      </c>
      <c r="C8575" s="1" t="s">
        <v>16613</v>
      </c>
      <c r="D8575" s="2">
        <v>37613</v>
      </c>
      <c r="E8575" s="1" t="s">
        <v>17085</v>
      </c>
      <c r="F8575" s="1" t="s">
        <v>13</v>
      </c>
    </row>
    <row r="8576" spans="1:6" ht="30" customHeight="1" x14ac:dyDescent="0.25">
      <c r="A8576" s="1" t="s">
        <v>17086</v>
      </c>
      <c r="B8576" s="1" t="str">
        <f>"9781469874173"</f>
        <v>9781469874173</v>
      </c>
      <c r="C8576" s="1" t="s">
        <v>16613</v>
      </c>
      <c r="D8576" s="2">
        <v>37587</v>
      </c>
      <c r="E8576" s="1" t="s">
        <v>17087</v>
      </c>
      <c r="F8576" s="1" t="s">
        <v>13</v>
      </c>
    </row>
    <row r="8577" spans="1:6" ht="30" customHeight="1" x14ac:dyDescent="0.25">
      <c r="A8577" s="1" t="s">
        <v>17088</v>
      </c>
      <c r="B8577" s="1" t="str">
        <f>"9781469881133"</f>
        <v>9781469881133</v>
      </c>
      <c r="C8577" s="1" t="s">
        <v>16613</v>
      </c>
      <c r="D8577" s="2">
        <v>37308</v>
      </c>
      <c r="E8577" s="1" t="s">
        <v>17089</v>
      </c>
      <c r="F8577" s="1" t="s">
        <v>234</v>
      </c>
    </row>
    <row r="8578" spans="1:6" ht="30" customHeight="1" x14ac:dyDescent="0.25">
      <c r="A8578" s="1" t="s">
        <v>17090</v>
      </c>
      <c r="B8578" s="1" t="str">
        <f>"9781469877266"</f>
        <v>9781469877266</v>
      </c>
      <c r="C8578" s="1" t="s">
        <v>16613</v>
      </c>
      <c r="D8578" s="2">
        <v>37431</v>
      </c>
      <c r="E8578" s="1" t="s">
        <v>17091</v>
      </c>
      <c r="F8578" s="1" t="s">
        <v>13</v>
      </c>
    </row>
    <row r="8579" spans="1:6" ht="30" customHeight="1" x14ac:dyDescent="0.25">
      <c r="A8579" s="1" t="s">
        <v>17092</v>
      </c>
      <c r="B8579" s="1" t="str">
        <f>"9781469877945"</f>
        <v>9781469877945</v>
      </c>
      <c r="C8579" s="1" t="s">
        <v>16613</v>
      </c>
      <c r="D8579" s="2">
        <v>37613</v>
      </c>
      <c r="E8579" s="1" t="s">
        <v>17093</v>
      </c>
      <c r="F8579" s="1" t="s">
        <v>438</v>
      </c>
    </row>
    <row r="8580" spans="1:6" ht="30" customHeight="1" x14ac:dyDescent="0.25">
      <c r="A8580" s="1" t="s">
        <v>17094</v>
      </c>
      <c r="B8580" s="1" t="str">
        <f>"9781469878041"</f>
        <v>9781469878041</v>
      </c>
      <c r="C8580" s="1" t="s">
        <v>16613</v>
      </c>
      <c r="D8580" s="2">
        <v>37613</v>
      </c>
      <c r="E8580" s="1" t="s">
        <v>17095</v>
      </c>
      <c r="F8580" s="1" t="s">
        <v>13</v>
      </c>
    </row>
    <row r="8581" spans="1:6" ht="30" customHeight="1" x14ac:dyDescent="0.25">
      <c r="A8581" s="1" t="s">
        <v>17096</v>
      </c>
      <c r="B8581" s="1" t="str">
        <f>"9781469880532"</f>
        <v>9781469880532</v>
      </c>
      <c r="C8581" s="1" t="s">
        <v>16613</v>
      </c>
      <c r="D8581" s="2">
        <v>37347</v>
      </c>
      <c r="E8581" s="1" t="s">
        <v>16778</v>
      </c>
      <c r="F8581" s="1" t="s">
        <v>751</v>
      </c>
    </row>
    <row r="8582" spans="1:6" ht="30" customHeight="1" x14ac:dyDescent="0.25">
      <c r="A8582" s="1" t="s">
        <v>17097</v>
      </c>
      <c r="B8582" s="1" t="str">
        <f>"9781451168259"</f>
        <v>9781451168259</v>
      </c>
      <c r="C8582" s="1" t="s">
        <v>16613</v>
      </c>
      <c r="D8582" s="2">
        <v>40827</v>
      </c>
      <c r="E8582" s="1" t="s">
        <v>17098</v>
      </c>
      <c r="F8582" s="1" t="s">
        <v>13</v>
      </c>
    </row>
    <row r="8583" spans="1:6" ht="30" customHeight="1" x14ac:dyDescent="0.25">
      <c r="A8583" s="1" t="s">
        <v>17099</v>
      </c>
      <c r="B8583" s="1" t="str">
        <f>"9781469875354"</f>
        <v>9781469875354</v>
      </c>
      <c r="C8583" s="1" t="s">
        <v>16613</v>
      </c>
      <c r="D8583" s="2">
        <v>36942</v>
      </c>
      <c r="E8583" s="1" t="s">
        <v>17100</v>
      </c>
      <c r="F8583" s="1" t="s">
        <v>13</v>
      </c>
    </row>
    <row r="8584" spans="1:6" ht="30" customHeight="1" x14ac:dyDescent="0.25">
      <c r="A8584" s="1" t="s">
        <v>17101</v>
      </c>
      <c r="B8584" s="1" t="str">
        <f>"9781469881102"</f>
        <v>9781469881102</v>
      </c>
      <c r="C8584" s="1" t="s">
        <v>16613</v>
      </c>
      <c r="D8584" s="2">
        <v>36910</v>
      </c>
      <c r="E8584" s="1" t="s">
        <v>17102</v>
      </c>
      <c r="F8584" s="1" t="s">
        <v>13</v>
      </c>
    </row>
    <row r="8585" spans="1:6" ht="30" customHeight="1" x14ac:dyDescent="0.25">
      <c r="A8585" s="1" t="s">
        <v>17103</v>
      </c>
      <c r="B8585" s="1" t="str">
        <f>"9781469875347"</f>
        <v>9781469875347</v>
      </c>
      <c r="C8585" s="1" t="s">
        <v>16613</v>
      </c>
      <c r="D8585" s="2">
        <v>36996</v>
      </c>
      <c r="E8585" s="1" t="s">
        <v>12646</v>
      </c>
      <c r="F8585" s="1" t="s">
        <v>13</v>
      </c>
    </row>
    <row r="8586" spans="1:6" ht="30" customHeight="1" x14ac:dyDescent="0.25">
      <c r="A8586" s="1" t="s">
        <v>17104</v>
      </c>
      <c r="B8586" s="1" t="str">
        <f>"9781469874111"</f>
        <v>9781469874111</v>
      </c>
      <c r="C8586" s="1" t="s">
        <v>16613</v>
      </c>
      <c r="D8586" s="2">
        <v>37174</v>
      </c>
      <c r="E8586" s="1" t="s">
        <v>17105</v>
      </c>
      <c r="F8586" s="1" t="s">
        <v>13</v>
      </c>
    </row>
    <row r="8587" spans="1:6" ht="30" customHeight="1" x14ac:dyDescent="0.25">
      <c r="A8587" s="1" t="s">
        <v>17106</v>
      </c>
      <c r="B8587" s="1" t="str">
        <f>"9781469874548"</f>
        <v>9781469874548</v>
      </c>
      <c r="C8587" s="1" t="s">
        <v>16613</v>
      </c>
      <c r="D8587" s="2">
        <v>37190</v>
      </c>
      <c r="E8587" s="1" t="s">
        <v>17107</v>
      </c>
      <c r="F8587" s="1" t="s">
        <v>13</v>
      </c>
    </row>
    <row r="8588" spans="1:6" ht="30" customHeight="1" x14ac:dyDescent="0.25">
      <c r="A8588" s="1" t="s">
        <v>17108</v>
      </c>
      <c r="B8588" s="1" t="str">
        <f>"9781469874319"</f>
        <v>9781469874319</v>
      </c>
      <c r="C8588" s="1" t="s">
        <v>16613</v>
      </c>
      <c r="D8588" s="2">
        <v>37231</v>
      </c>
      <c r="E8588" s="1" t="s">
        <v>17109</v>
      </c>
      <c r="F8588" s="1" t="s">
        <v>13</v>
      </c>
    </row>
    <row r="8589" spans="1:6" ht="30" customHeight="1" x14ac:dyDescent="0.25">
      <c r="A8589" s="1" t="s">
        <v>17110</v>
      </c>
      <c r="B8589" s="1" t="str">
        <f>"9781469878072"</f>
        <v>9781469878072</v>
      </c>
      <c r="C8589" s="1" t="s">
        <v>16613</v>
      </c>
      <c r="D8589" s="2">
        <v>37230</v>
      </c>
      <c r="E8589" s="1" t="s">
        <v>17111</v>
      </c>
      <c r="F8589" s="1" t="s">
        <v>13</v>
      </c>
    </row>
    <row r="8590" spans="1:6" ht="30" customHeight="1" x14ac:dyDescent="0.25">
      <c r="A8590" s="1" t="s">
        <v>17112</v>
      </c>
      <c r="B8590" s="1" t="str">
        <f>"9781469875361"</f>
        <v>9781469875361</v>
      </c>
      <c r="C8590" s="1" t="s">
        <v>16613</v>
      </c>
      <c r="D8590" s="2">
        <v>36927</v>
      </c>
      <c r="E8590" s="1" t="s">
        <v>17100</v>
      </c>
      <c r="F8590" s="1" t="s">
        <v>13</v>
      </c>
    </row>
    <row r="8591" spans="1:6" ht="30" customHeight="1" x14ac:dyDescent="0.25">
      <c r="A8591" s="1" t="s">
        <v>17113</v>
      </c>
      <c r="B8591" s="1" t="str">
        <f>"9781469873893"</f>
        <v>9781469873893</v>
      </c>
      <c r="C8591" s="1" t="s">
        <v>16613</v>
      </c>
      <c r="D8591" s="2">
        <v>37082</v>
      </c>
      <c r="E8591" s="1" t="s">
        <v>17114</v>
      </c>
      <c r="F8591" s="1" t="s">
        <v>13</v>
      </c>
    </row>
    <row r="8592" spans="1:6" ht="30" customHeight="1" x14ac:dyDescent="0.25">
      <c r="A8592" s="1" t="s">
        <v>17115</v>
      </c>
      <c r="B8592" s="1" t="str">
        <f>"9781469878003"</f>
        <v>9781469878003</v>
      </c>
      <c r="C8592" s="1" t="s">
        <v>16613</v>
      </c>
      <c r="D8592" s="2">
        <v>37056</v>
      </c>
      <c r="E8592" s="1" t="s">
        <v>17116</v>
      </c>
      <c r="F8592" s="1" t="s">
        <v>13</v>
      </c>
    </row>
    <row r="8593" spans="1:6" ht="30" customHeight="1" x14ac:dyDescent="0.25">
      <c r="A8593" s="1" t="s">
        <v>17117</v>
      </c>
      <c r="B8593" s="1" t="str">
        <f>"9781469873756"</f>
        <v>9781469873756</v>
      </c>
      <c r="C8593" s="1" t="s">
        <v>16613</v>
      </c>
      <c r="D8593" s="2">
        <v>36526</v>
      </c>
      <c r="E8593" s="1" t="s">
        <v>16778</v>
      </c>
      <c r="F8593" s="1" t="s">
        <v>13</v>
      </c>
    </row>
    <row r="8594" spans="1:6" ht="30" customHeight="1" x14ac:dyDescent="0.25">
      <c r="A8594" s="1" t="s">
        <v>17118</v>
      </c>
      <c r="B8594" s="1" t="str">
        <f>"9781469879444"</f>
        <v>9781469879444</v>
      </c>
      <c r="C8594" s="1" t="s">
        <v>16613</v>
      </c>
      <c r="D8594" s="2">
        <v>36857</v>
      </c>
      <c r="E8594" s="1" t="s">
        <v>17119</v>
      </c>
      <c r="F8594" s="1" t="s">
        <v>13</v>
      </c>
    </row>
    <row r="8595" spans="1:6" ht="30" customHeight="1" x14ac:dyDescent="0.25">
      <c r="A8595" s="1" t="s">
        <v>17120</v>
      </c>
      <c r="B8595" s="1" t="str">
        <f>"9781469875378"</f>
        <v>9781469875378</v>
      </c>
      <c r="C8595" s="1" t="s">
        <v>16613</v>
      </c>
      <c r="D8595" s="2">
        <v>36843</v>
      </c>
      <c r="E8595" s="1" t="s">
        <v>17121</v>
      </c>
      <c r="F8595" s="1" t="s">
        <v>13</v>
      </c>
    </row>
    <row r="8596" spans="1:6" ht="30" customHeight="1" x14ac:dyDescent="0.25">
      <c r="A8596" s="1" t="s">
        <v>17122</v>
      </c>
      <c r="B8596" s="1" t="str">
        <f>"9781451166651"</f>
        <v>9781451166651</v>
      </c>
      <c r="C8596" s="1" t="s">
        <v>16613</v>
      </c>
      <c r="D8596" s="2">
        <v>40813</v>
      </c>
      <c r="E8596" s="1" t="s">
        <v>17123</v>
      </c>
      <c r="F8596" s="1" t="s">
        <v>13</v>
      </c>
    </row>
    <row r="8597" spans="1:6" ht="30" customHeight="1" x14ac:dyDescent="0.25">
      <c r="A8597" s="1" t="s">
        <v>17124</v>
      </c>
      <c r="B8597" s="1" t="str">
        <f>"9781469874531"</f>
        <v>9781469874531</v>
      </c>
      <c r="C8597" s="1" t="s">
        <v>16613</v>
      </c>
      <c r="D8597" s="2">
        <v>36495</v>
      </c>
      <c r="E8597" s="1" t="s">
        <v>17125</v>
      </c>
      <c r="F8597" s="1" t="s">
        <v>13</v>
      </c>
    </row>
    <row r="8598" spans="1:6" ht="30" customHeight="1" x14ac:dyDescent="0.25">
      <c r="A8598" s="1" t="s">
        <v>5995</v>
      </c>
      <c r="B8598" s="1" t="str">
        <f>"9781469873879"</f>
        <v>9781469873879</v>
      </c>
      <c r="C8598" s="1" t="s">
        <v>16613</v>
      </c>
      <c r="D8598" s="2">
        <v>36229</v>
      </c>
      <c r="E8598" s="1" t="s">
        <v>17126</v>
      </c>
      <c r="F8598" s="1" t="s">
        <v>13</v>
      </c>
    </row>
    <row r="8599" spans="1:6" ht="30" customHeight="1" x14ac:dyDescent="0.25">
      <c r="A8599" s="1" t="s">
        <v>17127</v>
      </c>
      <c r="B8599" s="1" t="str">
        <f>"9781469877006"</f>
        <v>9781469877006</v>
      </c>
      <c r="C8599" s="1" t="s">
        <v>16613</v>
      </c>
      <c r="D8599" s="2">
        <v>36510</v>
      </c>
      <c r="E8599" s="1" t="s">
        <v>17128</v>
      </c>
      <c r="F8599" s="1" t="s">
        <v>158</v>
      </c>
    </row>
    <row r="8600" spans="1:6" ht="30" customHeight="1" x14ac:dyDescent="0.25">
      <c r="A8600" s="1" t="s">
        <v>17129</v>
      </c>
      <c r="B8600" s="1" t="str">
        <f>"9781469873794"</f>
        <v>9781469873794</v>
      </c>
      <c r="C8600" s="1" t="s">
        <v>16613</v>
      </c>
      <c r="D8600" s="2">
        <v>36281</v>
      </c>
      <c r="E8600" s="1" t="s">
        <v>17130</v>
      </c>
      <c r="F8600" s="1" t="s">
        <v>13</v>
      </c>
    </row>
    <row r="8601" spans="1:6" ht="30" customHeight="1" x14ac:dyDescent="0.25">
      <c r="A8601" s="1" t="s">
        <v>17131</v>
      </c>
      <c r="B8601" s="1" t="str">
        <f>"9781469875729"</f>
        <v>9781469875729</v>
      </c>
      <c r="C8601" s="1" t="s">
        <v>16613</v>
      </c>
      <c r="D8601" s="2">
        <v>39513</v>
      </c>
      <c r="E8601" s="1" t="s">
        <v>17132</v>
      </c>
      <c r="F8601" s="1" t="s">
        <v>13</v>
      </c>
    </row>
    <row r="8602" spans="1:6" ht="30" customHeight="1" x14ac:dyDescent="0.25">
      <c r="A8602" s="1" t="s">
        <v>17133</v>
      </c>
      <c r="B8602" s="1" t="str">
        <f>"9780253013040"</f>
        <v>9780253013040</v>
      </c>
      <c r="C8602" s="1" t="s">
        <v>19</v>
      </c>
      <c r="D8602" s="2">
        <v>42125</v>
      </c>
      <c r="E8602" s="1" t="s">
        <v>17134</v>
      </c>
      <c r="F8602" s="1" t="s">
        <v>70</v>
      </c>
    </row>
    <row r="8603" spans="1:6" ht="30" customHeight="1" x14ac:dyDescent="0.25">
      <c r="A8603" s="1" t="s">
        <v>17135</v>
      </c>
      <c r="B8603" s="1" t="str">
        <f>"9781907830600"</f>
        <v>9781907830600</v>
      </c>
      <c r="C8603" s="1" t="s">
        <v>11198</v>
      </c>
      <c r="D8603" s="2">
        <v>42111</v>
      </c>
      <c r="E8603" s="1" t="s">
        <v>17136</v>
      </c>
      <c r="F8603" s="1" t="s">
        <v>126</v>
      </c>
    </row>
    <row r="8604" spans="1:6" ht="30" customHeight="1" x14ac:dyDescent="0.25">
      <c r="A8604" s="1" t="s">
        <v>17137</v>
      </c>
      <c r="B8604" s="1" t="str">
        <f>"9781907830914"</f>
        <v>9781907830914</v>
      </c>
      <c r="C8604" s="1" t="s">
        <v>11198</v>
      </c>
      <c r="D8604" s="2">
        <v>42111</v>
      </c>
      <c r="E8604" s="1" t="s">
        <v>17138</v>
      </c>
      <c r="F8604" s="1" t="s">
        <v>70</v>
      </c>
    </row>
    <row r="8605" spans="1:6" ht="30" customHeight="1" x14ac:dyDescent="0.25">
      <c r="A8605" s="1" t="s">
        <v>17139</v>
      </c>
      <c r="B8605" s="1" t="str">
        <f>"9780199747801"</f>
        <v>9780199747801</v>
      </c>
      <c r="C8605" s="1" t="s">
        <v>1123</v>
      </c>
      <c r="D8605" s="2">
        <v>36531</v>
      </c>
      <c r="E8605" s="1" t="s">
        <v>17140</v>
      </c>
      <c r="F8605" s="1" t="s">
        <v>195</v>
      </c>
    </row>
    <row r="8606" spans="1:6" ht="30" customHeight="1" x14ac:dyDescent="0.25">
      <c r="A8606" s="1" t="s">
        <v>17141</v>
      </c>
      <c r="B8606" s="1" t="str">
        <f>"9780199708826"</f>
        <v>9780199708826</v>
      </c>
      <c r="C8606" s="1" t="s">
        <v>1120</v>
      </c>
      <c r="D8606" s="2">
        <v>40066</v>
      </c>
      <c r="E8606" s="1" t="s">
        <v>17142</v>
      </c>
      <c r="F8606" s="1" t="s">
        <v>13</v>
      </c>
    </row>
    <row r="8607" spans="1:6" ht="30" customHeight="1" x14ac:dyDescent="0.25">
      <c r="A8607" s="1" t="s">
        <v>17143</v>
      </c>
      <c r="B8607" s="1" t="str">
        <f>"9780199759798"</f>
        <v>9780199759798</v>
      </c>
      <c r="C8607" s="1" t="s">
        <v>1123</v>
      </c>
      <c r="D8607" s="2">
        <v>37560</v>
      </c>
      <c r="E8607" s="1" t="s">
        <v>16578</v>
      </c>
      <c r="F8607" s="1" t="s">
        <v>13</v>
      </c>
    </row>
    <row r="8608" spans="1:6" ht="30" customHeight="1" x14ac:dyDescent="0.25">
      <c r="A8608" s="1" t="s">
        <v>17144</v>
      </c>
      <c r="B8608" s="1" t="str">
        <f>"9780199707423"</f>
        <v>9780199707423</v>
      </c>
      <c r="C8608" s="1" t="s">
        <v>1120</v>
      </c>
      <c r="D8608" s="2">
        <v>39784</v>
      </c>
      <c r="E8608" s="1" t="s">
        <v>17145</v>
      </c>
      <c r="F8608" s="1" t="s">
        <v>13</v>
      </c>
    </row>
    <row r="8609" spans="1:6" ht="30" customHeight="1" x14ac:dyDescent="0.25">
      <c r="A8609" s="1" t="s">
        <v>17146</v>
      </c>
      <c r="B8609" s="1" t="str">
        <f>"9780199718344"</f>
        <v>9780199718344</v>
      </c>
      <c r="C8609" s="1" t="s">
        <v>1123</v>
      </c>
      <c r="D8609" s="2">
        <v>39540</v>
      </c>
      <c r="E8609" s="1" t="s">
        <v>5552</v>
      </c>
      <c r="F8609" s="1" t="s">
        <v>13</v>
      </c>
    </row>
    <row r="8610" spans="1:6" ht="30" customHeight="1" x14ac:dyDescent="0.25">
      <c r="A8610" s="1" t="s">
        <v>17147</v>
      </c>
      <c r="B8610" s="1" t="str">
        <f>"9780199748365"</f>
        <v>9780199748365</v>
      </c>
      <c r="C8610" s="1" t="s">
        <v>1120</v>
      </c>
      <c r="D8610" s="2">
        <v>39266</v>
      </c>
      <c r="E8610" s="1" t="s">
        <v>17148</v>
      </c>
      <c r="F8610" s="1" t="s">
        <v>356</v>
      </c>
    </row>
    <row r="8611" spans="1:6" ht="30" customHeight="1" x14ac:dyDescent="0.25">
      <c r="A8611" s="1" t="s">
        <v>17149</v>
      </c>
      <c r="B8611" s="1" t="str">
        <f>"9781597567954"</f>
        <v>9781597567954</v>
      </c>
      <c r="C8611" s="1" t="s">
        <v>15933</v>
      </c>
      <c r="D8611" s="2">
        <v>42124</v>
      </c>
      <c r="E8611" s="1" t="s">
        <v>17150</v>
      </c>
      <c r="F8611" s="1" t="s">
        <v>13</v>
      </c>
    </row>
    <row r="8612" spans="1:6" ht="30" customHeight="1" x14ac:dyDescent="0.25">
      <c r="A8612" s="1" t="s">
        <v>17151</v>
      </c>
      <c r="B8612" s="1" t="str">
        <f>"9781597568388"</f>
        <v>9781597568388</v>
      </c>
      <c r="C8612" s="1" t="s">
        <v>15933</v>
      </c>
      <c r="D8612" s="2">
        <v>39600</v>
      </c>
      <c r="E8612" s="1" t="s">
        <v>17152</v>
      </c>
      <c r="F8612" s="1" t="s">
        <v>13</v>
      </c>
    </row>
    <row r="8613" spans="1:6" ht="30" customHeight="1" x14ac:dyDescent="0.25">
      <c r="A8613" s="1" t="s">
        <v>17153</v>
      </c>
      <c r="B8613" s="1" t="str">
        <f>"9781597567343"</f>
        <v>9781597567343</v>
      </c>
      <c r="C8613" s="1" t="s">
        <v>15933</v>
      </c>
      <c r="D8613" s="2">
        <v>41913</v>
      </c>
      <c r="E8613" s="1" t="s">
        <v>17154</v>
      </c>
      <c r="F8613" s="1" t="s">
        <v>13</v>
      </c>
    </row>
    <row r="8614" spans="1:6" ht="30" customHeight="1" x14ac:dyDescent="0.25">
      <c r="A8614" s="1" t="s">
        <v>17155</v>
      </c>
      <c r="B8614" s="1" t="str">
        <f>"9781597568500"</f>
        <v>9781597568500</v>
      </c>
      <c r="C8614" s="1" t="s">
        <v>15933</v>
      </c>
      <c r="D8614" s="2">
        <v>39630</v>
      </c>
      <c r="E8614" s="1" t="s">
        <v>17156</v>
      </c>
      <c r="F8614" s="1" t="s">
        <v>13</v>
      </c>
    </row>
    <row r="8615" spans="1:6" ht="30" customHeight="1" x14ac:dyDescent="0.25">
      <c r="A8615" s="1" t="s">
        <v>17157</v>
      </c>
      <c r="B8615" s="1" t="str">
        <f>"9781597565066"</f>
        <v>9781597565066</v>
      </c>
      <c r="C8615" s="1" t="s">
        <v>15933</v>
      </c>
      <c r="D8615" s="2">
        <v>38808</v>
      </c>
      <c r="E8615" s="1" t="s">
        <v>17158</v>
      </c>
      <c r="F8615" s="1" t="s">
        <v>13</v>
      </c>
    </row>
    <row r="8616" spans="1:6" ht="30" customHeight="1" x14ac:dyDescent="0.25">
      <c r="A8616" s="1" t="s">
        <v>17159</v>
      </c>
      <c r="B8616" s="1" t="str">
        <f>"9781469846224"</f>
        <v>9781469846224</v>
      </c>
      <c r="C8616" s="1" t="s">
        <v>16613</v>
      </c>
      <c r="D8616" s="2">
        <v>41582</v>
      </c>
      <c r="E8616" s="1" t="s">
        <v>17160</v>
      </c>
      <c r="F8616" s="1" t="s">
        <v>13</v>
      </c>
    </row>
    <row r="8617" spans="1:6" ht="30" customHeight="1" x14ac:dyDescent="0.25">
      <c r="A8617" s="1" t="s">
        <v>17161</v>
      </c>
      <c r="B8617" s="1" t="str">
        <f>"9781119029366"</f>
        <v>9781119029366</v>
      </c>
      <c r="C8617" s="1" t="s">
        <v>65</v>
      </c>
      <c r="D8617" s="2">
        <v>42118</v>
      </c>
      <c r="E8617" s="1" t="s">
        <v>17162</v>
      </c>
      <c r="F8617" s="1" t="s">
        <v>13</v>
      </c>
    </row>
    <row r="8618" spans="1:6" ht="30" customHeight="1" x14ac:dyDescent="0.25">
      <c r="A8618" s="1" t="s">
        <v>17163</v>
      </c>
      <c r="B8618" s="1" t="str">
        <f>"9780822973508"</f>
        <v>9780822973508</v>
      </c>
      <c r="C8618" s="1" t="s">
        <v>17164</v>
      </c>
      <c r="D8618" s="2">
        <v>41881</v>
      </c>
      <c r="E8618" s="1" t="s">
        <v>17165</v>
      </c>
      <c r="F8618" s="1" t="s">
        <v>1349</v>
      </c>
    </row>
    <row r="8619" spans="1:6" ht="30" customHeight="1" x14ac:dyDescent="0.25">
      <c r="A8619" s="1" t="s">
        <v>17166</v>
      </c>
      <c r="B8619" s="1" t="str">
        <f>"9780822977841"</f>
        <v>9780822977841</v>
      </c>
      <c r="C8619" s="1" t="s">
        <v>17164</v>
      </c>
      <c r="D8619" s="2">
        <v>41872</v>
      </c>
      <c r="E8619" s="1" t="s">
        <v>17167</v>
      </c>
      <c r="F8619" s="1" t="s">
        <v>70</v>
      </c>
    </row>
    <row r="8620" spans="1:6" ht="30" customHeight="1" x14ac:dyDescent="0.25">
      <c r="A8620" s="1" t="s">
        <v>17168</v>
      </c>
      <c r="B8620" s="1" t="str">
        <f>"9780822977858"</f>
        <v>9780822977858</v>
      </c>
      <c r="C8620" s="1" t="s">
        <v>17164</v>
      </c>
      <c r="D8620" s="2">
        <v>41014</v>
      </c>
      <c r="E8620" s="1" t="s">
        <v>17169</v>
      </c>
      <c r="F8620" s="1" t="s">
        <v>176</v>
      </c>
    </row>
    <row r="8621" spans="1:6" ht="30" customHeight="1" x14ac:dyDescent="0.25">
      <c r="A8621" s="1" t="s">
        <v>17170</v>
      </c>
      <c r="B8621" s="1" t="str">
        <f>"9780822973874"</f>
        <v>9780822973874</v>
      </c>
      <c r="C8621" s="1" t="s">
        <v>17164</v>
      </c>
      <c r="D8621" s="2">
        <v>41872</v>
      </c>
      <c r="E8621" s="1" t="s">
        <v>17171</v>
      </c>
      <c r="F8621" s="1" t="s">
        <v>70</v>
      </c>
    </row>
    <row r="8622" spans="1:6" ht="30" customHeight="1" x14ac:dyDescent="0.25">
      <c r="A8622" s="1" t="s">
        <v>17172</v>
      </c>
      <c r="B8622" s="1" t="str">
        <f>"9781920499822"</f>
        <v>9781920499822</v>
      </c>
      <c r="C8622" s="1" t="s">
        <v>17173</v>
      </c>
      <c r="D8622" s="2">
        <v>39873</v>
      </c>
      <c r="E8622" s="1" t="s">
        <v>17174</v>
      </c>
      <c r="F8622" s="1" t="s">
        <v>30</v>
      </c>
    </row>
    <row r="8623" spans="1:6" ht="30" customHeight="1" x14ac:dyDescent="0.25">
      <c r="A8623" s="1" t="s">
        <v>17175</v>
      </c>
      <c r="B8623" s="1" t="str">
        <f>"9788024625997"</f>
        <v>9788024625997</v>
      </c>
      <c r="C8623" s="1" t="s">
        <v>16517</v>
      </c>
      <c r="D8623" s="2">
        <v>42005</v>
      </c>
      <c r="E8623" s="1" t="s">
        <v>17176</v>
      </c>
      <c r="F8623" s="1" t="s">
        <v>13</v>
      </c>
    </row>
    <row r="8624" spans="1:6" ht="30" customHeight="1" x14ac:dyDescent="0.25">
      <c r="A8624" s="1" t="s">
        <v>17177</v>
      </c>
      <c r="B8624" s="1" t="str">
        <f>"9788024629698"</f>
        <v>9788024629698</v>
      </c>
      <c r="C8624" s="1" t="s">
        <v>16517</v>
      </c>
      <c r="D8624" s="2">
        <v>42064</v>
      </c>
      <c r="E8624" s="1" t="s">
        <v>17178</v>
      </c>
      <c r="F8624" s="1" t="s">
        <v>13</v>
      </c>
    </row>
    <row r="8625" spans="1:6" ht="30" customHeight="1" x14ac:dyDescent="0.25">
      <c r="A8625" s="1" t="s">
        <v>17179</v>
      </c>
      <c r="B8625" s="1" t="str">
        <f>"9781118472439"</f>
        <v>9781118472439</v>
      </c>
      <c r="C8625" s="1" t="s">
        <v>65</v>
      </c>
      <c r="D8625" s="2">
        <v>42122</v>
      </c>
      <c r="E8625" s="1" t="s">
        <v>17180</v>
      </c>
      <c r="F8625" s="1" t="s">
        <v>70</v>
      </c>
    </row>
    <row r="8626" spans="1:6" ht="30" customHeight="1" x14ac:dyDescent="0.25">
      <c r="A8626" s="1" t="s">
        <v>17181</v>
      </c>
      <c r="B8626" s="1" t="str">
        <f>"9781118721346"</f>
        <v>9781118721346</v>
      </c>
      <c r="C8626" s="1" t="s">
        <v>65</v>
      </c>
      <c r="D8626" s="2">
        <v>42121</v>
      </c>
      <c r="E8626" s="1" t="s">
        <v>17182</v>
      </c>
      <c r="F8626" s="1" t="s">
        <v>13</v>
      </c>
    </row>
    <row r="8627" spans="1:6" ht="30" customHeight="1" x14ac:dyDescent="0.25">
      <c r="A8627" s="1" t="s">
        <v>17183</v>
      </c>
      <c r="B8627" s="1" t="str">
        <f>"9789240692787"</f>
        <v>9789240692787</v>
      </c>
      <c r="C8627" s="1" t="s">
        <v>1981</v>
      </c>
      <c r="D8627" s="2">
        <v>41988</v>
      </c>
      <c r="E8627" s="1" t="s">
        <v>17184</v>
      </c>
      <c r="F8627" s="1" t="s">
        <v>599</v>
      </c>
    </row>
    <row r="8628" spans="1:6" ht="30" customHeight="1" x14ac:dyDescent="0.25">
      <c r="A8628" s="1" t="s">
        <v>17185</v>
      </c>
      <c r="B8628" s="1" t="str">
        <f>"9789240692794"</f>
        <v>9789240692794</v>
      </c>
      <c r="C8628" s="1" t="s">
        <v>1981</v>
      </c>
      <c r="D8628" s="2">
        <v>41761</v>
      </c>
      <c r="E8628" s="1" t="s">
        <v>17184</v>
      </c>
      <c r="F8628" s="1" t="s">
        <v>356</v>
      </c>
    </row>
    <row r="8629" spans="1:6" ht="30" customHeight="1" x14ac:dyDescent="0.25">
      <c r="A8629" s="1" t="s">
        <v>17186</v>
      </c>
      <c r="B8629" s="1" t="str">
        <f>"9781681080345"</f>
        <v>9781681080345</v>
      </c>
      <c r="C8629" s="1" t="s">
        <v>11332</v>
      </c>
      <c r="D8629" s="2">
        <v>42122</v>
      </c>
      <c r="E8629" s="1" t="s">
        <v>17187</v>
      </c>
      <c r="F8629" s="1" t="s">
        <v>268</v>
      </c>
    </row>
    <row r="8630" spans="1:6" ht="30" customHeight="1" x14ac:dyDescent="0.25">
      <c r="A8630" s="1" t="s">
        <v>17188</v>
      </c>
      <c r="B8630" s="1" t="str">
        <f>"9781617052255"</f>
        <v>9781617052255</v>
      </c>
      <c r="C8630" s="1" t="s">
        <v>2342</v>
      </c>
      <c r="D8630" s="2">
        <v>42005</v>
      </c>
      <c r="E8630" s="1" t="s">
        <v>17189</v>
      </c>
      <c r="F8630" s="1" t="s">
        <v>13</v>
      </c>
    </row>
    <row r="8631" spans="1:6" ht="30" customHeight="1" x14ac:dyDescent="0.25">
      <c r="A8631" s="1" t="s">
        <v>17190</v>
      </c>
      <c r="B8631" s="1" t="str">
        <f>"9782742014101"</f>
        <v>9782742014101</v>
      </c>
      <c r="C8631" s="1" t="s">
        <v>17191</v>
      </c>
      <c r="D8631" s="2">
        <v>41989</v>
      </c>
      <c r="E8631" s="1" t="s">
        <v>17192</v>
      </c>
      <c r="F8631" s="1" t="s">
        <v>13</v>
      </c>
    </row>
    <row r="8632" spans="1:6" ht="30" customHeight="1" x14ac:dyDescent="0.25">
      <c r="A8632" s="1" t="s">
        <v>17193</v>
      </c>
      <c r="B8632" s="1" t="str">
        <f>"9781597568074"</f>
        <v>9781597568074</v>
      </c>
      <c r="C8632" s="1" t="s">
        <v>15933</v>
      </c>
      <c r="D8632" s="2">
        <v>42137</v>
      </c>
      <c r="E8632" s="1" t="s">
        <v>17194</v>
      </c>
      <c r="F8632" s="1" t="s">
        <v>356</v>
      </c>
    </row>
    <row r="8633" spans="1:6" ht="30" customHeight="1" x14ac:dyDescent="0.25">
      <c r="A8633" s="1" t="s">
        <v>17195</v>
      </c>
      <c r="B8633" s="1" t="str">
        <f>"9781597568128"</f>
        <v>9781597568128</v>
      </c>
      <c r="C8633" s="1" t="s">
        <v>15933</v>
      </c>
      <c r="D8633" s="2">
        <v>40148</v>
      </c>
      <c r="E8633" s="1" t="s">
        <v>17196</v>
      </c>
      <c r="F8633" s="1" t="s">
        <v>13</v>
      </c>
    </row>
    <row r="8634" spans="1:6" ht="30" customHeight="1" x14ac:dyDescent="0.25">
      <c r="A8634" s="1" t="s">
        <v>17197</v>
      </c>
      <c r="B8634" s="1" t="str">
        <f>"9781597568180"</f>
        <v>9781597568180</v>
      </c>
      <c r="C8634" s="1" t="s">
        <v>15933</v>
      </c>
      <c r="D8634" s="2">
        <v>42142</v>
      </c>
      <c r="E8634" s="1" t="s">
        <v>17198</v>
      </c>
      <c r="F8634" s="1" t="s">
        <v>13</v>
      </c>
    </row>
    <row r="8635" spans="1:6" ht="30" customHeight="1" x14ac:dyDescent="0.25">
      <c r="A8635" s="1" t="s">
        <v>17199</v>
      </c>
      <c r="B8635" s="1" t="str">
        <f>"9781597568357"</f>
        <v>9781597568357</v>
      </c>
      <c r="C8635" s="1" t="s">
        <v>15933</v>
      </c>
      <c r="D8635" s="2">
        <v>39417</v>
      </c>
      <c r="E8635" s="1" t="s">
        <v>17200</v>
      </c>
      <c r="F8635" s="1" t="s">
        <v>13</v>
      </c>
    </row>
    <row r="8636" spans="1:6" ht="30" customHeight="1" x14ac:dyDescent="0.25">
      <c r="A8636" s="1" t="s">
        <v>17201</v>
      </c>
      <c r="B8636" s="1" t="str">
        <f>"9781597568463"</f>
        <v>9781597568463</v>
      </c>
      <c r="C8636" s="1" t="s">
        <v>15933</v>
      </c>
      <c r="D8636" s="2">
        <v>39479</v>
      </c>
      <c r="E8636" s="1" t="s">
        <v>17202</v>
      </c>
      <c r="F8636" s="1" t="s">
        <v>13</v>
      </c>
    </row>
    <row r="8637" spans="1:6" ht="30" customHeight="1" x14ac:dyDescent="0.25">
      <c r="A8637" s="1" t="s">
        <v>17203</v>
      </c>
      <c r="B8637" s="1" t="str">
        <f>"9781597568470"</f>
        <v>9781597568470</v>
      </c>
      <c r="C8637" s="1" t="s">
        <v>15933</v>
      </c>
      <c r="D8637" s="2">
        <v>39234</v>
      </c>
      <c r="E8637" s="1" t="s">
        <v>17204</v>
      </c>
      <c r="F8637" s="1" t="s">
        <v>17205</v>
      </c>
    </row>
    <row r="8638" spans="1:6" ht="30" customHeight="1" x14ac:dyDescent="0.25">
      <c r="A8638" s="1" t="s">
        <v>17206</v>
      </c>
      <c r="B8638" s="1" t="str">
        <f>"9781597568043"</f>
        <v>9781597568043</v>
      </c>
      <c r="C8638" s="1" t="s">
        <v>15933</v>
      </c>
      <c r="D8638" s="2">
        <v>42142</v>
      </c>
      <c r="E8638" s="1" t="s">
        <v>17207</v>
      </c>
      <c r="F8638" s="1" t="s">
        <v>13</v>
      </c>
    </row>
    <row r="8639" spans="1:6" ht="30" customHeight="1" x14ac:dyDescent="0.25">
      <c r="A8639" s="1" t="s">
        <v>17208</v>
      </c>
      <c r="B8639" s="1" t="str">
        <f>"9781597568067"</f>
        <v>9781597568067</v>
      </c>
      <c r="C8639" s="1" t="s">
        <v>15933</v>
      </c>
      <c r="D8639" s="2">
        <v>38671</v>
      </c>
      <c r="E8639" s="1" t="s">
        <v>17209</v>
      </c>
      <c r="F8639" s="1" t="s">
        <v>13</v>
      </c>
    </row>
    <row r="8640" spans="1:6" ht="30" customHeight="1" x14ac:dyDescent="0.25">
      <c r="A8640" s="1" t="s">
        <v>17210</v>
      </c>
      <c r="B8640" s="1" t="str">
        <f>"9781597568258"</f>
        <v>9781597568258</v>
      </c>
      <c r="C8640" s="1" t="s">
        <v>15933</v>
      </c>
      <c r="D8640" s="2">
        <v>39022</v>
      </c>
      <c r="E8640" s="1" t="s">
        <v>17211</v>
      </c>
      <c r="F8640" s="1" t="s">
        <v>13</v>
      </c>
    </row>
    <row r="8641" spans="1:6" ht="30" customHeight="1" x14ac:dyDescent="0.25">
      <c r="A8641" s="1" t="s">
        <v>17212</v>
      </c>
      <c r="B8641" s="1" t="str">
        <f>"9781597568272"</f>
        <v>9781597568272</v>
      </c>
      <c r="C8641" s="1" t="s">
        <v>15933</v>
      </c>
      <c r="D8641" s="2">
        <v>39234</v>
      </c>
      <c r="E8641" s="1" t="s">
        <v>17213</v>
      </c>
      <c r="F8641" s="1" t="s">
        <v>13</v>
      </c>
    </row>
    <row r="8642" spans="1:6" ht="30" customHeight="1" x14ac:dyDescent="0.25">
      <c r="A8642" s="1" t="s">
        <v>17214</v>
      </c>
      <c r="B8642" s="1" t="str">
        <f>"9781597568487"</f>
        <v>9781597568487</v>
      </c>
      <c r="C8642" s="1" t="s">
        <v>15933</v>
      </c>
      <c r="D8642" s="2">
        <v>38777</v>
      </c>
      <c r="E8642" s="1" t="s">
        <v>17215</v>
      </c>
      <c r="F8642" s="1" t="s">
        <v>13</v>
      </c>
    </row>
    <row r="8643" spans="1:6" ht="30" customHeight="1" x14ac:dyDescent="0.25">
      <c r="A8643" s="1" t="s">
        <v>17216</v>
      </c>
      <c r="B8643" s="1" t="str">
        <f>"9780313352744"</f>
        <v>9780313352744</v>
      </c>
      <c r="C8643" s="1" t="s">
        <v>7550</v>
      </c>
      <c r="D8643" s="2">
        <v>39933</v>
      </c>
      <c r="E8643" s="1" t="s">
        <v>17217</v>
      </c>
      <c r="F8643" s="1" t="s">
        <v>13</v>
      </c>
    </row>
    <row r="8644" spans="1:6" ht="30" customHeight="1" x14ac:dyDescent="0.25">
      <c r="A8644" s="1" t="s">
        <v>17218</v>
      </c>
      <c r="B8644" s="1" t="str">
        <f>"9781907830990"</f>
        <v>9781907830990</v>
      </c>
      <c r="C8644" s="1" t="s">
        <v>11198</v>
      </c>
      <c r="D8644" s="2">
        <v>42142</v>
      </c>
      <c r="E8644" s="1" t="s">
        <v>12795</v>
      </c>
      <c r="F8644" s="1" t="s">
        <v>30</v>
      </c>
    </row>
    <row r="8645" spans="1:6" ht="30" customHeight="1" x14ac:dyDescent="0.25">
      <c r="A8645" s="1" t="s">
        <v>17219</v>
      </c>
      <c r="B8645" s="1" t="str">
        <f>"9781782413264"</f>
        <v>9781782413264</v>
      </c>
      <c r="C8645" s="1" t="s">
        <v>68</v>
      </c>
      <c r="D8645" s="2">
        <v>42167</v>
      </c>
      <c r="E8645" s="1" t="s">
        <v>17220</v>
      </c>
      <c r="F8645" s="1" t="s">
        <v>104</v>
      </c>
    </row>
    <row r="8646" spans="1:6" ht="30" customHeight="1" x14ac:dyDescent="0.25">
      <c r="A8646" s="1" t="s">
        <v>17221</v>
      </c>
      <c r="B8646" s="1" t="str">
        <f>"9781611172461"</f>
        <v>9781611172461</v>
      </c>
      <c r="C8646" s="1" t="s">
        <v>17222</v>
      </c>
      <c r="D8646" s="2">
        <v>41394</v>
      </c>
      <c r="E8646" s="1" t="s">
        <v>17223</v>
      </c>
      <c r="F8646" s="1" t="s">
        <v>406</v>
      </c>
    </row>
    <row r="8647" spans="1:6" ht="30" customHeight="1" x14ac:dyDescent="0.25">
      <c r="A8647" s="1" t="s">
        <v>17224</v>
      </c>
      <c r="B8647" s="1" t="str">
        <f>"9781611174625"</f>
        <v>9781611174625</v>
      </c>
      <c r="C8647" s="1" t="s">
        <v>17222</v>
      </c>
      <c r="D8647" s="2">
        <v>42034</v>
      </c>
      <c r="E8647" s="1" t="s">
        <v>17225</v>
      </c>
      <c r="F8647" s="1" t="s">
        <v>268</v>
      </c>
    </row>
    <row r="8648" spans="1:6" ht="30" customHeight="1" x14ac:dyDescent="0.25">
      <c r="A8648" s="1" t="s">
        <v>17226</v>
      </c>
      <c r="B8648" s="1" t="str">
        <f>"9781597567985"</f>
        <v>9781597567985</v>
      </c>
      <c r="C8648" s="1" t="s">
        <v>15933</v>
      </c>
      <c r="D8648" s="2">
        <v>42151</v>
      </c>
      <c r="E8648" s="1" t="s">
        <v>17227</v>
      </c>
      <c r="F8648" s="1" t="s">
        <v>13</v>
      </c>
    </row>
    <row r="8649" spans="1:6" ht="30" customHeight="1" x14ac:dyDescent="0.25">
      <c r="A8649" s="1" t="s">
        <v>17228</v>
      </c>
      <c r="B8649" s="1" t="str">
        <f>"9781597568227"</f>
        <v>9781597568227</v>
      </c>
      <c r="C8649" s="1" t="s">
        <v>15933</v>
      </c>
      <c r="D8649" s="2">
        <v>38777</v>
      </c>
      <c r="E8649" s="1" t="s">
        <v>17229</v>
      </c>
      <c r="F8649" s="1" t="s">
        <v>13</v>
      </c>
    </row>
    <row r="8650" spans="1:6" ht="30" customHeight="1" x14ac:dyDescent="0.25">
      <c r="A8650" s="1" t="s">
        <v>17230</v>
      </c>
      <c r="B8650" s="1" t="str">
        <f>"9781597568234"</f>
        <v>9781597568234</v>
      </c>
      <c r="C8650" s="1" t="s">
        <v>15933</v>
      </c>
      <c r="D8650" s="2">
        <v>38961</v>
      </c>
      <c r="E8650" s="1" t="s">
        <v>17231</v>
      </c>
      <c r="F8650" s="1" t="s">
        <v>13</v>
      </c>
    </row>
    <row r="8651" spans="1:6" ht="30" customHeight="1" x14ac:dyDescent="0.25">
      <c r="A8651" s="1" t="s">
        <v>17232</v>
      </c>
      <c r="B8651" s="1" t="str">
        <f>"9781597568449"</f>
        <v>9781597568449</v>
      </c>
      <c r="C8651" s="1" t="s">
        <v>15933</v>
      </c>
      <c r="D8651" s="2">
        <v>42151</v>
      </c>
      <c r="E8651" s="1" t="s">
        <v>17233</v>
      </c>
      <c r="F8651" s="1" t="s">
        <v>13</v>
      </c>
    </row>
    <row r="8652" spans="1:6" ht="30" customHeight="1" x14ac:dyDescent="0.25">
      <c r="A8652" s="1" t="s">
        <v>17234</v>
      </c>
      <c r="B8652" s="1" t="str">
        <f>"9781597568456"</f>
        <v>9781597568456</v>
      </c>
      <c r="C8652" s="1" t="s">
        <v>15933</v>
      </c>
      <c r="D8652" s="2">
        <v>39022</v>
      </c>
      <c r="E8652" s="1" t="s">
        <v>17235</v>
      </c>
      <c r="F8652" s="1" t="s">
        <v>13</v>
      </c>
    </row>
    <row r="8653" spans="1:6" ht="30" customHeight="1" x14ac:dyDescent="0.25">
      <c r="A8653" s="1" t="s">
        <v>17236</v>
      </c>
      <c r="B8653" s="1" t="str">
        <f>"9781119087908"</f>
        <v>9781119087908</v>
      </c>
      <c r="C8653" s="1" t="s">
        <v>65</v>
      </c>
      <c r="D8653" s="2">
        <v>42143</v>
      </c>
      <c r="E8653" s="1" t="s">
        <v>17237</v>
      </c>
      <c r="F8653" s="1" t="s">
        <v>13</v>
      </c>
    </row>
    <row r="8654" spans="1:6" ht="30" customHeight="1" x14ac:dyDescent="0.25">
      <c r="A8654" s="1" t="s">
        <v>17238</v>
      </c>
      <c r="B8654" s="1" t="str">
        <f>"9781782413615"</f>
        <v>9781782413615</v>
      </c>
      <c r="C8654" s="1" t="s">
        <v>8994</v>
      </c>
      <c r="D8654" s="2">
        <v>42171</v>
      </c>
      <c r="E8654" s="1" t="s">
        <v>17239</v>
      </c>
      <c r="F8654" s="1" t="s">
        <v>13</v>
      </c>
    </row>
    <row r="8655" spans="1:6" ht="30" customHeight="1" x14ac:dyDescent="0.25">
      <c r="A8655" s="1" t="s">
        <v>17240</v>
      </c>
      <c r="B8655" s="1" t="str">
        <f>"9781118756355"</f>
        <v>9781118756355</v>
      </c>
      <c r="C8655" s="1" t="s">
        <v>65</v>
      </c>
      <c r="D8655" s="2">
        <v>42150</v>
      </c>
      <c r="E8655" s="1" t="s">
        <v>17241</v>
      </c>
      <c r="F8655" s="1" t="s">
        <v>126</v>
      </c>
    </row>
    <row r="8656" spans="1:6" ht="30" customHeight="1" x14ac:dyDescent="0.25">
      <c r="A8656" s="1" t="s">
        <v>17242</v>
      </c>
      <c r="B8656" s="1" t="str">
        <f>"9780275999070"</f>
        <v>9780275999070</v>
      </c>
      <c r="C8656" s="1" t="s">
        <v>7550</v>
      </c>
      <c r="D8656" s="2">
        <v>39721</v>
      </c>
      <c r="E8656" s="1" t="s">
        <v>17243</v>
      </c>
      <c r="F8656" s="1" t="s">
        <v>13</v>
      </c>
    </row>
    <row r="8657" spans="1:6" ht="30" customHeight="1" x14ac:dyDescent="0.25">
      <c r="A8657" s="1" t="s">
        <v>17244</v>
      </c>
      <c r="B8657" s="1" t="str">
        <f>"9781782413417"</f>
        <v>9781782413417</v>
      </c>
      <c r="C8657" s="1" t="s">
        <v>68</v>
      </c>
      <c r="D8657" s="2">
        <v>42164</v>
      </c>
      <c r="E8657" s="1" t="s">
        <v>17245</v>
      </c>
      <c r="F8657" s="1" t="s">
        <v>291</v>
      </c>
    </row>
    <row r="8658" spans="1:6" ht="30" customHeight="1" x14ac:dyDescent="0.25">
      <c r="A8658" s="1" t="s">
        <v>17246</v>
      </c>
      <c r="B8658" s="1" t="str">
        <f>"9781464805370"</f>
        <v>9781464805370</v>
      </c>
      <c r="C8658" s="1" t="s">
        <v>6702</v>
      </c>
      <c r="D8658" s="2">
        <v>42157</v>
      </c>
      <c r="E8658" s="1" t="s">
        <v>17247</v>
      </c>
      <c r="F8658" s="1" t="s">
        <v>30</v>
      </c>
    </row>
    <row r="8659" spans="1:6" ht="30" customHeight="1" x14ac:dyDescent="0.25">
      <c r="A8659" s="1" t="s">
        <v>17248</v>
      </c>
      <c r="B8659" s="1" t="str">
        <f>"9782704014453"</f>
        <v>9782704014453</v>
      </c>
      <c r="C8659" s="1" t="s">
        <v>17249</v>
      </c>
      <c r="D8659" s="2">
        <v>42156</v>
      </c>
      <c r="E8659" s="1" t="s">
        <v>17250</v>
      </c>
      <c r="F8659" s="1" t="s">
        <v>13</v>
      </c>
    </row>
    <row r="8660" spans="1:6" ht="30" customHeight="1" x14ac:dyDescent="0.25">
      <c r="A8660" s="1" t="s">
        <v>17251</v>
      </c>
      <c r="B8660" s="1" t="str">
        <f>"9782742014279"</f>
        <v>9782742014279</v>
      </c>
      <c r="C8660" s="1" t="s">
        <v>17191</v>
      </c>
      <c r="D8660" s="2">
        <v>42156</v>
      </c>
      <c r="E8660" s="1" t="s">
        <v>17252</v>
      </c>
      <c r="F8660" s="1" t="s">
        <v>13</v>
      </c>
    </row>
    <row r="8661" spans="1:6" ht="30" customHeight="1" x14ac:dyDescent="0.25">
      <c r="A8661" s="1" t="s">
        <v>17253</v>
      </c>
      <c r="B8661" s="1" t="str">
        <f>"9781782413134"</f>
        <v>9781782413134</v>
      </c>
      <c r="C8661" s="1" t="s">
        <v>8994</v>
      </c>
      <c r="D8661" s="2">
        <v>42173</v>
      </c>
      <c r="E8661" s="1" t="s">
        <v>9248</v>
      </c>
      <c r="F8661" s="1" t="s">
        <v>13</v>
      </c>
    </row>
    <row r="8662" spans="1:6" ht="30" customHeight="1" x14ac:dyDescent="0.25">
      <c r="A8662" s="1" t="s">
        <v>17254</v>
      </c>
      <c r="B8662" s="1" t="str">
        <f>"9781118746899"</f>
        <v>9781118746899</v>
      </c>
      <c r="C8662" s="1" t="s">
        <v>65</v>
      </c>
      <c r="D8662" s="2">
        <v>42173</v>
      </c>
      <c r="E8662" s="1" t="s">
        <v>17255</v>
      </c>
      <c r="F8662" s="1" t="s">
        <v>13</v>
      </c>
    </row>
    <row r="8663" spans="1:6" ht="30" customHeight="1" x14ac:dyDescent="0.25">
      <c r="A8663" s="1" t="s">
        <v>10765</v>
      </c>
      <c r="B8663" s="1" t="str">
        <f>"9781118761069"</f>
        <v>9781118761069</v>
      </c>
      <c r="C8663" s="1" t="s">
        <v>65</v>
      </c>
      <c r="D8663" s="2">
        <v>42160</v>
      </c>
      <c r="E8663" s="1" t="s">
        <v>17256</v>
      </c>
      <c r="F8663" s="1" t="s">
        <v>13</v>
      </c>
    </row>
    <row r="8664" spans="1:6" ht="30" customHeight="1" x14ac:dyDescent="0.25">
      <c r="A8664" s="1" t="s">
        <v>17257</v>
      </c>
      <c r="B8664" s="1" t="str">
        <f>"9781782972389"</f>
        <v>9781782972389</v>
      </c>
      <c r="C8664" s="1" t="s">
        <v>17258</v>
      </c>
      <c r="D8664" s="2">
        <v>41898</v>
      </c>
      <c r="E8664" s="1" t="s">
        <v>17259</v>
      </c>
      <c r="F8664" s="1" t="s">
        <v>13</v>
      </c>
    </row>
    <row r="8665" spans="1:6" ht="30" customHeight="1" x14ac:dyDescent="0.25">
      <c r="A8665" s="1" t="s">
        <v>17260</v>
      </c>
      <c r="B8665" s="1" t="str">
        <f>"9789988860271"</f>
        <v>9789988860271</v>
      </c>
      <c r="C8665" s="1" t="s">
        <v>13055</v>
      </c>
      <c r="D8665" s="2">
        <v>42002</v>
      </c>
      <c r="E8665" s="1" t="s">
        <v>17261</v>
      </c>
      <c r="F8665" s="1" t="s">
        <v>95</v>
      </c>
    </row>
    <row r="8666" spans="1:6" ht="30" customHeight="1" x14ac:dyDescent="0.25">
      <c r="A8666" s="1" t="s">
        <v>17262</v>
      </c>
      <c r="B8666" s="1" t="str">
        <f>"9789988860288"</f>
        <v>9789988860288</v>
      </c>
      <c r="C8666" s="1" t="s">
        <v>13055</v>
      </c>
      <c r="D8666" s="2">
        <v>41637</v>
      </c>
      <c r="E8666" s="1" t="s">
        <v>17263</v>
      </c>
      <c r="F8666" s="1" t="s">
        <v>13</v>
      </c>
    </row>
    <row r="8667" spans="1:6" ht="30" customHeight="1" x14ac:dyDescent="0.25">
      <c r="A8667" s="1" t="s">
        <v>17264</v>
      </c>
      <c r="B8667" s="1" t="str">
        <f>"9781784500504"</f>
        <v>9781784500504</v>
      </c>
      <c r="C8667" s="1" t="s">
        <v>2387</v>
      </c>
      <c r="D8667" s="2">
        <v>42176</v>
      </c>
      <c r="E8667" s="1" t="s">
        <v>17265</v>
      </c>
      <c r="F8667" s="1" t="s">
        <v>30</v>
      </c>
    </row>
    <row r="8668" spans="1:6" ht="30" customHeight="1" x14ac:dyDescent="0.25">
      <c r="A8668" s="1" t="s">
        <v>17266</v>
      </c>
      <c r="B8668" s="1" t="str">
        <f>"9781782414315"</f>
        <v>9781782414315</v>
      </c>
      <c r="C8668" s="1" t="s">
        <v>8994</v>
      </c>
      <c r="D8668" s="2">
        <v>42185</v>
      </c>
      <c r="E8668" s="1" t="s">
        <v>17267</v>
      </c>
      <c r="F8668" s="1" t="s">
        <v>104</v>
      </c>
    </row>
    <row r="8669" spans="1:6" ht="30" customHeight="1" x14ac:dyDescent="0.25">
      <c r="A8669" s="1" t="s">
        <v>17268</v>
      </c>
      <c r="B8669" s="1" t="str">
        <f>"9781118663356"</f>
        <v>9781118663356</v>
      </c>
      <c r="C8669" s="1" t="s">
        <v>65</v>
      </c>
      <c r="D8669" s="2">
        <v>42307</v>
      </c>
      <c r="E8669" s="1" t="s">
        <v>17269</v>
      </c>
      <c r="F8669" s="1" t="s">
        <v>13</v>
      </c>
    </row>
    <row r="8670" spans="1:6" ht="30" customHeight="1" x14ac:dyDescent="0.25">
      <c r="A8670" s="1" t="s">
        <v>17270</v>
      </c>
      <c r="B8670" s="1" t="str">
        <f>"9781443878746"</f>
        <v>9781443878746</v>
      </c>
      <c r="C8670" s="1" t="s">
        <v>12699</v>
      </c>
      <c r="D8670" s="2">
        <v>42036</v>
      </c>
      <c r="E8670" s="1" t="s">
        <v>17271</v>
      </c>
      <c r="F8670" s="1" t="s">
        <v>2130</v>
      </c>
    </row>
    <row r="8671" spans="1:6" ht="30" customHeight="1" x14ac:dyDescent="0.25">
      <c r="A8671" s="1" t="s">
        <v>17272</v>
      </c>
      <c r="B8671" s="1" t="str">
        <f>"9781443878821"</f>
        <v>9781443878821</v>
      </c>
      <c r="C8671" s="1" t="s">
        <v>12699</v>
      </c>
      <c r="D8671" s="2">
        <v>42064</v>
      </c>
      <c r="E8671" s="1" t="s">
        <v>17273</v>
      </c>
      <c r="F8671" s="1" t="s">
        <v>13</v>
      </c>
    </row>
    <row r="8672" spans="1:6" ht="30" customHeight="1" x14ac:dyDescent="0.25">
      <c r="A8672" s="1" t="s">
        <v>17274</v>
      </c>
      <c r="B8672" s="1" t="str">
        <f>"9781443878920"</f>
        <v>9781443878920</v>
      </c>
      <c r="C8672" s="1" t="s">
        <v>12699</v>
      </c>
      <c r="D8672" s="2">
        <v>42095</v>
      </c>
      <c r="E8672" s="1" t="s">
        <v>17275</v>
      </c>
      <c r="F8672" s="1" t="s">
        <v>13</v>
      </c>
    </row>
    <row r="8673" spans="1:6" ht="30" customHeight="1" x14ac:dyDescent="0.25">
      <c r="A8673" s="1" t="s">
        <v>17276</v>
      </c>
      <c r="B8673" s="1" t="str">
        <f>"9781443878739"</f>
        <v>9781443878739</v>
      </c>
      <c r="C8673" s="1" t="s">
        <v>12699</v>
      </c>
      <c r="D8673" s="2">
        <v>42095</v>
      </c>
      <c r="E8673" s="1" t="s">
        <v>17277</v>
      </c>
      <c r="F8673" s="1" t="s">
        <v>13</v>
      </c>
    </row>
    <row r="8674" spans="1:6" ht="30" customHeight="1" x14ac:dyDescent="0.25">
      <c r="A8674" s="1" t="s">
        <v>17278</v>
      </c>
      <c r="B8674" s="1" t="str">
        <f>"9780833086594"</f>
        <v>9780833086594</v>
      </c>
      <c r="C8674" s="1" t="s">
        <v>516</v>
      </c>
      <c r="D8674" s="2">
        <v>42118</v>
      </c>
      <c r="E8674" s="1" t="s">
        <v>17279</v>
      </c>
      <c r="F8674" s="1" t="s">
        <v>17280</v>
      </c>
    </row>
    <row r="8675" spans="1:6" ht="30" customHeight="1" x14ac:dyDescent="0.25">
      <c r="A8675" s="1" t="s">
        <v>17281</v>
      </c>
      <c r="B8675" s="1" t="str">
        <f>"9781604069082"</f>
        <v>9781604069082</v>
      </c>
      <c r="C8675" s="1" t="s">
        <v>1671</v>
      </c>
      <c r="D8675" s="2">
        <v>42195</v>
      </c>
      <c r="E8675" s="1" t="s">
        <v>17282</v>
      </c>
      <c r="F8675" s="1" t="s">
        <v>13</v>
      </c>
    </row>
    <row r="8676" spans="1:6" ht="30" customHeight="1" x14ac:dyDescent="0.25">
      <c r="A8676" s="1" t="s">
        <v>17283</v>
      </c>
      <c r="B8676" s="1" t="str">
        <f>"9781782413653"</f>
        <v>9781782413653</v>
      </c>
      <c r="C8676" s="1" t="s">
        <v>68</v>
      </c>
      <c r="D8676" s="2">
        <v>42199</v>
      </c>
      <c r="E8676" s="1" t="s">
        <v>17284</v>
      </c>
      <c r="F8676" s="1" t="s">
        <v>13</v>
      </c>
    </row>
    <row r="8677" spans="1:6" ht="30" customHeight="1" x14ac:dyDescent="0.25">
      <c r="A8677" s="1" t="s">
        <v>17285</v>
      </c>
      <c r="B8677" s="1" t="str">
        <f>"9780821445136"</f>
        <v>9780821445136</v>
      </c>
      <c r="C8677" s="1" t="s">
        <v>15419</v>
      </c>
      <c r="D8677" s="2">
        <v>42200</v>
      </c>
      <c r="E8677" s="1" t="s">
        <v>17286</v>
      </c>
      <c r="F8677" s="1" t="s">
        <v>148</v>
      </c>
    </row>
    <row r="8678" spans="1:6" ht="30" customHeight="1" x14ac:dyDescent="0.25">
      <c r="A8678" s="1" t="s">
        <v>17287</v>
      </c>
      <c r="B8678" s="1" t="str">
        <f>"9780833088772"</f>
        <v>9780833088772</v>
      </c>
      <c r="C8678" s="1" t="s">
        <v>516</v>
      </c>
      <c r="D8678" s="2">
        <v>42020</v>
      </c>
      <c r="E8678" s="1" t="s">
        <v>17288</v>
      </c>
      <c r="F8678" s="1" t="s">
        <v>95</v>
      </c>
    </row>
    <row r="8679" spans="1:6" ht="30" customHeight="1" x14ac:dyDescent="0.25">
      <c r="A8679" s="1" t="s">
        <v>17289</v>
      </c>
      <c r="B8679" s="1" t="str">
        <f>"9780833082213"</f>
        <v>9780833082213</v>
      </c>
      <c r="C8679" s="1" t="s">
        <v>516</v>
      </c>
      <c r="D8679" s="2">
        <v>41556</v>
      </c>
      <c r="E8679" s="1" t="s">
        <v>17290</v>
      </c>
      <c r="F8679" s="1" t="s">
        <v>13</v>
      </c>
    </row>
    <row r="8680" spans="1:6" ht="30" customHeight="1" x14ac:dyDescent="0.25">
      <c r="A8680" s="1" t="s">
        <v>17291</v>
      </c>
      <c r="B8680" s="1" t="str">
        <f>"9781118795514"</f>
        <v>9781118795514</v>
      </c>
      <c r="C8680" s="1" t="s">
        <v>65</v>
      </c>
      <c r="D8680" s="2">
        <v>42184</v>
      </c>
      <c r="E8680" s="1" t="s">
        <v>17292</v>
      </c>
      <c r="F8680" s="1" t="s">
        <v>13</v>
      </c>
    </row>
    <row r="8681" spans="1:6" ht="30" customHeight="1" x14ac:dyDescent="0.25">
      <c r="A8681" s="1" t="s">
        <v>17293</v>
      </c>
      <c r="B8681" s="1" t="str">
        <f>"9780820348339"</f>
        <v>9780820348339</v>
      </c>
      <c r="C8681" s="1" t="s">
        <v>13887</v>
      </c>
      <c r="D8681" s="2">
        <v>42200</v>
      </c>
      <c r="E8681" s="1" t="s">
        <v>17294</v>
      </c>
      <c r="F8681" s="1" t="s">
        <v>95</v>
      </c>
    </row>
    <row r="8682" spans="1:6" ht="30" customHeight="1" x14ac:dyDescent="0.25">
      <c r="A8682" s="1" t="s">
        <v>17295</v>
      </c>
      <c r="B8682" s="1" t="str">
        <f>"9781464804557"</f>
        <v>9781464804557</v>
      </c>
      <c r="C8682" s="1" t="s">
        <v>6702</v>
      </c>
      <c r="D8682" s="2">
        <v>42129</v>
      </c>
      <c r="E8682" s="1" t="s">
        <v>17296</v>
      </c>
      <c r="F8682" s="1" t="s">
        <v>30</v>
      </c>
    </row>
    <row r="8683" spans="1:6" ht="30" customHeight="1" x14ac:dyDescent="0.25">
      <c r="A8683" s="1" t="s">
        <v>17297</v>
      </c>
      <c r="B8683" s="1" t="str">
        <f>"9781464805950"</f>
        <v>9781464805950</v>
      </c>
      <c r="C8683" s="1" t="s">
        <v>6702</v>
      </c>
      <c r="D8683" s="2">
        <v>42005</v>
      </c>
      <c r="E8683" s="1" t="s">
        <v>17298</v>
      </c>
      <c r="F8683" s="1" t="s">
        <v>4264</v>
      </c>
    </row>
    <row r="8684" spans="1:6" ht="30" customHeight="1" x14ac:dyDescent="0.25">
      <c r="A8684" s="1" t="s">
        <v>17299</v>
      </c>
      <c r="B8684" s="1" t="str">
        <f>"9780833088543"</f>
        <v>9780833088543</v>
      </c>
      <c r="C8684" s="1" t="s">
        <v>516</v>
      </c>
      <c r="D8684" s="2">
        <v>42124</v>
      </c>
      <c r="E8684" s="1" t="s">
        <v>17300</v>
      </c>
      <c r="F8684" s="1" t="s">
        <v>10335</v>
      </c>
    </row>
    <row r="8685" spans="1:6" ht="30" customHeight="1" x14ac:dyDescent="0.25">
      <c r="A8685" s="1" t="s">
        <v>17301</v>
      </c>
      <c r="B8685" s="1" t="str">
        <f>"9781782413745"</f>
        <v>9781782413745</v>
      </c>
      <c r="C8685" s="1" t="s">
        <v>68</v>
      </c>
      <c r="D8685" s="2">
        <v>42199</v>
      </c>
      <c r="E8685" s="1" t="s">
        <v>9282</v>
      </c>
      <c r="F8685" s="1" t="s">
        <v>13</v>
      </c>
    </row>
    <row r="8686" spans="1:6" ht="30" customHeight="1" x14ac:dyDescent="0.25">
      <c r="A8686" s="1" t="s">
        <v>17302</v>
      </c>
      <c r="B8686" s="1" t="str">
        <f>"9781907830938"</f>
        <v>9781907830938</v>
      </c>
      <c r="C8686" s="1" t="s">
        <v>11198</v>
      </c>
      <c r="D8686" s="2">
        <v>42198</v>
      </c>
      <c r="E8686" s="1" t="s">
        <v>17303</v>
      </c>
      <c r="F8686" s="1" t="s">
        <v>30</v>
      </c>
    </row>
    <row r="8687" spans="1:6" ht="30" customHeight="1" x14ac:dyDescent="0.25">
      <c r="A8687" s="1" t="s">
        <v>17304</v>
      </c>
      <c r="B8687" s="1" t="str">
        <f>"9781785603853"</f>
        <v>9781785603853</v>
      </c>
      <c r="C8687" s="1" t="s">
        <v>971</v>
      </c>
      <c r="D8687" s="2">
        <v>42165</v>
      </c>
      <c r="E8687" s="1" t="s">
        <v>17305</v>
      </c>
      <c r="F8687" s="1" t="s">
        <v>137</v>
      </c>
    </row>
    <row r="8688" spans="1:6" ht="30" customHeight="1" x14ac:dyDescent="0.25">
      <c r="A8688" s="1" t="s">
        <v>17306</v>
      </c>
      <c r="B8688" s="1" t="str">
        <f>"9781782413707"</f>
        <v>9781782413707</v>
      </c>
      <c r="C8688" s="1" t="s">
        <v>68</v>
      </c>
      <c r="D8688" s="2">
        <v>42136</v>
      </c>
      <c r="E8688" s="1" t="s">
        <v>17307</v>
      </c>
      <c r="F8688" s="1" t="s">
        <v>13</v>
      </c>
    </row>
    <row r="8689" spans="1:6" ht="30" customHeight="1" x14ac:dyDescent="0.25">
      <c r="A8689" s="1" t="s">
        <v>17308</v>
      </c>
      <c r="B8689" s="1" t="str">
        <f>"9781845408312"</f>
        <v>9781845408312</v>
      </c>
      <c r="C8689" s="1" t="s">
        <v>9846</v>
      </c>
      <c r="D8689" s="2">
        <v>42170</v>
      </c>
      <c r="E8689" s="1" t="s">
        <v>17309</v>
      </c>
      <c r="F8689" s="1" t="s">
        <v>205</v>
      </c>
    </row>
    <row r="8690" spans="1:6" ht="30" customHeight="1" x14ac:dyDescent="0.25">
      <c r="A8690" s="1" t="s">
        <v>17310</v>
      </c>
      <c r="B8690" s="1" t="str">
        <f>"9781607412007"</f>
        <v>9781607412007</v>
      </c>
      <c r="C8690" s="1" t="s">
        <v>17311</v>
      </c>
      <c r="D8690" s="2">
        <v>41773</v>
      </c>
      <c r="E8690" s="1" t="s">
        <v>17312</v>
      </c>
      <c r="F8690" s="1" t="s">
        <v>30</v>
      </c>
    </row>
    <row r="8691" spans="1:6" ht="30" customHeight="1" x14ac:dyDescent="0.25">
      <c r="A8691" s="1" t="s">
        <v>17313</v>
      </c>
      <c r="B8691" s="1" t="str">
        <f>"9781937661403"</f>
        <v>9781937661403</v>
      </c>
      <c r="C8691" s="1" t="s">
        <v>17314</v>
      </c>
      <c r="D8691" s="2">
        <v>41426</v>
      </c>
      <c r="E8691" s="1" t="s">
        <v>17315</v>
      </c>
      <c r="F8691" s="1" t="s">
        <v>13</v>
      </c>
    </row>
    <row r="8692" spans="1:6" ht="30" customHeight="1" x14ac:dyDescent="0.25">
      <c r="A8692" s="1" t="s">
        <v>17316</v>
      </c>
      <c r="B8692" s="1" t="str">
        <f>"9781559570992"</f>
        <v>9781559570992</v>
      </c>
      <c r="C8692" s="1" t="s">
        <v>17317</v>
      </c>
      <c r="D8692" s="2">
        <v>41091</v>
      </c>
      <c r="E8692" s="1" t="s">
        <v>17318</v>
      </c>
      <c r="F8692" s="1" t="s">
        <v>13</v>
      </c>
    </row>
    <row r="8693" spans="1:6" ht="30" customHeight="1" x14ac:dyDescent="0.25">
      <c r="A8693" s="1" t="s">
        <v>17319</v>
      </c>
      <c r="B8693" s="1" t="str">
        <f>"9781783505685"</f>
        <v>9781783505685</v>
      </c>
      <c r="C8693" s="1" t="s">
        <v>971</v>
      </c>
      <c r="D8693" s="2">
        <v>42201</v>
      </c>
      <c r="E8693" s="1" t="s">
        <v>17320</v>
      </c>
      <c r="F8693" s="1" t="s">
        <v>95</v>
      </c>
    </row>
    <row r="8694" spans="1:6" ht="30" customHeight="1" x14ac:dyDescent="0.25">
      <c r="A8694" s="1" t="s">
        <v>14122</v>
      </c>
      <c r="B8694" s="1" t="str">
        <f>"9781933588414"</f>
        <v>9781933588414</v>
      </c>
      <c r="C8694" s="1" t="s">
        <v>14123</v>
      </c>
      <c r="D8694" s="2">
        <v>42200</v>
      </c>
      <c r="E8694" s="1" t="s">
        <v>14124</v>
      </c>
      <c r="F8694" s="1" t="s">
        <v>6786</v>
      </c>
    </row>
    <row r="8695" spans="1:6" ht="30" customHeight="1" x14ac:dyDescent="0.25">
      <c r="A8695" s="1" t="s">
        <v>17321</v>
      </c>
      <c r="B8695" s="1" t="str">
        <f>"9780702255427"</f>
        <v>9780702255427</v>
      </c>
      <c r="C8695" s="1" t="s">
        <v>14013</v>
      </c>
      <c r="D8695" s="2">
        <v>42278</v>
      </c>
      <c r="E8695" s="1" t="s">
        <v>17322</v>
      </c>
      <c r="F8695" s="1" t="s">
        <v>1338</v>
      </c>
    </row>
    <row r="8696" spans="1:6" ht="30" customHeight="1" x14ac:dyDescent="0.25">
      <c r="A8696" s="1" t="s">
        <v>17323</v>
      </c>
      <c r="B8696" s="1" t="str">
        <f>"9781118913406"</f>
        <v>9781118913406</v>
      </c>
      <c r="C8696" s="1" t="s">
        <v>65</v>
      </c>
      <c r="D8696" s="2">
        <v>42205</v>
      </c>
      <c r="E8696" s="1" t="s">
        <v>17324</v>
      </c>
      <c r="F8696" s="1" t="s">
        <v>268</v>
      </c>
    </row>
    <row r="8697" spans="1:6" ht="30" customHeight="1" x14ac:dyDescent="0.25">
      <c r="A8697" s="1" t="s">
        <v>17325</v>
      </c>
      <c r="B8697" s="1" t="str">
        <f>"9781464805974"</f>
        <v>9781464805974</v>
      </c>
      <c r="C8697" s="1" t="s">
        <v>6702</v>
      </c>
      <c r="D8697" s="2">
        <v>42005</v>
      </c>
      <c r="E8697" s="1" t="s">
        <v>17326</v>
      </c>
      <c r="F8697" s="1" t="s">
        <v>33</v>
      </c>
    </row>
    <row r="8698" spans="1:6" ht="30" customHeight="1" x14ac:dyDescent="0.25">
      <c r="A8698" s="1" t="s">
        <v>17327</v>
      </c>
      <c r="B8698" s="1" t="str">
        <f>"9781616683993"</f>
        <v>9781616683993</v>
      </c>
      <c r="C8698" s="1" t="s">
        <v>17311</v>
      </c>
      <c r="D8698" s="2">
        <v>40360</v>
      </c>
      <c r="E8698" s="1" t="s">
        <v>17328</v>
      </c>
      <c r="F8698" s="1" t="s">
        <v>13</v>
      </c>
    </row>
    <row r="8699" spans="1:6" ht="30" customHeight="1" x14ac:dyDescent="0.25">
      <c r="A8699" s="1" t="s">
        <v>7646</v>
      </c>
      <c r="B8699" s="1" t="str">
        <f>"9781604068337"</f>
        <v>9781604068337</v>
      </c>
      <c r="C8699" s="1" t="s">
        <v>1671</v>
      </c>
      <c r="D8699" s="2">
        <v>42082</v>
      </c>
      <c r="E8699" s="1" t="s">
        <v>17329</v>
      </c>
      <c r="F8699" s="1" t="s">
        <v>13</v>
      </c>
    </row>
    <row r="8700" spans="1:6" ht="30" customHeight="1" x14ac:dyDescent="0.25">
      <c r="A8700" s="1" t="s">
        <v>17330</v>
      </c>
      <c r="B8700" s="1" t="str">
        <f>"9780813055473"</f>
        <v>9780813055473</v>
      </c>
      <c r="C8700" s="1" t="s">
        <v>17331</v>
      </c>
      <c r="D8700" s="2">
        <v>42217</v>
      </c>
      <c r="E8700" s="1" t="s">
        <v>17332</v>
      </c>
      <c r="F8700" s="1" t="s">
        <v>30</v>
      </c>
    </row>
    <row r="8701" spans="1:6" ht="30" customHeight="1" x14ac:dyDescent="0.25">
      <c r="A8701" s="1" t="s">
        <v>17333</v>
      </c>
      <c r="B8701" s="1" t="str">
        <f>"9781782413929"</f>
        <v>9781782413929</v>
      </c>
      <c r="C8701" s="1" t="s">
        <v>8994</v>
      </c>
      <c r="D8701" s="2">
        <v>42240</v>
      </c>
      <c r="E8701" s="1" t="s">
        <v>17334</v>
      </c>
      <c r="F8701" s="1" t="s">
        <v>13</v>
      </c>
    </row>
    <row r="8702" spans="1:6" ht="30" customHeight="1" x14ac:dyDescent="0.25">
      <c r="A8702" s="1" t="s">
        <v>17335</v>
      </c>
      <c r="B8702" s="1" t="str">
        <f>"9781782413936"</f>
        <v>9781782413936</v>
      </c>
      <c r="C8702" s="1" t="s">
        <v>8994</v>
      </c>
      <c r="D8702" s="2">
        <v>42240</v>
      </c>
      <c r="E8702" s="1" t="s">
        <v>17334</v>
      </c>
      <c r="F8702" s="1" t="s">
        <v>13</v>
      </c>
    </row>
    <row r="8703" spans="1:6" ht="30" customHeight="1" x14ac:dyDescent="0.25">
      <c r="A8703" s="1" t="s">
        <v>17336</v>
      </c>
      <c r="B8703" s="1" t="str">
        <f>"9781782413943"</f>
        <v>9781782413943</v>
      </c>
      <c r="C8703" s="1" t="s">
        <v>8994</v>
      </c>
      <c r="D8703" s="2">
        <v>42240</v>
      </c>
      <c r="E8703" s="1" t="s">
        <v>17334</v>
      </c>
      <c r="F8703" s="1" t="s">
        <v>13</v>
      </c>
    </row>
    <row r="8704" spans="1:6" ht="30" customHeight="1" x14ac:dyDescent="0.25">
      <c r="A8704" s="1" t="s">
        <v>17337</v>
      </c>
      <c r="B8704" s="1" t="str">
        <f>"9781782413998"</f>
        <v>9781782413998</v>
      </c>
      <c r="C8704" s="1" t="s">
        <v>68</v>
      </c>
      <c r="D8704" s="2">
        <v>42250</v>
      </c>
      <c r="E8704" s="1" t="s">
        <v>17338</v>
      </c>
      <c r="F8704" s="1" t="s">
        <v>13</v>
      </c>
    </row>
    <row r="8705" spans="1:6" ht="30" customHeight="1" x14ac:dyDescent="0.25">
      <c r="A8705" s="1" t="s">
        <v>17339</v>
      </c>
      <c r="B8705" s="1" t="str">
        <f>"9780826127792"</f>
        <v>9780826127792</v>
      </c>
      <c r="C8705" s="1" t="s">
        <v>2339</v>
      </c>
      <c r="D8705" s="2">
        <v>42205</v>
      </c>
      <c r="E8705" s="1" t="s">
        <v>17340</v>
      </c>
      <c r="F8705" s="1" t="s">
        <v>13</v>
      </c>
    </row>
    <row r="8706" spans="1:6" ht="30" customHeight="1" x14ac:dyDescent="0.25">
      <c r="A8706" s="1" t="s">
        <v>17341</v>
      </c>
      <c r="B8706" s="1" t="str">
        <f>"9780826194558"</f>
        <v>9780826194558</v>
      </c>
      <c r="C8706" s="1" t="s">
        <v>2339</v>
      </c>
      <c r="D8706" s="2">
        <v>42213</v>
      </c>
      <c r="E8706" s="1" t="s">
        <v>17342</v>
      </c>
      <c r="F8706" s="1" t="s">
        <v>13</v>
      </c>
    </row>
    <row r="8707" spans="1:6" ht="30" customHeight="1" x14ac:dyDescent="0.25">
      <c r="A8707" s="1" t="s">
        <v>17343</v>
      </c>
      <c r="B8707" s="1" t="str">
        <f>"9780826122483"</f>
        <v>9780826122483</v>
      </c>
      <c r="C8707" s="1" t="s">
        <v>2339</v>
      </c>
      <c r="D8707" s="2">
        <v>42058</v>
      </c>
      <c r="E8707" s="1" t="s">
        <v>17344</v>
      </c>
      <c r="F8707" s="1" t="s">
        <v>82</v>
      </c>
    </row>
    <row r="8708" spans="1:6" ht="30" customHeight="1" x14ac:dyDescent="0.25">
      <c r="A8708" s="1" t="s">
        <v>17345</v>
      </c>
      <c r="B8708" s="1" t="str">
        <f>"9780826119926"</f>
        <v>9780826119926</v>
      </c>
      <c r="C8708" s="1" t="s">
        <v>2339</v>
      </c>
      <c r="D8708" s="2">
        <v>42036</v>
      </c>
      <c r="E8708" s="1" t="s">
        <v>17346</v>
      </c>
      <c r="F8708" s="1" t="s">
        <v>8570</v>
      </c>
    </row>
    <row r="8709" spans="1:6" ht="30" customHeight="1" x14ac:dyDescent="0.25">
      <c r="A8709" s="1" t="s">
        <v>17347</v>
      </c>
      <c r="B8709" s="1" t="str">
        <f>"9780826128034"</f>
        <v>9780826128034</v>
      </c>
      <c r="C8709" s="1" t="s">
        <v>2339</v>
      </c>
      <c r="D8709" s="2">
        <v>42079</v>
      </c>
      <c r="E8709" s="1" t="s">
        <v>17348</v>
      </c>
      <c r="F8709" s="1" t="s">
        <v>301</v>
      </c>
    </row>
    <row r="8710" spans="1:6" ht="30" customHeight="1" x14ac:dyDescent="0.25">
      <c r="A8710" s="1" t="s">
        <v>17349</v>
      </c>
      <c r="B8710" s="1" t="str">
        <f>"9780826130433"</f>
        <v>9780826130433</v>
      </c>
      <c r="C8710" s="1" t="s">
        <v>2339</v>
      </c>
      <c r="D8710" s="2">
        <v>42072</v>
      </c>
      <c r="E8710" s="1" t="s">
        <v>17350</v>
      </c>
      <c r="F8710" s="1" t="s">
        <v>126</v>
      </c>
    </row>
    <row r="8711" spans="1:6" ht="30" customHeight="1" x14ac:dyDescent="0.25">
      <c r="A8711" s="1" t="s">
        <v>17351</v>
      </c>
      <c r="B8711" s="1" t="str">
        <f>"9780826126092"</f>
        <v>9780826126092</v>
      </c>
      <c r="C8711" s="1" t="s">
        <v>2339</v>
      </c>
      <c r="D8711" s="2">
        <v>42069</v>
      </c>
      <c r="E8711" s="1" t="s">
        <v>17352</v>
      </c>
      <c r="F8711" s="1" t="s">
        <v>13</v>
      </c>
    </row>
    <row r="8712" spans="1:6" ht="30" customHeight="1" x14ac:dyDescent="0.25">
      <c r="A8712" s="1" t="s">
        <v>17353</v>
      </c>
      <c r="B8712" s="1" t="str">
        <f>"9780826128775"</f>
        <v>9780826128775</v>
      </c>
      <c r="C8712" s="1" t="s">
        <v>2339</v>
      </c>
      <c r="D8712" s="2">
        <v>42072</v>
      </c>
      <c r="E8712" s="1" t="s">
        <v>17354</v>
      </c>
      <c r="F8712" s="1" t="s">
        <v>2537</v>
      </c>
    </row>
    <row r="8713" spans="1:6" ht="30" customHeight="1" x14ac:dyDescent="0.25">
      <c r="A8713" s="1" t="s">
        <v>17355</v>
      </c>
      <c r="B8713" s="1" t="str">
        <f>"9780826196392"</f>
        <v>9780826196392</v>
      </c>
      <c r="C8713" s="1" t="s">
        <v>2339</v>
      </c>
      <c r="D8713" s="2">
        <v>42074</v>
      </c>
      <c r="E8713" s="1" t="s">
        <v>17356</v>
      </c>
      <c r="F8713" s="1" t="s">
        <v>13</v>
      </c>
    </row>
    <row r="8714" spans="1:6" ht="30" customHeight="1" x14ac:dyDescent="0.25">
      <c r="A8714" s="1" t="s">
        <v>17357</v>
      </c>
      <c r="B8714" s="1" t="str">
        <f>"9780826118721"</f>
        <v>9780826118721</v>
      </c>
      <c r="C8714" s="1" t="s">
        <v>2339</v>
      </c>
      <c r="D8714" s="2">
        <v>42079</v>
      </c>
      <c r="E8714" s="1" t="s">
        <v>17358</v>
      </c>
      <c r="F8714" s="1" t="s">
        <v>126</v>
      </c>
    </row>
    <row r="8715" spans="1:6" ht="30" customHeight="1" x14ac:dyDescent="0.25">
      <c r="A8715" s="1" t="s">
        <v>17359</v>
      </c>
      <c r="B8715" s="1" t="str">
        <f>"9780826122797"</f>
        <v>9780826122797</v>
      </c>
      <c r="C8715" s="1" t="s">
        <v>2339</v>
      </c>
      <c r="D8715" s="2">
        <v>42100</v>
      </c>
      <c r="E8715" s="1" t="s">
        <v>17360</v>
      </c>
      <c r="F8715" s="1" t="s">
        <v>13</v>
      </c>
    </row>
    <row r="8716" spans="1:6" ht="30" customHeight="1" x14ac:dyDescent="0.25">
      <c r="A8716" s="1" t="s">
        <v>17361</v>
      </c>
      <c r="B8716" s="1" t="str">
        <f>"9780826194053"</f>
        <v>9780826194053</v>
      </c>
      <c r="C8716" s="1" t="s">
        <v>2339</v>
      </c>
      <c r="D8716" s="2">
        <v>42102</v>
      </c>
      <c r="E8716" s="1" t="s">
        <v>17362</v>
      </c>
      <c r="F8716" s="1" t="s">
        <v>13</v>
      </c>
    </row>
    <row r="8717" spans="1:6" ht="30" customHeight="1" x14ac:dyDescent="0.25">
      <c r="A8717" s="1" t="s">
        <v>17363</v>
      </c>
      <c r="B8717" s="1" t="str">
        <f>"9780826121998"</f>
        <v>9780826121998</v>
      </c>
      <c r="C8717" s="1" t="s">
        <v>2339</v>
      </c>
      <c r="D8717" s="2">
        <v>42095</v>
      </c>
      <c r="E8717" s="1" t="s">
        <v>14352</v>
      </c>
      <c r="F8717" s="1" t="s">
        <v>973</v>
      </c>
    </row>
    <row r="8718" spans="1:6" ht="30" customHeight="1" x14ac:dyDescent="0.25">
      <c r="A8718" s="1" t="s">
        <v>17364</v>
      </c>
      <c r="B8718" s="1" t="str">
        <f>"9780826125293"</f>
        <v>9780826125293</v>
      </c>
      <c r="C8718" s="1" t="s">
        <v>2339</v>
      </c>
      <c r="D8718" s="2">
        <v>42102</v>
      </c>
      <c r="E8718" s="1" t="s">
        <v>17365</v>
      </c>
      <c r="F8718" s="1" t="s">
        <v>30</v>
      </c>
    </row>
    <row r="8719" spans="1:6" ht="30" customHeight="1" x14ac:dyDescent="0.25">
      <c r="A8719" s="1" t="s">
        <v>17366</v>
      </c>
      <c r="B8719" s="1" t="str">
        <f>"9780826127044"</f>
        <v>9780826127044</v>
      </c>
      <c r="C8719" s="1" t="s">
        <v>2339</v>
      </c>
      <c r="D8719" s="2">
        <v>42107</v>
      </c>
      <c r="E8719" s="1" t="s">
        <v>17367</v>
      </c>
      <c r="F8719" s="1" t="s">
        <v>158</v>
      </c>
    </row>
    <row r="8720" spans="1:6" ht="30" customHeight="1" x14ac:dyDescent="0.25">
      <c r="A8720" s="1" t="s">
        <v>17368</v>
      </c>
      <c r="B8720" s="1" t="str">
        <f>"9780826194299"</f>
        <v>9780826194299</v>
      </c>
      <c r="C8720" s="1" t="s">
        <v>2339</v>
      </c>
      <c r="D8720" s="2">
        <v>42104</v>
      </c>
      <c r="E8720" s="1" t="s">
        <v>17369</v>
      </c>
      <c r="F8720" s="1" t="s">
        <v>126</v>
      </c>
    </row>
    <row r="8721" spans="1:6" ht="30" customHeight="1" x14ac:dyDescent="0.25">
      <c r="A8721" s="1" t="s">
        <v>17370</v>
      </c>
      <c r="B8721" s="1" t="str">
        <f>"9780826130181"</f>
        <v>9780826130181</v>
      </c>
      <c r="C8721" s="1" t="s">
        <v>2339</v>
      </c>
      <c r="D8721" s="2">
        <v>42136</v>
      </c>
      <c r="E8721" s="1" t="s">
        <v>17371</v>
      </c>
      <c r="F8721" s="1" t="s">
        <v>13</v>
      </c>
    </row>
    <row r="8722" spans="1:6" ht="30" customHeight="1" x14ac:dyDescent="0.25">
      <c r="A8722" s="1" t="s">
        <v>17372</v>
      </c>
      <c r="B8722" s="1" t="str">
        <f>"9780826126733"</f>
        <v>9780826126733</v>
      </c>
      <c r="C8722" s="1" t="s">
        <v>2339</v>
      </c>
      <c r="D8722" s="2">
        <v>42159</v>
      </c>
      <c r="E8722" s="1" t="s">
        <v>17373</v>
      </c>
      <c r="F8722" s="1" t="s">
        <v>126</v>
      </c>
    </row>
    <row r="8723" spans="1:6" ht="30" customHeight="1" x14ac:dyDescent="0.25">
      <c r="A8723" s="1" t="s">
        <v>17374</v>
      </c>
      <c r="B8723" s="1" t="str">
        <f>"9780826130068"</f>
        <v>9780826130068</v>
      </c>
      <c r="C8723" s="1" t="s">
        <v>2339</v>
      </c>
      <c r="D8723" s="2">
        <v>42164</v>
      </c>
      <c r="E8723" s="1" t="s">
        <v>17375</v>
      </c>
      <c r="F8723" s="1" t="s">
        <v>6200</v>
      </c>
    </row>
    <row r="8724" spans="1:6" ht="30" customHeight="1" x14ac:dyDescent="0.25">
      <c r="A8724" s="1" t="s">
        <v>17376</v>
      </c>
      <c r="B8724" s="1" t="str">
        <f>"9780826127631"</f>
        <v>9780826127631</v>
      </c>
      <c r="C8724" s="1" t="s">
        <v>2339</v>
      </c>
      <c r="D8724" s="2">
        <v>42181</v>
      </c>
      <c r="E8724" s="1" t="s">
        <v>17377</v>
      </c>
      <c r="F8724" s="1" t="s">
        <v>13</v>
      </c>
    </row>
    <row r="8725" spans="1:6" ht="30" customHeight="1" x14ac:dyDescent="0.25">
      <c r="A8725" s="1" t="s">
        <v>17378</v>
      </c>
      <c r="B8725" s="1" t="str">
        <f>"9780826194077"</f>
        <v>9780826194077</v>
      </c>
      <c r="C8725" s="1" t="s">
        <v>2339</v>
      </c>
      <c r="D8725" s="2">
        <v>42191</v>
      </c>
      <c r="E8725" s="1" t="s">
        <v>17379</v>
      </c>
      <c r="F8725" s="1" t="s">
        <v>234</v>
      </c>
    </row>
    <row r="8726" spans="1:6" ht="30" customHeight="1" x14ac:dyDescent="0.25">
      <c r="A8726" s="1" t="s">
        <v>17380</v>
      </c>
      <c r="B8726" s="1" t="str">
        <f>"9780826122735"</f>
        <v>9780826122735</v>
      </c>
      <c r="C8726" s="1" t="s">
        <v>2339</v>
      </c>
      <c r="D8726" s="2">
        <v>42200</v>
      </c>
      <c r="E8726" s="1" t="s">
        <v>17381</v>
      </c>
      <c r="F8726" s="1" t="s">
        <v>294</v>
      </c>
    </row>
    <row r="8727" spans="1:6" ht="30" customHeight="1" x14ac:dyDescent="0.25">
      <c r="A8727" s="1" t="s">
        <v>17382</v>
      </c>
      <c r="B8727" s="1" t="str">
        <f>"9780826126634"</f>
        <v>9780826126634</v>
      </c>
      <c r="C8727" s="1" t="s">
        <v>2339</v>
      </c>
      <c r="D8727" s="2">
        <v>42201</v>
      </c>
      <c r="E8727" s="1" t="s">
        <v>17383</v>
      </c>
      <c r="F8727" s="1" t="s">
        <v>13</v>
      </c>
    </row>
    <row r="8728" spans="1:6" ht="30" customHeight="1" x14ac:dyDescent="0.25">
      <c r="A8728" s="1" t="s">
        <v>17384</v>
      </c>
      <c r="B8728" s="1" t="str">
        <f>"9780826130235"</f>
        <v>9780826130235</v>
      </c>
      <c r="C8728" s="1" t="s">
        <v>2339</v>
      </c>
      <c r="D8728" s="2">
        <v>42205</v>
      </c>
      <c r="E8728" s="1" t="s">
        <v>17385</v>
      </c>
      <c r="F8728" s="1" t="s">
        <v>126</v>
      </c>
    </row>
    <row r="8729" spans="1:6" ht="30" customHeight="1" x14ac:dyDescent="0.25">
      <c r="A8729" s="1" t="s">
        <v>17386</v>
      </c>
      <c r="B8729" s="1" t="str">
        <f>"9780826138583"</f>
        <v>9780826138583</v>
      </c>
      <c r="C8729" s="1" t="s">
        <v>2339</v>
      </c>
      <c r="D8729" s="2">
        <v>42297</v>
      </c>
      <c r="E8729" s="1" t="s">
        <v>17387</v>
      </c>
      <c r="F8729" s="1" t="s">
        <v>13</v>
      </c>
    </row>
    <row r="8730" spans="1:6" ht="30" customHeight="1" x14ac:dyDescent="0.25">
      <c r="A8730" s="1" t="s">
        <v>17388</v>
      </c>
      <c r="B8730" s="1" t="str">
        <f>"9781937661700"</f>
        <v>9781937661700</v>
      </c>
      <c r="C8730" s="1" t="s">
        <v>17314</v>
      </c>
      <c r="D8730" s="2">
        <v>42217</v>
      </c>
      <c r="E8730" s="1" t="s">
        <v>17389</v>
      </c>
      <c r="F8730" s="1" t="s">
        <v>33</v>
      </c>
    </row>
    <row r="8731" spans="1:6" ht="30" customHeight="1" x14ac:dyDescent="0.25">
      <c r="A8731" s="1" t="s">
        <v>17390</v>
      </c>
      <c r="B8731" s="1" t="str">
        <f>"9781782412434"</f>
        <v>9781782412434</v>
      </c>
      <c r="C8731" s="1" t="s">
        <v>68</v>
      </c>
      <c r="D8731" s="2">
        <v>42256</v>
      </c>
      <c r="E8731" s="1" t="s">
        <v>17391</v>
      </c>
      <c r="F8731" s="1" t="s">
        <v>291</v>
      </c>
    </row>
    <row r="8732" spans="1:6" ht="30" customHeight="1" x14ac:dyDescent="0.25">
      <c r="A8732" s="1" t="s">
        <v>17392</v>
      </c>
      <c r="B8732" s="1" t="str">
        <f>"9783110333619"</f>
        <v>9783110333619</v>
      </c>
      <c r="C8732" s="1" t="s">
        <v>1848</v>
      </c>
      <c r="D8732" s="2">
        <v>42272</v>
      </c>
      <c r="E8732" s="1" t="s">
        <v>17393</v>
      </c>
      <c r="F8732" s="1" t="s">
        <v>148</v>
      </c>
    </row>
    <row r="8733" spans="1:6" ht="30" customHeight="1" x14ac:dyDescent="0.25">
      <c r="A8733" s="1" t="s">
        <v>17394</v>
      </c>
      <c r="B8733" s="1" t="str">
        <f>"9781614995609"</f>
        <v>9781614995609</v>
      </c>
      <c r="C8733" s="1" t="s">
        <v>1390</v>
      </c>
      <c r="D8733" s="2">
        <v>42222</v>
      </c>
      <c r="E8733" s="1" t="s">
        <v>17395</v>
      </c>
      <c r="F8733" s="1" t="s">
        <v>13</v>
      </c>
    </row>
    <row r="8734" spans="1:6" ht="30" customHeight="1" x14ac:dyDescent="0.25">
      <c r="A8734" s="1" t="s">
        <v>17396</v>
      </c>
      <c r="B8734" s="1" t="str">
        <f>"9781614995425"</f>
        <v>9781614995425</v>
      </c>
      <c r="C8734" s="1" t="s">
        <v>1390</v>
      </c>
      <c r="D8734" s="2">
        <v>42221</v>
      </c>
      <c r="E8734" s="1" t="s">
        <v>17397</v>
      </c>
      <c r="F8734" s="1" t="s">
        <v>13</v>
      </c>
    </row>
    <row r="8735" spans="1:6" ht="30" customHeight="1" x14ac:dyDescent="0.25">
      <c r="A8735" s="1" t="s">
        <v>17398</v>
      </c>
      <c r="B8735" s="1" t="str">
        <f>"9781619425293"</f>
        <v>9781619425293</v>
      </c>
      <c r="C8735" s="1" t="s">
        <v>17311</v>
      </c>
      <c r="D8735" s="2">
        <v>41275</v>
      </c>
      <c r="E8735" s="1" t="s">
        <v>17399</v>
      </c>
      <c r="F8735" s="1" t="s">
        <v>13</v>
      </c>
    </row>
    <row r="8736" spans="1:6" ht="30" customHeight="1" x14ac:dyDescent="0.25">
      <c r="A8736" s="1" t="s">
        <v>17400</v>
      </c>
      <c r="B8736" s="1" t="str">
        <f>"9780835631921"</f>
        <v>9780835631921</v>
      </c>
      <c r="C8736" s="1" t="s">
        <v>17401</v>
      </c>
      <c r="D8736" s="2">
        <v>42278</v>
      </c>
      <c r="E8736" s="1" t="s">
        <v>17402</v>
      </c>
      <c r="F8736" s="1" t="s">
        <v>304</v>
      </c>
    </row>
    <row r="8737" spans="1:6" ht="30" customHeight="1" x14ac:dyDescent="0.25">
      <c r="A8737" s="1" t="s">
        <v>17403</v>
      </c>
      <c r="B8737" s="1" t="str">
        <f>"9781581108279"</f>
        <v>9781581108279</v>
      </c>
      <c r="C8737" s="1" t="s">
        <v>9624</v>
      </c>
      <c r="D8737" s="2">
        <v>41649</v>
      </c>
      <c r="E8737" s="1" t="s">
        <v>17404</v>
      </c>
      <c r="F8737" s="1" t="s">
        <v>13</v>
      </c>
    </row>
    <row r="8738" spans="1:6" ht="30" customHeight="1" x14ac:dyDescent="0.25">
      <c r="A8738" s="1" t="s">
        <v>17405</v>
      </c>
      <c r="B8738" s="1" t="str">
        <f>"9781581108354"</f>
        <v>9781581108354</v>
      </c>
      <c r="C8738" s="1" t="s">
        <v>9624</v>
      </c>
      <c r="D8738" s="2">
        <v>41548</v>
      </c>
      <c r="E8738" s="1" t="s">
        <v>12652</v>
      </c>
      <c r="F8738" s="1" t="s">
        <v>13</v>
      </c>
    </row>
    <row r="8739" spans="1:6" ht="30" customHeight="1" x14ac:dyDescent="0.25">
      <c r="A8739" s="1" t="s">
        <v>17406</v>
      </c>
      <c r="B8739" s="1" t="str">
        <f>"9781581108538"</f>
        <v>9781581108538</v>
      </c>
      <c r="C8739" s="1" t="s">
        <v>9624</v>
      </c>
      <c r="D8739" s="2">
        <v>41671</v>
      </c>
      <c r="E8739" s="1" t="s">
        <v>17407</v>
      </c>
      <c r="F8739" s="1" t="s">
        <v>13</v>
      </c>
    </row>
    <row r="8740" spans="1:6" ht="30" customHeight="1" x14ac:dyDescent="0.25">
      <c r="A8740" s="1" t="s">
        <v>17408</v>
      </c>
      <c r="B8740" s="1" t="str">
        <f>"9781581108101"</f>
        <v>9781581108101</v>
      </c>
      <c r="C8740" s="1" t="s">
        <v>9624</v>
      </c>
      <c r="D8740" s="2">
        <v>42074</v>
      </c>
      <c r="E8740" s="1" t="s">
        <v>17409</v>
      </c>
      <c r="F8740" s="1" t="s">
        <v>13</v>
      </c>
    </row>
    <row r="8741" spans="1:6" ht="30" customHeight="1" x14ac:dyDescent="0.25">
      <c r="A8741" s="1" t="s">
        <v>17410</v>
      </c>
      <c r="B8741" s="1" t="str">
        <f>"9781581108194"</f>
        <v>9781581108194</v>
      </c>
      <c r="C8741" s="1" t="s">
        <v>9624</v>
      </c>
      <c r="D8741" s="2">
        <v>41572</v>
      </c>
      <c r="E8741" s="1" t="s">
        <v>17411</v>
      </c>
      <c r="F8741" s="1" t="s">
        <v>356</v>
      </c>
    </row>
    <row r="8742" spans="1:6" ht="30" customHeight="1" x14ac:dyDescent="0.25">
      <c r="A8742" s="1" t="s">
        <v>17412</v>
      </c>
      <c r="B8742" s="1" t="str">
        <f>"9781581107951"</f>
        <v>9781581107951</v>
      </c>
      <c r="C8742" s="1" t="s">
        <v>9624</v>
      </c>
      <c r="D8742" s="2">
        <v>41440</v>
      </c>
      <c r="E8742" s="1" t="s">
        <v>17413</v>
      </c>
      <c r="F8742" s="1" t="s">
        <v>13</v>
      </c>
    </row>
    <row r="8743" spans="1:6" ht="30" customHeight="1" x14ac:dyDescent="0.25">
      <c r="A8743" s="1" t="s">
        <v>17414</v>
      </c>
      <c r="B8743" s="1" t="str">
        <f>"9781581108095"</f>
        <v>9781581108095</v>
      </c>
      <c r="C8743" s="1" t="s">
        <v>9624</v>
      </c>
      <c r="D8743" s="2">
        <v>41440</v>
      </c>
      <c r="E8743" s="1" t="s">
        <v>17415</v>
      </c>
      <c r="F8743" s="1" t="s">
        <v>13</v>
      </c>
    </row>
    <row r="8744" spans="1:6" ht="30" customHeight="1" x14ac:dyDescent="0.25">
      <c r="A8744" s="1" t="s">
        <v>17416</v>
      </c>
      <c r="B8744" s="1" t="str">
        <f>"9781581108293"</f>
        <v>9781581108293</v>
      </c>
      <c r="C8744" s="1" t="s">
        <v>9624</v>
      </c>
      <c r="D8744" s="2">
        <v>41500</v>
      </c>
      <c r="E8744" s="1" t="s">
        <v>17417</v>
      </c>
      <c r="F8744" s="1" t="s">
        <v>10171</v>
      </c>
    </row>
    <row r="8745" spans="1:6" ht="30" customHeight="1" x14ac:dyDescent="0.25">
      <c r="A8745" s="1" t="s">
        <v>17418</v>
      </c>
      <c r="B8745" s="1" t="str">
        <f>"9781581108514"</f>
        <v>9781581108514</v>
      </c>
      <c r="C8745" s="1" t="s">
        <v>9624</v>
      </c>
      <c r="D8745" s="2">
        <v>41810</v>
      </c>
      <c r="E8745" s="1" t="s">
        <v>12664</v>
      </c>
      <c r="F8745" s="1" t="s">
        <v>13</v>
      </c>
    </row>
    <row r="8746" spans="1:6" ht="30" customHeight="1" x14ac:dyDescent="0.25">
      <c r="A8746" s="1" t="s">
        <v>17419</v>
      </c>
      <c r="B8746" s="1" t="str">
        <f>"9781581108613"</f>
        <v>9781581108613</v>
      </c>
      <c r="C8746" s="1" t="s">
        <v>9624</v>
      </c>
      <c r="D8746" s="2">
        <v>41759</v>
      </c>
      <c r="E8746" s="1" t="s">
        <v>9624</v>
      </c>
      <c r="F8746" s="1" t="s">
        <v>13</v>
      </c>
    </row>
    <row r="8747" spans="1:6" ht="30" customHeight="1" x14ac:dyDescent="0.25">
      <c r="A8747" s="1" t="s">
        <v>17420</v>
      </c>
      <c r="B8747" s="1" t="str">
        <f>""</f>
        <v/>
      </c>
      <c r="C8747" s="1" t="s">
        <v>8538</v>
      </c>
      <c r="D8747" s="2">
        <v>38322</v>
      </c>
      <c r="E8747" s="1" t="s">
        <v>17421</v>
      </c>
      <c r="F8747" s="1" t="s">
        <v>13</v>
      </c>
    </row>
    <row r="8748" spans="1:6" ht="30" customHeight="1" x14ac:dyDescent="0.25">
      <c r="A8748" s="1" t="s">
        <v>17422</v>
      </c>
      <c r="B8748" s="1" t="str">
        <f>"9788771243628"</f>
        <v>9788771243628</v>
      </c>
      <c r="C8748" s="1" t="s">
        <v>8538</v>
      </c>
      <c r="D8748" s="2">
        <v>41306</v>
      </c>
      <c r="E8748" s="1" t="s">
        <v>17423</v>
      </c>
      <c r="F8748" s="1" t="s">
        <v>11694</v>
      </c>
    </row>
    <row r="8749" spans="1:6" ht="30" customHeight="1" x14ac:dyDescent="0.25">
      <c r="A8749" s="1" t="s">
        <v>17424</v>
      </c>
      <c r="B8749" s="1" t="str">
        <f>"9781567508819"</f>
        <v>9781567508819</v>
      </c>
      <c r="C8749" s="1" t="s">
        <v>17425</v>
      </c>
      <c r="D8749" s="2">
        <v>36465</v>
      </c>
      <c r="E8749" s="1" t="s">
        <v>17426</v>
      </c>
      <c r="F8749" s="1" t="s">
        <v>70</v>
      </c>
    </row>
    <row r="8750" spans="1:6" ht="30" customHeight="1" x14ac:dyDescent="0.25">
      <c r="A8750" s="1" t="s">
        <v>17427</v>
      </c>
      <c r="B8750" s="1" t="str">
        <f>"9780313000379"</f>
        <v>9780313000379</v>
      </c>
      <c r="C8750" s="1" t="s">
        <v>17425</v>
      </c>
      <c r="D8750" s="2">
        <v>36923</v>
      </c>
      <c r="E8750" s="1" t="s">
        <v>17428</v>
      </c>
      <c r="F8750" s="1" t="s">
        <v>13</v>
      </c>
    </row>
    <row r="8751" spans="1:6" ht="30" customHeight="1" x14ac:dyDescent="0.25">
      <c r="A8751" s="1" t="s">
        <v>17429</v>
      </c>
      <c r="B8751" s="1" t="str">
        <f>"9780313001789"</f>
        <v>9780313001789</v>
      </c>
      <c r="C8751" s="1" t="s">
        <v>17425</v>
      </c>
      <c r="D8751" s="2">
        <v>36739</v>
      </c>
      <c r="E8751" s="1" t="s">
        <v>17430</v>
      </c>
      <c r="F8751" s="1" t="s">
        <v>13</v>
      </c>
    </row>
    <row r="8752" spans="1:6" ht="30" customHeight="1" x14ac:dyDescent="0.25">
      <c r="A8752" s="1" t="s">
        <v>17431</v>
      </c>
      <c r="B8752" s="1" t="str">
        <f>"9780313022302"</f>
        <v>9780313022302</v>
      </c>
      <c r="C8752" s="1" t="s">
        <v>17425</v>
      </c>
      <c r="D8752" s="2">
        <v>34973</v>
      </c>
      <c r="E8752" s="1" t="s">
        <v>17432</v>
      </c>
      <c r="F8752" s="1" t="s">
        <v>13</v>
      </c>
    </row>
    <row r="8753" spans="1:6" ht="30" customHeight="1" x14ac:dyDescent="0.25">
      <c r="A8753" s="1" t="s">
        <v>17433</v>
      </c>
      <c r="B8753" s="1" t="str">
        <f>"9780313037795"</f>
        <v>9780313037795</v>
      </c>
      <c r="C8753" s="1" t="s">
        <v>17425</v>
      </c>
      <c r="D8753" s="2">
        <v>36008</v>
      </c>
      <c r="E8753" s="1" t="s">
        <v>17434</v>
      </c>
      <c r="F8753" s="1" t="s">
        <v>30</v>
      </c>
    </row>
    <row r="8754" spans="1:6" ht="30" customHeight="1" x14ac:dyDescent="0.25">
      <c r="A8754" s="1" t="s">
        <v>17435</v>
      </c>
      <c r="B8754" s="1" t="str">
        <f>"9781567508918"</f>
        <v>9781567508918</v>
      </c>
      <c r="C8754" s="1" t="s">
        <v>17425</v>
      </c>
      <c r="D8754" s="2">
        <v>34486</v>
      </c>
      <c r="E8754" s="1" t="s">
        <v>17436</v>
      </c>
      <c r="F8754" s="1" t="s">
        <v>13</v>
      </c>
    </row>
    <row r="8755" spans="1:6" ht="30" customHeight="1" x14ac:dyDescent="0.25">
      <c r="A8755" s="1" t="s">
        <v>17437</v>
      </c>
      <c r="B8755" s="1" t="str">
        <f>"9780313001604"</f>
        <v>9780313001604</v>
      </c>
      <c r="C8755" s="1" t="s">
        <v>17425</v>
      </c>
      <c r="D8755" s="2">
        <v>36434</v>
      </c>
      <c r="E8755" s="1" t="s">
        <v>17438</v>
      </c>
      <c r="F8755" s="1" t="s">
        <v>13</v>
      </c>
    </row>
    <row r="8756" spans="1:6" ht="30" customHeight="1" x14ac:dyDescent="0.25">
      <c r="A8756" s="1" t="s">
        <v>17439</v>
      </c>
      <c r="B8756" s="1" t="str">
        <f>"9780897897686"</f>
        <v>9780897897686</v>
      </c>
      <c r="C8756" s="1" t="s">
        <v>17425</v>
      </c>
      <c r="D8756" s="2">
        <v>36220</v>
      </c>
      <c r="E8756" s="1" t="s">
        <v>17440</v>
      </c>
      <c r="F8756" s="1" t="s">
        <v>13</v>
      </c>
    </row>
    <row r="8757" spans="1:6" ht="30" customHeight="1" x14ac:dyDescent="0.25">
      <c r="A8757" s="1" t="s">
        <v>17441</v>
      </c>
      <c r="B8757" s="1" t="str">
        <f>"9780313030352"</f>
        <v>9780313030352</v>
      </c>
      <c r="C8757" s="1" t="s">
        <v>17425</v>
      </c>
      <c r="D8757" s="2">
        <v>36281</v>
      </c>
      <c r="E8757" s="1" t="s">
        <v>17442</v>
      </c>
      <c r="F8757" s="1" t="s">
        <v>70</v>
      </c>
    </row>
    <row r="8758" spans="1:6" ht="30" customHeight="1" x14ac:dyDescent="0.25">
      <c r="A8758" s="1" t="s">
        <v>17443</v>
      </c>
      <c r="B8758" s="1" t="str">
        <f>"9780313001048"</f>
        <v>9780313001048</v>
      </c>
      <c r="C8758" s="1" t="s">
        <v>17425</v>
      </c>
      <c r="D8758" s="2">
        <v>36557</v>
      </c>
      <c r="E8758" s="1" t="s">
        <v>17430</v>
      </c>
      <c r="F8758" s="1" t="s">
        <v>268</v>
      </c>
    </row>
    <row r="8759" spans="1:6" ht="30" customHeight="1" x14ac:dyDescent="0.25">
      <c r="A8759" s="1" t="s">
        <v>17444</v>
      </c>
      <c r="B8759" s="1" t="str">
        <f>"9780313007040"</f>
        <v>9780313007040</v>
      </c>
      <c r="C8759" s="1" t="s">
        <v>17425</v>
      </c>
      <c r="D8759" s="2">
        <v>37073</v>
      </c>
      <c r="E8759" s="1" t="s">
        <v>17445</v>
      </c>
      <c r="F8759" s="1" t="s">
        <v>30</v>
      </c>
    </row>
    <row r="8760" spans="1:6" ht="30" customHeight="1" x14ac:dyDescent="0.25">
      <c r="A8760" s="1" t="s">
        <v>17446</v>
      </c>
      <c r="B8760" s="1" t="str">
        <f>"9780313002762"</f>
        <v>9780313002762</v>
      </c>
      <c r="C8760" s="1" t="s">
        <v>17425</v>
      </c>
      <c r="D8760" s="2">
        <v>36923</v>
      </c>
      <c r="E8760" s="1" t="s">
        <v>17447</v>
      </c>
      <c r="F8760" s="1" t="s">
        <v>70</v>
      </c>
    </row>
    <row r="8761" spans="1:6" ht="30" customHeight="1" x14ac:dyDescent="0.25">
      <c r="A8761" s="1" t="s">
        <v>17448</v>
      </c>
      <c r="B8761" s="1" t="str">
        <f>"9780313007491"</f>
        <v>9780313007491</v>
      </c>
      <c r="C8761" s="1" t="s">
        <v>17425</v>
      </c>
      <c r="D8761" s="2">
        <v>36465</v>
      </c>
      <c r="E8761" s="1" t="s">
        <v>17449</v>
      </c>
      <c r="F8761" s="1" t="s">
        <v>13</v>
      </c>
    </row>
    <row r="8762" spans="1:6" ht="30" customHeight="1" x14ac:dyDescent="0.25">
      <c r="A8762" s="1" t="s">
        <v>17450</v>
      </c>
      <c r="B8762" s="1" t="str">
        <f>"9780313007125"</f>
        <v>9780313007125</v>
      </c>
      <c r="C8762" s="1" t="s">
        <v>17425</v>
      </c>
      <c r="D8762" s="2">
        <v>37012</v>
      </c>
      <c r="E8762" s="1" t="s">
        <v>17451</v>
      </c>
      <c r="F8762" s="1" t="s">
        <v>30</v>
      </c>
    </row>
    <row r="8763" spans="1:6" ht="30" customHeight="1" x14ac:dyDescent="0.25">
      <c r="A8763" s="1" t="s">
        <v>17452</v>
      </c>
      <c r="B8763" s="1" t="str">
        <f>"9780313074868"</f>
        <v>9780313074868</v>
      </c>
      <c r="C8763" s="1" t="s">
        <v>17425</v>
      </c>
      <c r="D8763" s="2">
        <v>37196</v>
      </c>
      <c r="E8763" s="1" t="s">
        <v>17453</v>
      </c>
      <c r="F8763" s="1" t="s">
        <v>205</v>
      </c>
    </row>
    <row r="8764" spans="1:6" ht="30" customHeight="1" x14ac:dyDescent="0.25">
      <c r="A8764" s="1" t="s">
        <v>17454</v>
      </c>
      <c r="B8764" s="1" t="str">
        <f>"9780313003981"</f>
        <v>9780313003981</v>
      </c>
      <c r="C8764" s="1" t="s">
        <v>17425</v>
      </c>
      <c r="D8764" s="2">
        <v>37135</v>
      </c>
      <c r="E8764" s="1" t="s">
        <v>17455</v>
      </c>
      <c r="F8764" s="1" t="s">
        <v>5056</v>
      </c>
    </row>
    <row r="8765" spans="1:6" ht="30" customHeight="1" x14ac:dyDescent="0.25">
      <c r="A8765" s="1" t="s">
        <v>17456</v>
      </c>
      <c r="B8765" s="1" t="str">
        <f>"9780313075698"</f>
        <v>9780313075698</v>
      </c>
      <c r="C8765" s="1" t="s">
        <v>17425</v>
      </c>
      <c r="D8765" s="2">
        <v>37104</v>
      </c>
      <c r="E8765" s="1" t="s">
        <v>17457</v>
      </c>
      <c r="F8765" s="1" t="s">
        <v>538</v>
      </c>
    </row>
    <row r="8766" spans="1:6" ht="30" customHeight="1" x14ac:dyDescent="0.25">
      <c r="A8766" s="1" t="s">
        <v>17458</v>
      </c>
      <c r="B8766" s="1" t="str">
        <f>"9780313028793"</f>
        <v>9780313028793</v>
      </c>
      <c r="C8766" s="1" t="s">
        <v>17425</v>
      </c>
      <c r="D8766" s="2">
        <v>36586</v>
      </c>
      <c r="E8766" s="1" t="s">
        <v>17459</v>
      </c>
      <c r="F8766" s="1" t="s">
        <v>13</v>
      </c>
    </row>
    <row r="8767" spans="1:6" ht="30" customHeight="1" x14ac:dyDescent="0.25">
      <c r="A8767" s="1" t="s">
        <v>17460</v>
      </c>
      <c r="B8767" s="1" t="str">
        <f>"9780313003110"</f>
        <v>9780313003110</v>
      </c>
      <c r="C8767" s="1" t="s">
        <v>17425</v>
      </c>
      <c r="D8767" s="2">
        <v>37012</v>
      </c>
      <c r="E8767" s="1" t="s">
        <v>17461</v>
      </c>
      <c r="F8767" s="1" t="s">
        <v>13</v>
      </c>
    </row>
    <row r="8768" spans="1:6" ht="30" customHeight="1" x14ac:dyDescent="0.25">
      <c r="A8768" s="1" t="s">
        <v>17462</v>
      </c>
      <c r="B8768" s="1" t="str">
        <f>"9780313010590"</f>
        <v>9780313010590</v>
      </c>
      <c r="C8768" s="1" t="s">
        <v>17425</v>
      </c>
      <c r="D8768" s="2">
        <v>37316</v>
      </c>
      <c r="E8768" s="1" t="s">
        <v>17463</v>
      </c>
      <c r="F8768" s="1" t="s">
        <v>13</v>
      </c>
    </row>
    <row r="8769" spans="1:6" ht="30" customHeight="1" x14ac:dyDescent="0.25">
      <c r="A8769" s="1" t="s">
        <v>17464</v>
      </c>
      <c r="B8769" s="1" t="str">
        <f>"9780313006869"</f>
        <v>9780313006869</v>
      </c>
      <c r="C8769" s="1" t="s">
        <v>17425</v>
      </c>
      <c r="D8769" s="2">
        <v>37257</v>
      </c>
      <c r="E8769" s="1" t="s">
        <v>17430</v>
      </c>
      <c r="F8769" s="1" t="s">
        <v>13</v>
      </c>
    </row>
    <row r="8770" spans="1:6" ht="30" customHeight="1" x14ac:dyDescent="0.25">
      <c r="A8770" s="1" t="s">
        <v>17465</v>
      </c>
      <c r="B8770" s="1" t="str">
        <f>"9780313013973"</f>
        <v>9780313013973</v>
      </c>
      <c r="C8770" s="1" t="s">
        <v>17425</v>
      </c>
      <c r="D8770" s="2">
        <v>37377</v>
      </c>
      <c r="E8770" s="1" t="s">
        <v>17466</v>
      </c>
      <c r="F8770" s="1" t="s">
        <v>95</v>
      </c>
    </row>
    <row r="8771" spans="1:6" ht="30" customHeight="1" x14ac:dyDescent="0.25">
      <c r="A8771" s="1" t="s">
        <v>17467</v>
      </c>
      <c r="B8771" s="1" t="str">
        <f>"9780313011986"</f>
        <v>9780313011986</v>
      </c>
      <c r="C8771" s="1" t="s">
        <v>17425</v>
      </c>
      <c r="D8771" s="2">
        <v>37469</v>
      </c>
      <c r="E8771" s="1" t="s">
        <v>17468</v>
      </c>
      <c r="F8771" s="1" t="s">
        <v>148</v>
      </c>
    </row>
    <row r="8772" spans="1:6" ht="30" customHeight="1" x14ac:dyDescent="0.25">
      <c r="A8772" s="1" t="s">
        <v>17469</v>
      </c>
      <c r="B8772" s="1" t="str">
        <f>"9780313012853"</f>
        <v>9780313012853</v>
      </c>
      <c r="C8772" s="1" t="s">
        <v>17425</v>
      </c>
      <c r="D8772" s="2">
        <v>37500</v>
      </c>
      <c r="E8772" s="1" t="s">
        <v>17470</v>
      </c>
      <c r="F8772" s="1" t="s">
        <v>33</v>
      </c>
    </row>
    <row r="8773" spans="1:6" ht="30" customHeight="1" x14ac:dyDescent="0.25">
      <c r="A8773" s="1" t="s">
        <v>17471</v>
      </c>
      <c r="B8773" s="1" t="str">
        <f>"9780313012501"</f>
        <v>9780313012501</v>
      </c>
      <c r="C8773" s="1" t="s">
        <v>17425</v>
      </c>
      <c r="D8773" s="2">
        <v>37500</v>
      </c>
      <c r="E8773" s="1" t="s">
        <v>17472</v>
      </c>
      <c r="F8773" s="1" t="s">
        <v>13</v>
      </c>
    </row>
    <row r="8774" spans="1:6" ht="30" customHeight="1" x14ac:dyDescent="0.25">
      <c r="A8774" s="1" t="s">
        <v>17473</v>
      </c>
      <c r="B8774" s="1" t="str">
        <f>"9780313348259"</f>
        <v>9780313348259</v>
      </c>
      <c r="C8774" s="1" t="s">
        <v>1527</v>
      </c>
      <c r="D8774" s="2">
        <v>39661</v>
      </c>
      <c r="E8774" s="1" t="s">
        <v>17474</v>
      </c>
      <c r="F8774" s="1" t="s">
        <v>13</v>
      </c>
    </row>
    <row r="8775" spans="1:6" ht="30" customHeight="1" x14ac:dyDescent="0.25">
      <c r="A8775" s="1" t="s">
        <v>17475</v>
      </c>
      <c r="B8775" s="1" t="str">
        <f>"9780313342608"</f>
        <v>9780313342608</v>
      </c>
      <c r="C8775" s="1" t="s">
        <v>7550</v>
      </c>
      <c r="D8775" s="2">
        <v>39751</v>
      </c>
      <c r="E8775" s="1" t="s">
        <v>17476</v>
      </c>
      <c r="F8775" s="1" t="s">
        <v>13</v>
      </c>
    </row>
    <row r="8776" spans="1:6" ht="30" customHeight="1" x14ac:dyDescent="0.25">
      <c r="A8776" s="1" t="s">
        <v>17477</v>
      </c>
      <c r="B8776" s="1" t="str">
        <f>"9780313068331"</f>
        <v>9780313068331</v>
      </c>
      <c r="C8776" s="1" t="s">
        <v>7563</v>
      </c>
      <c r="D8776" s="2">
        <v>38504</v>
      </c>
      <c r="E8776" s="1" t="s">
        <v>17478</v>
      </c>
      <c r="F8776" s="1" t="s">
        <v>13</v>
      </c>
    </row>
    <row r="8777" spans="1:6" ht="30" customHeight="1" x14ac:dyDescent="0.25">
      <c r="A8777" s="1" t="s">
        <v>17479</v>
      </c>
      <c r="B8777" s="1" t="str">
        <f>"9781598844870"</f>
        <v>9781598844870</v>
      </c>
      <c r="C8777" s="1" t="s">
        <v>7550</v>
      </c>
      <c r="D8777" s="2">
        <v>40283</v>
      </c>
      <c r="E8777" s="1" t="s">
        <v>17480</v>
      </c>
      <c r="F8777" s="1" t="s">
        <v>541</v>
      </c>
    </row>
    <row r="8778" spans="1:6" ht="30" customHeight="1" x14ac:dyDescent="0.25">
      <c r="A8778" s="1" t="s">
        <v>17481</v>
      </c>
      <c r="B8778" s="1" t="str">
        <f>"9789966792013"</f>
        <v>9789966792013</v>
      </c>
      <c r="C8778" s="1" t="s">
        <v>17482</v>
      </c>
      <c r="D8778" s="2">
        <v>39417</v>
      </c>
      <c r="E8778" s="1" t="s">
        <v>17483</v>
      </c>
      <c r="F8778" s="1" t="s">
        <v>13</v>
      </c>
    </row>
    <row r="8779" spans="1:6" ht="30" customHeight="1" x14ac:dyDescent="0.25">
      <c r="A8779" s="1" t="s">
        <v>17484</v>
      </c>
      <c r="B8779" s="1" t="str">
        <f>"9780814428597"</f>
        <v>9780814428597</v>
      </c>
      <c r="C8779" s="1" t="s">
        <v>5124</v>
      </c>
      <c r="D8779" s="2">
        <v>38384</v>
      </c>
      <c r="E8779" s="1" t="s">
        <v>17485</v>
      </c>
      <c r="F8779" s="1" t="s">
        <v>33</v>
      </c>
    </row>
    <row r="8780" spans="1:6" ht="30" customHeight="1" x14ac:dyDescent="0.25">
      <c r="A8780" s="1" t="s">
        <v>17486</v>
      </c>
      <c r="B8780" s="1" t="str">
        <f>"9781856424431"</f>
        <v>9781856424431</v>
      </c>
      <c r="C8780" s="1" t="s">
        <v>9846</v>
      </c>
      <c r="D8780" s="2">
        <v>41331</v>
      </c>
      <c r="E8780" s="1" t="s">
        <v>17487</v>
      </c>
      <c r="F8780" s="1" t="s">
        <v>126</v>
      </c>
    </row>
    <row r="8781" spans="1:6" ht="30" customHeight="1" x14ac:dyDescent="0.25">
      <c r="A8781" s="1" t="s">
        <v>17488</v>
      </c>
      <c r="B8781" s="1" t="str">
        <f>"9780857289865"</f>
        <v>9780857289865</v>
      </c>
      <c r="C8781" s="1" t="s">
        <v>11036</v>
      </c>
      <c r="D8781" s="2">
        <v>40360</v>
      </c>
      <c r="E8781" s="1" t="s">
        <v>17489</v>
      </c>
      <c r="F8781" s="1" t="s">
        <v>95</v>
      </c>
    </row>
    <row r="8782" spans="1:6" ht="30" customHeight="1" x14ac:dyDescent="0.25">
      <c r="A8782" s="1" t="s">
        <v>17490</v>
      </c>
      <c r="B8782" s="1" t="str">
        <f>""</f>
        <v/>
      </c>
      <c r="C8782" s="1" t="s">
        <v>17491</v>
      </c>
      <c r="D8782" s="2">
        <v>38504</v>
      </c>
      <c r="E8782" s="1" t="s">
        <v>17492</v>
      </c>
      <c r="F8782" s="1" t="s">
        <v>963</v>
      </c>
    </row>
    <row r="8783" spans="1:6" ht="30" customHeight="1" x14ac:dyDescent="0.25">
      <c r="A8783" s="1" t="s">
        <v>17493</v>
      </c>
      <c r="B8783" s="1" t="str">
        <f>""</f>
        <v/>
      </c>
      <c r="C8783" s="1" t="s">
        <v>17491</v>
      </c>
      <c r="D8783" s="2">
        <v>38869</v>
      </c>
      <c r="E8783" s="1" t="s">
        <v>17494</v>
      </c>
      <c r="F8783" s="1" t="s">
        <v>650</v>
      </c>
    </row>
    <row r="8784" spans="1:6" ht="30" customHeight="1" x14ac:dyDescent="0.25">
      <c r="A8784" s="1" t="s">
        <v>17495</v>
      </c>
      <c r="B8784" s="1" t="str">
        <f>"9780566089572"</f>
        <v>9780566089572</v>
      </c>
      <c r="C8784" s="1" t="s">
        <v>68</v>
      </c>
      <c r="D8784" s="2">
        <v>37477</v>
      </c>
      <c r="E8784" s="1" t="s">
        <v>17496</v>
      </c>
      <c r="F8784" s="1" t="s">
        <v>127</v>
      </c>
    </row>
    <row r="8785" spans="1:6" ht="30" customHeight="1" x14ac:dyDescent="0.25">
      <c r="A8785" s="1" t="s">
        <v>17497</v>
      </c>
      <c r="B8785" s="1" t="str">
        <f>"9781615031245"</f>
        <v>9781615031245</v>
      </c>
      <c r="C8785" s="1" t="s">
        <v>17498</v>
      </c>
      <c r="D8785" s="2">
        <v>39753</v>
      </c>
      <c r="E8785" s="1" t="s">
        <v>17500</v>
      </c>
      <c r="F8785" s="1" t="s">
        <v>13</v>
      </c>
    </row>
    <row r="8786" spans="1:6" ht="30" customHeight="1" x14ac:dyDescent="0.25">
      <c r="A8786" s="1" t="s">
        <v>17501</v>
      </c>
      <c r="B8786" s="1" t="str">
        <f>"9781615031153"</f>
        <v>9781615031153</v>
      </c>
      <c r="C8786" s="1" t="s">
        <v>17498</v>
      </c>
      <c r="D8786" s="2">
        <v>39052</v>
      </c>
      <c r="E8786" s="1" t="s">
        <v>17502</v>
      </c>
      <c r="F8786" s="1" t="s">
        <v>13</v>
      </c>
    </row>
    <row r="8787" spans="1:6" ht="30" customHeight="1" x14ac:dyDescent="0.25">
      <c r="A8787" s="1" t="s">
        <v>17503</v>
      </c>
      <c r="B8787" s="1" t="str">
        <f>"9781615032600"</f>
        <v>9781615032600</v>
      </c>
      <c r="C8787" s="1" t="s">
        <v>17498</v>
      </c>
      <c r="D8787" s="2">
        <v>38047</v>
      </c>
      <c r="E8787" s="1" t="s">
        <v>17504</v>
      </c>
      <c r="F8787" s="1" t="s">
        <v>13</v>
      </c>
    </row>
    <row r="8788" spans="1:6" ht="30" customHeight="1" x14ac:dyDescent="0.25">
      <c r="A8788" s="1" t="s">
        <v>17505</v>
      </c>
      <c r="B8788" s="1" t="str">
        <f>"9781615030965"</f>
        <v>9781615030965</v>
      </c>
      <c r="C8788" s="1" t="s">
        <v>17498</v>
      </c>
      <c r="D8788" s="2">
        <v>38473</v>
      </c>
      <c r="E8788" s="1" t="s">
        <v>17506</v>
      </c>
      <c r="F8788" s="1" t="s">
        <v>13</v>
      </c>
    </row>
    <row r="8789" spans="1:6" ht="30" customHeight="1" x14ac:dyDescent="0.25">
      <c r="A8789" s="1" t="s">
        <v>17507</v>
      </c>
      <c r="B8789" s="1" t="str">
        <f>"9781615031290"</f>
        <v>9781615031290</v>
      </c>
      <c r="C8789" s="1" t="s">
        <v>17498</v>
      </c>
      <c r="D8789" s="2">
        <v>40148</v>
      </c>
      <c r="E8789" s="1" t="s">
        <v>17508</v>
      </c>
      <c r="F8789" s="1" t="s">
        <v>13</v>
      </c>
    </row>
    <row r="8790" spans="1:6" ht="30" customHeight="1" x14ac:dyDescent="0.25">
      <c r="A8790" s="1" t="s">
        <v>17509</v>
      </c>
      <c r="B8790" s="1" t="str">
        <f>"9781615031412"</f>
        <v>9781615031412</v>
      </c>
      <c r="C8790" s="1" t="s">
        <v>17498</v>
      </c>
      <c r="D8790" s="2">
        <v>40299</v>
      </c>
      <c r="E8790" s="1" t="s">
        <v>17500</v>
      </c>
      <c r="F8790" s="1" t="s">
        <v>13</v>
      </c>
    </row>
    <row r="8791" spans="1:6" ht="30" customHeight="1" x14ac:dyDescent="0.25">
      <c r="A8791" s="1" t="s">
        <v>17510</v>
      </c>
      <c r="B8791" s="1" t="str">
        <f>"9781627080200"</f>
        <v>9781627080200</v>
      </c>
      <c r="C8791" s="1" t="s">
        <v>17498</v>
      </c>
      <c r="D8791" s="2">
        <v>41306</v>
      </c>
      <c r="E8791" s="1" t="s">
        <v>17499</v>
      </c>
      <c r="F8791" s="1" t="s">
        <v>13</v>
      </c>
    </row>
    <row r="8792" spans="1:6" ht="30" customHeight="1" x14ac:dyDescent="0.25">
      <c r="A8792" s="1" t="s">
        <v>17511</v>
      </c>
      <c r="B8792" s="1" t="str">
        <f>"9781555817138"</f>
        <v>9781555817138</v>
      </c>
      <c r="C8792" s="1" t="s">
        <v>7254</v>
      </c>
      <c r="D8792" s="2">
        <v>40664</v>
      </c>
      <c r="E8792" s="1" t="s">
        <v>12427</v>
      </c>
      <c r="F8792" s="1" t="s">
        <v>13</v>
      </c>
    </row>
    <row r="8793" spans="1:6" ht="30" customHeight="1" x14ac:dyDescent="0.25">
      <c r="A8793" s="1" t="s">
        <v>17512</v>
      </c>
      <c r="B8793" s="1" t="str">
        <f>""</f>
        <v/>
      </c>
      <c r="C8793" s="1" t="s">
        <v>7254</v>
      </c>
      <c r="D8793" s="2">
        <v>40756</v>
      </c>
      <c r="E8793" s="1" t="s">
        <v>17513</v>
      </c>
      <c r="F8793" s="1" t="s">
        <v>349</v>
      </c>
    </row>
    <row r="8794" spans="1:6" ht="30" customHeight="1" x14ac:dyDescent="0.25">
      <c r="A8794" s="1" t="s">
        <v>17514</v>
      </c>
      <c r="B8794" s="1" t="str">
        <f>"9781555817121"</f>
        <v>9781555817121</v>
      </c>
      <c r="C8794" s="1" t="s">
        <v>7254</v>
      </c>
      <c r="D8794" s="2">
        <v>40634</v>
      </c>
      <c r="E8794" s="1" t="s">
        <v>17515</v>
      </c>
      <c r="F8794" s="1" t="s">
        <v>17516</v>
      </c>
    </row>
    <row r="8795" spans="1:6" ht="30" customHeight="1" x14ac:dyDescent="0.25">
      <c r="A8795" s="1" t="s">
        <v>17517</v>
      </c>
      <c r="B8795" s="1" t="str">
        <f>""</f>
        <v/>
      </c>
      <c r="C8795" s="1" t="s">
        <v>15922</v>
      </c>
      <c r="D8795" s="2">
        <v>36708</v>
      </c>
      <c r="E8795" s="1" t="s">
        <v>17518</v>
      </c>
      <c r="F8795" s="1" t="s">
        <v>13</v>
      </c>
    </row>
    <row r="8796" spans="1:6" ht="30" customHeight="1" x14ac:dyDescent="0.25">
      <c r="A8796" s="1" t="s">
        <v>17519</v>
      </c>
      <c r="B8796" s="1" t="str">
        <f>""</f>
        <v/>
      </c>
      <c r="C8796" s="1" t="s">
        <v>15922</v>
      </c>
      <c r="D8796" s="2">
        <v>41640</v>
      </c>
      <c r="E8796" s="1" t="s">
        <v>17520</v>
      </c>
      <c r="F8796" s="1" t="s">
        <v>95</v>
      </c>
    </row>
    <row r="8797" spans="1:6" ht="30" customHeight="1" x14ac:dyDescent="0.25">
      <c r="A8797" s="1" t="s">
        <v>17521</v>
      </c>
      <c r="B8797" s="1" t="str">
        <f>""</f>
        <v/>
      </c>
      <c r="C8797" s="1" t="s">
        <v>15922</v>
      </c>
      <c r="D8797" s="2">
        <v>37653</v>
      </c>
      <c r="E8797" s="1" t="s">
        <v>17522</v>
      </c>
      <c r="F8797" s="1" t="s">
        <v>6447</v>
      </c>
    </row>
    <row r="8798" spans="1:6" ht="30" customHeight="1" x14ac:dyDescent="0.25">
      <c r="A8798" s="1" t="s">
        <v>17523</v>
      </c>
      <c r="B8798" s="1" t="str">
        <f>""</f>
        <v/>
      </c>
      <c r="C8798" s="1" t="s">
        <v>15922</v>
      </c>
      <c r="D8798" s="2">
        <v>40269</v>
      </c>
      <c r="E8798" s="1" t="s">
        <v>17524</v>
      </c>
      <c r="F8798" s="1" t="s">
        <v>13</v>
      </c>
    </row>
    <row r="8799" spans="1:6" ht="30" customHeight="1" x14ac:dyDescent="0.25">
      <c r="A8799" s="1" t="s">
        <v>17525</v>
      </c>
      <c r="B8799" s="1" t="str">
        <f>""</f>
        <v/>
      </c>
      <c r="C8799" s="1" t="s">
        <v>15922</v>
      </c>
      <c r="D8799" s="2">
        <v>39845</v>
      </c>
      <c r="E8799" s="1" t="s">
        <v>17526</v>
      </c>
      <c r="F8799" s="1" t="s">
        <v>30</v>
      </c>
    </row>
    <row r="8800" spans="1:6" ht="30" customHeight="1" x14ac:dyDescent="0.25">
      <c r="A8800" s="1" t="s">
        <v>17527</v>
      </c>
      <c r="B8800" s="1" t="str">
        <f>""</f>
        <v/>
      </c>
      <c r="C8800" s="1" t="s">
        <v>15922</v>
      </c>
      <c r="D8800" s="2">
        <v>40634</v>
      </c>
      <c r="E8800" s="1" t="s">
        <v>17528</v>
      </c>
      <c r="F8800" s="1" t="s">
        <v>95</v>
      </c>
    </row>
    <row r="8801" spans="1:6" ht="30" customHeight="1" x14ac:dyDescent="0.25">
      <c r="A8801" s="1" t="s">
        <v>17529</v>
      </c>
      <c r="B8801" s="1" t="str">
        <f>""</f>
        <v/>
      </c>
      <c r="C8801" s="1" t="s">
        <v>15922</v>
      </c>
      <c r="D8801" s="2">
        <v>39904</v>
      </c>
      <c r="E8801" s="1" t="s">
        <v>17530</v>
      </c>
      <c r="F8801" s="1" t="s">
        <v>30</v>
      </c>
    </row>
    <row r="8802" spans="1:6" ht="30" customHeight="1" x14ac:dyDescent="0.25">
      <c r="A8802" s="1" t="s">
        <v>17531</v>
      </c>
      <c r="B8802" s="1" t="str">
        <f>""</f>
        <v/>
      </c>
      <c r="C8802" s="1" t="s">
        <v>15922</v>
      </c>
      <c r="D8802" s="2">
        <v>40179</v>
      </c>
      <c r="E8802" s="1" t="s">
        <v>17532</v>
      </c>
      <c r="F8802" s="1" t="s">
        <v>13</v>
      </c>
    </row>
    <row r="8803" spans="1:6" ht="30" customHeight="1" x14ac:dyDescent="0.25">
      <c r="A8803" s="1" t="s">
        <v>17533</v>
      </c>
      <c r="B8803" s="1" t="str">
        <f>""</f>
        <v/>
      </c>
      <c r="C8803" s="1" t="s">
        <v>15922</v>
      </c>
      <c r="D8803" s="2">
        <v>39173</v>
      </c>
      <c r="E8803" s="1" t="s">
        <v>17534</v>
      </c>
      <c r="F8803" s="1" t="s">
        <v>14125</v>
      </c>
    </row>
    <row r="8804" spans="1:6" ht="30" customHeight="1" x14ac:dyDescent="0.25">
      <c r="A8804" s="1" t="s">
        <v>17535</v>
      </c>
      <c r="B8804" s="1" t="str">
        <f>""</f>
        <v/>
      </c>
      <c r="C8804" s="1" t="s">
        <v>15922</v>
      </c>
      <c r="D8804" s="2">
        <v>40909</v>
      </c>
      <c r="E8804" s="1" t="s">
        <v>17536</v>
      </c>
      <c r="F8804" s="1" t="s">
        <v>4011</v>
      </c>
    </row>
    <row r="8805" spans="1:6" ht="30" customHeight="1" x14ac:dyDescent="0.25">
      <c r="A8805" s="1" t="s">
        <v>17537</v>
      </c>
      <c r="B8805" s="1" t="str">
        <f>""</f>
        <v/>
      </c>
      <c r="C8805" s="1" t="s">
        <v>15922</v>
      </c>
      <c r="D8805" s="2">
        <v>40513</v>
      </c>
      <c r="E8805" s="1" t="s">
        <v>17538</v>
      </c>
      <c r="F8805" s="1" t="s">
        <v>13</v>
      </c>
    </row>
    <row r="8806" spans="1:6" ht="30" customHeight="1" x14ac:dyDescent="0.25">
      <c r="A8806" s="1" t="s">
        <v>17539</v>
      </c>
      <c r="B8806" s="1" t="str">
        <f>""</f>
        <v/>
      </c>
      <c r="C8806" s="1" t="s">
        <v>15922</v>
      </c>
      <c r="D8806" s="2">
        <v>40238</v>
      </c>
      <c r="E8806" s="1" t="s">
        <v>17540</v>
      </c>
      <c r="F8806" s="1" t="s">
        <v>95</v>
      </c>
    </row>
    <row r="8807" spans="1:6" ht="30" customHeight="1" x14ac:dyDescent="0.25">
      <c r="A8807" s="1" t="s">
        <v>17541</v>
      </c>
      <c r="B8807" s="1" t="str">
        <f>""</f>
        <v/>
      </c>
      <c r="C8807" s="1" t="s">
        <v>15922</v>
      </c>
      <c r="D8807" s="2">
        <v>41274</v>
      </c>
      <c r="E8807" s="1" t="s">
        <v>17542</v>
      </c>
      <c r="F8807" s="1" t="s">
        <v>13</v>
      </c>
    </row>
    <row r="8808" spans="1:6" ht="30" customHeight="1" x14ac:dyDescent="0.25">
      <c r="A8808" s="1" t="s">
        <v>17543</v>
      </c>
      <c r="B8808" s="1" t="str">
        <f>""</f>
        <v/>
      </c>
      <c r="C8808" s="1" t="s">
        <v>15922</v>
      </c>
      <c r="D8808" s="2">
        <v>40603</v>
      </c>
      <c r="E8808" s="1" t="s">
        <v>17544</v>
      </c>
      <c r="F8808" s="1" t="s">
        <v>13</v>
      </c>
    </row>
    <row r="8809" spans="1:6" ht="30" customHeight="1" x14ac:dyDescent="0.25">
      <c r="A8809" s="1" t="s">
        <v>17545</v>
      </c>
      <c r="B8809" s="1" t="str">
        <f>""</f>
        <v/>
      </c>
      <c r="C8809" s="1" t="s">
        <v>15922</v>
      </c>
      <c r="D8809" s="2">
        <v>41214</v>
      </c>
      <c r="E8809" s="1" t="s">
        <v>17546</v>
      </c>
      <c r="F8809" s="1" t="s">
        <v>13</v>
      </c>
    </row>
    <row r="8810" spans="1:6" ht="30" customHeight="1" x14ac:dyDescent="0.25">
      <c r="A8810" s="1" t="s">
        <v>17547</v>
      </c>
      <c r="B8810" s="1" t="str">
        <f>""</f>
        <v/>
      </c>
      <c r="C8810" s="1" t="s">
        <v>15922</v>
      </c>
      <c r="D8810" s="2">
        <v>39934</v>
      </c>
      <c r="E8810" s="1" t="s">
        <v>17548</v>
      </c>
      <c r="F8810" s="1" t="s">
        <v>95</v>
      </c>
    </row>
    <row r="8811" spans="1:6" ht="30" customHeight="1" x14ac:dyDescent="0.25">
      <c r="A8811" s="1" t="s">
        <v>17549</v>
      </c>
      <c r="B8811" s="1" t="str">
        <f>""</f>
        <v/>
      </c>
      <c r="C8811" s="1" t="s">
        <v>15922</v>
      </c>
      <c r="D8811" s="2">
        <v>39904</v>
      </c>
      <c r="E8811" s="1" t="s">
        <v>17550</v>
      </c>
      <c r="F8811" s="1" t="s">
        <v>95</v>
      </c>
    </row>
    <row r="8812" spans="1:6" ht="30" customHeight="1" x14ac:dyDescent="0.25">
      <c r="A8812" s="1" t="s">
        <v>17551</v>
      </c>
      <c r="B8812" s="1" t="str">
        <f>""</f>
        <v/>
      </c>
      <c r="C8812" s="1" t="s">
        <v>15922</v>
      </c>
      <c r="D8812" s="2">
        <v>39845</v>
      </c>
      <c r="E8812" s="1" t="s">
        <v>17552</v>
      </c>
      <c r="F8812" s="1" t="s">
        <v>95</v>
      </c>
    </row>
    <row r="8813" spans="1:6" ht="30" customHeight="1" x14ac:dyDescent="0.25">
      <c r="A8813" s="1" t="s">
        <v>17553</v>
      </c>
      <c r="B8813" s="1" t="str">
        <f>""</f>
        <v/>
      </c>
      <c r="C8813" s="1" t="s">
        <v>15922</v>
      </c>
      <c r="D8813" s="2">
        <v>40725</v>
      </c>
      <c r="E8813" s="1" t="s">
        <v>17554</v>
      </c>
      <c r="F8813" s="1" t="s">
        <v>30</v>
      </c>
    </row>
    <row r="8814" spans="1:6" ht="30" customHeight="1" x14ac:dyDescent="0.25">
      <c r="A8814" s="1" t="s">
        <v>17555</v>
      </c>
      <c r="B8814" s="1" t="str">
        <f>""</f>
        <v/>
      </c>
      <c r="C8814" s="1" t="s">
        <v>17556</v>
      </c>
      <c r="D8814" s="2">
        <v>38687</v>
      </c>
      <c r="E8814" s="1" t="s">
        <v>17557</v>
      </c>
      <c r="F8814" s="1" t="s">
        <v>13</v>
      </c>
    </row>
    <row r="8815" spans="1:6" ht="30" customHeight="1" x14ac:dyDescent="0.25">
      <c r="A8815" s="1" t="s">
        <v>17558</v>
      </c>
      <c r="B8815" s="1" t="str">
        <f>""</f>
        <v/>
      </c>
      <c r="C8815" s="1" t="s">
        <v>17556</v>
      </c>
      <c r="D8815" s="2">
        <v>41244</v>
      </c>
      <c r="E8815" s="1" t="s">
        <v>17559</v>
      </c>
      <c r="F8815" s="1" t="s">
        <v>33</v>
      </c>
    </row>
    <row r="8816" spans="1:6" ht="30" customHeight="1" x14ac:dyDescent="0.25">
      <c r="A8816" s="1" t="s">
        <v>17560</v>
      </c>
      <c r="B8816" s="1" t="str">
        <f>"9781602580275"</f>
        <v>9781602580275</v>
      </c>
      <c r="C8816" s="1" t="s">
        <v>3202</v>
      </c>
      <c r="D8816" s="2">
        <v>39203</v>
      </c>
      <c r="E8816" s="1" t="s">
        <v>17561</v>
      </c>
      <c r="F8816" s="1" t="s">
        <v>30</v>
      </c>
    </row>
    <row r="8817" spans="1:6" ht="30" customHeight="1" x14ac:dyDescent="0.25">
      <c r="A8817" s="1" t="s">
        <v>17562</v>
      </c>
      <c r="B8817" s="1" t="str">
        <f>"9781608052028"</f>
        <v>9781608052028</v>
      </c>
      <c r="C8817" s="1" t="s">
        <v>11332</v>
      </c>
      <c r="D8817" s="2">
        <v>39814</v>
      </c>
      <c r="E8817" s="1" t="s">
        <v>17563</v>
      </c>
      <c r="F8817" s="1" t="s">
        <v>268</v>
      </c>
    </row>
    <row r="8818" spans="1:6" ht="30" customHeight="1" x14ac:dyDescent="0.25">
      <c r="A8818" s="1" t="s">
        <v>17562</v>
      </c>
      <c r="B8818" s="1" t="str">
        <f>"9781608051991"</f>
        <v>9781608051991</v>
      </c>
      <c r="C8818" s="1" t="s">
        <v>11332</v>
      </c>
      <c r="D8818" s="2">
        <v>38353</v>
      </c>
      <c r="E8818" s="1" t="s">
        <v>17564</v>
      </c>
      <c r="F8818" s="1" t="s">
        <v>137</v>
      </c>
    </row>
    <row r="8819" spans="1:6" ht="30" customHeight="1" x14ac:dyDescent="0.25">
      <c r="A8819" s="1" t="s">
        <v>17565</v>
      </c>
      <c r="B8819" s="1" t="str">
        <f>"9781608054671"</f>
        <v>9781608054671</v>
      </c>
      <c r="C8819" s="1" t="s">
        <v>11332</v>
      </c>
      <c r="D8819" s="2">
        <v>41640</v>
      </c>
      <c r="E8819" s="1" t="s">
        <v>17566</v>
      </c>
      <c r="F8819" s="1" t="s">
        <v>13</v>
      </c>
    </row>
    <row r="8820" spans="1:6" ht="30" customHeight="1" x14ac:dyDescent="0.25">
      <c r="A8820" s="1" t="s">
        <v>17567</v>
      </c>
      <c r="B8820" s="1" t="str">
        <f>"9781576755457"</f>
        <v>9781576755457</v>
      </c>
      <c r="C8820" s="1" t="s">
        <v>13187</v>
      </c>
      <c r="D8820" s="2">
        <v>39417</v>
      </c>
      <c r="E8820" s="1" t="s">
        <v>17568</v>
      </c>
      <c r="F8820" s="1" t="s">
        <v>13</v>
      </c>
    </row>
    <row r="8821" spans="1:6" ht="30" customHeight="1" x14ac:dyDescent="0.25">
      <c r="A8821" s="1" t="s">
        <v>17569</v>
      </c>
      <c r="B8821" s="1" t="str">
        <f>"9789047404163"</f>
        <v>9789047404163</v>
      </c>
      <c r="C8821" s="1" t="s">
        <v>17570</v>
      </c>
      <c r="D8821" s="2">
        <v>38292</v>
      </c>
      <c r="E8821" s="1" t="s">
        <v>17571</v>
      </c>
      <c r="F8821" s="1" t="s">
        <v>13</v>
      </c>
    </row>
    <row r="8822" spans="1:6" ht="30" customHeight="1" x14ac:dyDescent="0.25">
      <c r="A8822" s="1" t="s">
        <v>17572</v>
      </c>
      <c r="B8822" s="1" t="str">
        <f>"9781280915314"</f>
        <v>9781280915314</v>
      </c>
      <c r="C8822" s="1" t="s">
        <v>17570</v>
      </c>
      <c r="D8822" s="2">
        <v>37987</v>
      </c>
      <c r="E8822" s="1" t="s">
        <v>17573</v>
      </c>
      <c r="F8822" s="1" t="s">
        <v>95</v>
      </c>
    </row>
    <row r="8823" spans="1:6" ht="30" customHeight="1" x14ac:dyDescent="0.25">
      <c r="A8823" s="1" t="s">
        <v>17574</v>
      </c>
      <c r="B8823" s="1" t="str">
        <f>"9789047411024"</f>
        <v>9789047411024</v>
      </c>
      <c r="C8823" s="1" t="s">
        <v>17570</v>
      </c>
      <c r="D8823" s="2">
        <v>38687</v>
      </c>
      <c r="E8823" s="1" t="s">
        <v>6913</v>
      </c>
      <c r="F8823" s="1" t="s">
        <v>13</v>
      </c>
    </row>
    <row r="8824" spans="1:6" ht="30" customHeight="1" x14ac:dyDescent="0.25">
      <c r="A8824" s="1" t="s">
        <v>17575</v>
      </c>
      <c r="B8824" s="1" t="str">
        <f>"9789047407690"</f>
        <v>9789047407690</v>
      </c>
      <c r="C8824" s="1" t="s">
        <v>17570</v>
      </c>
      <c r="D8824" s="2">
        <v>38687</v>
      </c>
      <c r="E8824" s="1" t="s">
        <v>17576</v>
      </c>
      <c r="F8824" s="1" t="s">
        <v>1879</v>
      </c>
    </row>
    <row r="8825" spans="1:6" ht="30" customHeight="1" x14ac:dyDescent="0.25">
      <c r="A8825" s="1" t="s">
        <v>17577</v>
      </c>
      <c r="B8825" s="1" t="str">
        <f>"9789047409861"</f>
        <v>9789047409861</v>
      </c>
      <c r="C8825" s="1" t="s">
        <v>17570</v>
      </c>
      <c r="D8825" s="2">
        <v>38687</v>
      </c>
      <c r="E8825" s="1" t="s">
        <v>17578</v>
      </c>
      <c r="F8825" s="1" t="s">
        <v>1879</v>
      </c>
    </row>
    <row r="8826" spans="1:6" ht="30" customHeight="1" x14ac:dyDescent="0.25">
      <c r="A8826" s="1" t="s">
        <v>17579</v>
      </c>
      <c r="B8826" s="1" t="str">
        <f>"9789047410164"</f>
        <v>9789047410164</v>
      </c>
      <c r="C8826" s="1" t="s">
        <v>17570</v>
      </c>
      <c r="D8826" s="2">
        <v>38687</v>
      </c>
      <c r="E8826" s="1" t="s">
        <v>17580</v>
      </c>
      <c r="F8826" s="1" t="s">
        <v>3875</v>
      </c>
    </row>
    <row r="8827" spans="1:6" ht="30" customHeight="1" x14ac:dyDescent="0.25">
      <c r="A8827" s="1" t="s">
        <v>17581</v>
      </c>
      <c r="B8827" s="1" t="str">
        <f>"9789047409922"</f>
        <v>9789047409922</v>
      </c>
      <c r="C8827" s="1" t="s">
        <v>17570</v>
      </c>
      <c r="D8827" s="2">
        <v>38687</v>
      </c>
      <c r="E8827" s="1" t="s">
        <v>17582</v>
      </c>
      <c r="F8827" s="1" t="s">
        <v>95</v>
      </c>
    </row>
    <row r="8828" spans="1:6" ht="30" customHeight="1" x14ac:dyDescent="0.25">
      <c r="A8828" s="1" t="s">
        <v>17583</v>
      </c>
      <c r="B8828" s="1" t="str">
        <f>"9780815798361"</f>
        <v>9780815798361</v>
      </c>
      <c r="C8828" s="1" t="s">
        <v>1509</v>
      </c>
      <c r="D8828" s="2">
        <v>37043</v>
      </c>
      <c r="E8828" s="1" t="s">
        <v>17584</v>
      </c>
      <c r="F8828" s="1" t="s">
        <v>30</v>
      </c>
    </row>
    <row r="8829" spans="1:6" ht="30" customHeight="1" x14ac:dyDescent="0.25">
      <c r="A8829" s="1" t="s">
        <v>17585</v>
      </c>
      <c r="B8829" s="1" t="str">
        <f>"9780815710141"</f>
        <v>9780815710141</v>
      </c>
      <c r="C8829" s="1" t="s">
        <v>1509</v>
      </c>
      <c r="D8829" s="2">
        <v>36526</v>
      </c>
      <c r="E8829" s="1" t="s">
        <v>17586</v>
      </c>
      <c r="F8829" s="1" t="s">
        <v>30</v>
      </c>
    </row>
    <row r="8830" spans="1:6" ht="30" customHeight="1" x14ac:dyDescent="0.25">
      <c r="A8830" s="1" t="s">
        <v>17587</v>
      </c>
      <c r="B8830" s="1" t="str">
        <f>"9780815796459"</f>
        <v>9780815796459</v>
      </c>
      <c r="C8830" s="1" t="s">
        <v>1509</v>
      </c>
      <c r="D8830" s="2">
        <v>38099</v>
      </c>
      <c r="E8830" s="1" t="s">
        <v>17588</v>
      </c>
      <c r="F8830" s="1" t="s">
        <v>148</v>
      </c>
    </row>
    <row r="8831" spans="1:6" ht="30" customHeight="1" x14ac:dyDescent="0.25">
      <c r="A8831" s="1" t="s">
        <v>17589</v>
      </c>
      <c r="B8831" s="1" t="str">
        <f>"9781845937263"</f>
        <v>9781845937263</v>
      </c>
      <c r="C8831" s="1" t="s">
        <v>17590</v>
      </c>
      <c r="D8831" s="2">
        <v>40118</v>
      </c>
      <c r="E8831" s="1" t="s">
        <v>17591</v>
      </c>
      <c r="F8831" s="1" t="s">
        <v>176</v>
      </c>
    </row>
    <row r="8832" spans="1:6" ht="30" customHeight="1" x14ac:dyDescent="0.25">
      <c r="A8832" s="1" t="s">
        <v>17592</v>
      </c>
      <c r="B8832" s="1" t="str">
        <f>"9780511153211"</f>
        <v>9780511153211</v>
      </c>
      <c r="C8832" s="1" t="s">
        <v>25</v>
      </c>
      <c r="D8832" s="2">
        <v>36853</v>
      </c>
      <c r="E8832" s="1" t="s">
        <v>17593</v>
      </c>
      <c r="F8832" s="1" t="s">
        <v>13</v>
      </c>
    </row>
    <row r="8833" spans="1:6" ht="30" customHeight="1" x14ac:dyDescent="0.25">
      <c r="A8833" s="1" t="s">
        <v>17594</v>
      </c>
      <c r="B8833" s="1" t="str">
        <f>"9780511149030"</f>
        <v>9780511149030</v>
      </c>
      <c r="C8833" s="1" t="s">
        <v>25</v>
      </c>
      <c r="D8833" s="2">
        <v>36762</v>
      </c>
      <c r="E8833" s="1" t="s">
        <v>17595</v>
      </c>
      <c r="F8833" s="1" t="s">
        <v>13</v>
      </c>
    </row>
    <row r="8834" spans="1:6" ht="30" customHeight="1" x14ac:dyDescent="0.25">
      <c r="A8834" s="1" t="s">
        <v>17596</v>
      </c>
      <c r="B8834" s="1" t="str">
        <f>"9781139145527"</f>
        <v>9781139145527</v>
      </c>
      <c r="C8834" s="1" t="s">
        <v>25</v>
      </c>
      <c r="D8834" s="2">
        <v>36509</v>
      </c>
      <c r="E8834" s="1" t="s">
        <v>17597</v>
      </c>
      <c r="F8834" s="1" t="s">
        <v>13</v>
      </c>
    </row>
    <row r="8835" spans="1:6" ht="30" customHeight="1" x14ac:dyDescent="0.25">
      <c r="A8835" s="1" t="s">
        <v>17598</v>
      </c>
      <c r="B8835" s="1" t="str">
        <f>"9780511639418"</f>
        <v>9780511639418</v>
      </c>
      <c r="C8835" s="1" t="s">
        <v>25</v>
      </c>
      <c r="D8835" s="2">
        <v>40148</v>
      </c>
      <c r="E8835" s="1" t="s">
        <v>17599</v>
      </c>
      <c r="F8835" s="1" t="s">
        <v>13</v>
      </c>
    </row>
    <row r="8836" spans="1:6" ht="30" customHeight="1" x14ac:dyDescent="0.25">
      <c r="A8836" s="1" t="s">
        <v>17600</v>
      </c>
      <c r="B8836" s="1" t="str">
        <f>"9780662494416"</f>
        <v>9780662494416</v>
      </c>
      <c r="C8836" s="1" t="s">
        <v>17601</v>
      </c>
      <c r="D8836" s="2">
        <v>38322</v>
      </c>
      <c r="E8836" s="1" t="s">
        <v>17602</v>
      </c>
      <c r="F8836" s="1" t="s">
        <v>17603</v>
      </c>
    </row>
    <row r="8837" spans="1:6" ht="30" customHeight="1" x14ac:dyDescent="0.25">
      <c r="A8837" s="1" t="s">
        <v>17604</v>
      </c>
      <c r="B8837" s="1" t="str">
        <f>"9781904602866"</f>
        <v>9781904602866</v>
      </c>
      <c r="C8837" s="1" t="s">
        <v>1331</v>
      </c>
      <c r="D8837" s="2">
        <v>38261</v>
      </c>
      <c r="E8837" s="1" t="s">
        <v>17605</v>
      </c>
      <c r="F8837" s="1" t="s">
        <v>13</v>
      </c>
    </row>
    <row r="8838" spans="1:6" ht="30" customHeight="1" x14ac:dyDescent="0.25">
      <c r="A8838" s="1" t="s">
        <v>17606</v>
      </c>
      <c r="B8838" s="1" t="str">
        <f>"9781859593158"</f>
        <v>9781859593158</v>
      </c>
      <c r="C8838" s="1" t="s">
        <v>17607</v>
      </c>
      <c r="D8838" s="2">
        <v>40210</v>
      </c>
      <c r="E8838" s="1" t="s">
        <v>17608</v>
      </c>
      <c r="F8838" s="1" t="s">
        <v>13</v>
      </c>
    </row>
    <row r="8839" spans="1:6" ht="30" customHeight="1" x14ac:dyDescent="0.25">
      <c r="A8839" s="1" t="s">
        <v>17609</v>
      </c>
      <c r="B8839" s="1" t="str">
        <f>"9781859593707"</f>
        <v>9781859593707</v>
      </c>
      <c r="C8839" s="1" t="s">
        <v>17607</v>
      </c>
      <c r="D8839" s="2">
        <v>40787</v>
      </c>
      <c r="E8839" s="1" t="s">
        <v>1033</v>
      </c>
      <c r="F8839" s="1" t="s">
        <v>13</v>
      </c>
    </row>
    <row r="8840" spans="1:6" ht="30" customHeight="1" x14ac:dyDescent="0.25">
      <c r="A8840" s="1" t="s">
        <v>3783</v>
      </c>
      <c r="B8840" s="1" t="str">
        <f>"9781417545629"</f>
        <v>9781417545629</v>
      </c>
      <c r="C8840" s="1" t="s">
        <v>17610</v>
      </c>
      <c r="D8840" s="2">
        <v>37622</v>
      </c>
      <c r="E8840" s="1" t="s">
        <v>17611</v>
      </c>
      <c r="F8840" s="1" t="s">
        <v>234</v>
      </c>
    </row>
    <row r="8841" spans="1:6" ht="30" customHeight="1" x14ac:dyDescent="0.25">
      <c r="A8841" s="1" t="s">
        <v>17612</v>
      </c>
      <c r="B8841" s="1" t="str">
        <f>"9781934559819"</f>
        <v>9781934559819</v>
      </c>
      <c r="C8841" s="1" t="s">
        <v>2342</v>
      </c>
      <c r="D8841" s="2">
        <v>38718</v>
      </c>
      <c r="E8841" s="1" t="s">
        <v>17613</v>
      </c>
      <c r="F8841" s="1" t="s">
        <v>13</v>
      </c>
    </row>
    <row r="8842" spans="1:6" ht="30" customHeight="1" x14ac:dyDescent="0.25">
      <c r="A8842" s="1" t="s">
        <v>8605</v>
      </c>
      <c r="B8842" s="1" t="str">
        <f>"9781617050244"</f>
        <v>9781617050244</v>
      </c>
      <c r="C8842" s="1" t="s">
        <v>2342</v>
      </c>
      <c r="D8842" s="2">
        <v>40725</v>
      </c>
      <c r="E8842" s="1" t="s">
        <v>17614</v>
      </c>
      <c r="F8842" s="1" t="s">
        <v>13</v>
      </c>
    </row>
    <row r="8843" spans="1:6" ht="30" customHeight="1" x14ac:dyDescent="0.25">
      <c r="A8843" s="1" t="s">
        <v>17615</v>
      </c>
      <c r="B8843" s="1" t="str">
        <f>"9781617050619"</f>
        <v>9781617050619</v>
      </c>
      <c r="C8843" s="1" t="s">
        <v>2339</v>
      </c>
      <c r="D8843" s="2">
        <v>41773</v>
      </c>
      <c r="E8843" s="1" t="s">
        <v>17616</v>
      </c>
      <c r="F8843" s="1" t="s">
        <v>13</v>
      </c>
    </row>
    <row r="8844" spans="1:6" ht="30" customHeight="1" x14ac:dyDescent="0.25">
      <c r="A8844" s="1" t="s">
        <v>17617</v>
      </c>
      <c r="B8844" s="1" t="str">
        <f>"9781617051760"</f>
        <v>9781617051760</v>
      </c>
      <c r="C8844" s="1" t="s">
        <v>2342</v>
      </c>
      <c r="D8844" s="2">
        <v>40817</v>
      </c>
      <c r="E8844" s="1" t="s">
        <v>17618</v>
      </c>
      <c r="F8844" s="1" t="s">
        <v>13</v>
      </c>
    </row>
    <row r="8845" spans="1:6" ht="30" customHeight="1" x14ac:dyDescent="0.25">
      <c r="A8845" s="1" t="s">
        <v>17619</v>
      </c>
      <c r="B8845" s="1" t="str">
        <f>"9781617052200"</f>
        <v>9781617052200</v>
      </c>
      <c r="C8845" s="1" t="s">
        <v>2342</v>
      </c>
      <c r="D8845" s="2">
        <v>41791</v>
      </c>
      <c r="E8845" s="1" t="s">
        <v>17620</v>
      </c>
      <c r="F8845" s="1" t="s">
        <v>13</v>
      </c>
    </row>
    <row r="8846" spans="1:6" ht="30" customHeight="1" x14ac:dyDescent="0.25">
      <c r="A8846" s="1" t="s">
        <v>17621</v>
      </c>
      <c r="B8846" s="1" t="str">
        <f>"9781617050992"</f>
        <v>9781617050992</v>
      </c>
      <c r="C8846" s="1" t="s">
        <v>2342</v>
      </c>
      <c r="D8846" s="2">
        <v>41852</v>
      </c>
      <c r="E8846" s="1" t="s">
        <v>17622</v>
      </c>
      <c r="F8846" s="1" t="s">
        <v>13</v>
      </c>
    </row>
    <row r="8847" spans="1:6" ht="30" customHeight="1" x14ac:dyDescent="0.25">
      <c r="A8847" s="1" t="s">
        <v>17623</v>
      </c>
      <c r="B8847" s="1" t="str">
        <f>"9781617051944"</f>
        <v>9781617051944</v>
      </c>
      <c r="C8847" s="1" t="s">
        <v>2342</v>
      </c>
      <c r="D8847" s="2">
        <v>41852</v>
      </c>
      <c r="E8847" s="1" t="s">
        <v>17624</v>
      </c>
      <c r="F8847" s="1" t="s">
        <v>13</v>
      </c>
    </row>
    <row r="8848" spans="1:6" ht="30" customHeight="1" x14ac:dyDescent="0.25">
      <c r="A8848" s="1" t="s">
        <v>17625</v>
      </c>
      <c r="B8848" s="1" t="str">
        <f>"9781843271369"</f>
        <v>9781843271369</v>
      </c>
      <c r="C8848" s="1" t="s">
        <v>17626</v>
      </c>
      <c r="D8848" s="2">
        <v>36861</v>
      </c>
      <c r="E8848" s="1" t="s">
        <v>17627</v>
      </c>
      <c r="F8848" s="1" t="s">
        <v>54</v>
      </c>
    </row>
    <row r="8849" spans="1:6" ht="30" customHeight="1" x14ac:dyDescent="0.25">
      <c r="A8849" s="1" t="s">
        <v>17628</v>
      </c>
      <c r="B8849" s="1" t="str">
        <f>"9781563681714"</f>
        <v>9781563681714</v>
      </c>
      <c r="C8849" s="1" t="s">
        <v>17629</v>
      </c>
      <c r="D8849" s="2">
        <v>37438</v>
      </c>
      <c r="E8849" s="1" t="s">
        <v>17630</v>
      </c>
      <c r="F8849" s="1" t="s">
        <v>87</v>
      </c>
    </row>
    <row r="8850" spans="1:6" ht="30" customHeight="1" x14ac:dyDescent="0.25">
      <c r="A8850" s="1" t="s">
        <v>17631</v>
      </c>
      <c r="B8850" s="1" t="str">
        <f>"9781563682797"</f>
        <v>9781563682797</v>
      </c>
      <c r="C8850" s="1" t="s">
        <v>17629</v>
      </c>
      <c r="D8850" s="2">
        <v>38231</v>
      </c>
      <c r="E8850" s="1" t="s">
        <v>17632</v>
      </c>
      <c r="F8850" s="1" t="s">
        <v>13</v>
      </c>
    </row>
    <row r="8851" spans="1:6" ht="30" customHeight="1" x14ac:dyDescent="0.25">
      <c r="A8851" s="1" t="s">
        <v>17633</v>
      </c>
      <c r="B8851" s="1" t="str">
        <f>"9781563686160"</f>
        <v>9781563686160</v>
      </c>
      <c r="C8851" s="1" t="s">
        <v>17629</v>
      </c>
      <c r="D8851" s="2">
        <v>41974</v>
      </c>
      <c r="E8851" s="1" t="s">
        <v>17634</v>
      </c>
      <c r="F8851" s="1" t="s">
        <v>13</v>
      </c>
    </row>
    <row r="8852" spans="1:6" ht="30" customHeight="1" x14ac:dyDescent="0.25">
      <c r="A8852" s="1" t="s">
        <v>17635</v>
      </c>
      <c r="B8852" s="1" t="str">
        <f>"9789380075532"</f>
        <v>9789380075532</v>
      </c>
      <c r="C8852" s="1" t="s">
        <v>17636</v>
      </c>
      <c r="D8852" s="2">
        <v>39783</v>
      </c>
      <c r="E8852" s="1" t="s">
        <v>17637</v>
      </c>
      <c r="F8852" s="1" t="s">
        <v>200</v>
      </c>
    </row>
    <row r="8853" spans="1:6" ht="30" customHeight="1" x14ac:dyDescent="0.25">
      <c r="A8853" s="1" t="s">
        <v>17638</v>
      </c>
      <c r="B8853" s="1" t="str">
        <f>"9788189940201"</f>
        <v>9788189940201</v>
      </c>
      <c r="C8853" s="1" t="s">
        <v>17636</v>
      </c>
      <c r="D8853" s="2">
        <v>39052</v>
      </c>
      <c r="E8853" s="1" t="s">
        <v>17639</v>
      </c>
      <c r="F8853" s="1" t="s">
        <v>30</v>
      </c>
    </row>
    <row r="8854" spans="1:6" ht="30" customHeight="1" x14ac:dyDescent="0.25">
      <c r="A8854" s="1" t="s">
        <v>17640</v>
      </c>
      <c r="B8854" s="1" t="str">
        <f>"9788189940454"</f>
        <v>9788189940454</v>
      </c>
      <c r="C8854" s="1" t="s">
        <v>17636</v>
      </c>
      <c r="D8854" s="2">
        <v>39052</v>
      </c>
      <c r="E8854" s="1" t="s">
        <v>17641</v>
      </c>
      <c r="F8854" s="1" t="s">
        <v>3843</v>
      </c>
    </row>
    <row r="8855" spans="1:6" ht="30" customHeight="1" x14ac:dyDescent="0.25">
      <c r="A8855" s="1" t="s">
        <v>1958</v>
      </c>
      <c r="B8855" s="1" t="str">
        <f>"9788189940119"</f>
        <v>9788189940119</v>
      </c>
      <c r="C8855" s="1" t="s">
        <v>17636</v>
      </c>
      <c r="D8855" s="2">
        <v>39052</v>
      </c>
      <c r="E8855" s="1" t="s">
        <v>17642</v>
      </c>
      <c r="F8855" s="1" t="s">
        <v>30</v>
      </c>
    </row>
    <row r="8856" spans="1:6" ht="30" customHeight="1" x14ac:dyDescent="0.25">
      <c r="A8856" s="1" t="s">
        <v>17643</v>
      </c>
      <c r="B8856" s="1" t="str">
        <f>"9789350431672"</f>
        <v>9789350431672</v>
      </c>
      <c r="C8856" s="1" t="s">
        <v>17636</v>
      </c>
      <c r="D8856" s="2">
        <v>40148</v>
      </c>
      <c r="E8856" s="1" t="s">
        <v>17644</v>
      </c>
      <c r="F8856" s="1" t="s">
        <v>137</v>
      </c>
    </row>
    <row r="8857" spans="1:6" ht="30" customHeight="1" x14ac:dyDescent="0.25">
      <c r="A8857" s="1" t="s">
        <v>17645</v>
      </c>
      <c r="B8857" s="1" t="str">
        <f>""</f>
        <v/>
      </c>
      <c r="C8857" s="1" t="s">
        <v>17636</v>
      </c>
      <c r="D8857" s="2">
        <v>40148</v>
      </c>
      <c r="E8857" s="1" t="s">
        <v>17646</v>
      </c>
      <c r="F8857" s="1" t="s">
        <v>95</v>
      </c>
    </row>
    <row r="8858" spans="1:6" ht="30" customHeight="1" x14ac:dyDescent="0.25">
      <c r="A8858" s="1" t="s">
        <v>17647</v>
      </c>
      <c r="B8858" s="1" t="str">
        <f>"9781282805262"</f>
        <v>9781282805262</v>
      </c>
      <c r="C8858" s="1" t="s">
        <v>17636</v>
      </c>
      <c r="D8858" s="2">
        <v>40148</v>
      </c>
      <c r="E8858" s="1" t="s">
        <v>17648</v>
      </c>
      <c r="F8858" s="1" t="s">
        <v>1400</v>
      </c>
    </row>
    <row r="8859" spans="1:6" ht="30" customHeight="1" x14ac:dyDescent="0.25">
      <c r="A8859" s="1" t="s">
        <v>4838</v>
      </c>
      <c r="B8859" s="1" t="str">
        <f>"9789350432310"</f>
        <v>9789350432310</v>
      </c>
      <c r="C8859" s="1" t="s">
        <v>17636</v>
      </c>
      <c r="D8859" s="2">
        <v>40148</v>
      </c>
      <c r="E8859" s="1" t="s">
        <v>17649</v>
      </c>
      <c r="F8859" s="1" t="s">
        <v>268</v>
      </c>
    </row>
    <row r="8860" spans="1:6" ht="30" customHeight="1" x14ac:dyDescent="0.25">
      <c r="A8860" s="1" t="s">
        <v>17650</v>
      </c>
      <c r="B8860" s="1" t="str">
        <f>""</f>
        <v/>
      </c>
      <c r="C8860" s="1" t="s">
        <v>17636</v>
      </c>
      <c r="D8860" s="2">
        <v>40148</v>
      </c>
      <c r="E8860" s="1" t="s">
        <v>17651</v>
      </c>
      <c r="F8860" s="1" t="s">
        <v>63</v>
      </c>
    </row>
    <row r="8861" spans="1:6" ht="30" customHeight="1" x14ac:dyDescent="0.25">
      <c r="A8861" s="1" t="s">
        <v>17652</v>
      </c>
      <c r="B8861" s="1" t="str">
        <f>""</f>
        <v/>
      </c>
      <c r="C8861" s="1" t="s">
        <v>17636</v>
      </c>
      <c r="D8861" s="2">
        <v>39417</v>
      </c>
      <c r="E8861" s="1" t="s">
        <v>8251</v>
      </c>
      <c r="F8861" s="1" t="s">
        <v>6118</v>
      </c>
    </row>
    <row r="8862" spans="1:6" ht="30" customHeight="1" x14ac:dyDescent="0.25">
      <c r="A8862" s="1" t="s">
        <v>17653</v>
      </c>
      <c r="B8862" s="1" t="str">
        <f>"9789350431917"</f>
        <v>9789350431917</v>
      </c>
      <c r="C8862" s="1" t="s">
        <v>17636</v>
      </c>
      <c r="D8862" s="2">
        <v>40148</v>
      </c>
      <c r="E8862" s="1" t="s">
        <v>17654</v>
      </c>
      <c r="F8862" s="1" t="s">
        <v>13</v>
      </c>
    </row>
    <row r="8863" spans="1:6" ht="30" customHeight="1" x14ac:dyDescent="0.25">
      <c r="A8863" s="1" t="s">
        <v>17655</v>
      </c>
      <c r="B8863" s="1" t="str">
        <f>"9789350432068"</f>
        <v>9789350432068</v>
      </c>
      <c r="C8863" s="1" t="s">
        <v>17636</v>
      </c>
      <c r="D8863" s="2">
        <v>40148</v>
      </c>
      <c r="E8863" s="1" t="s">
        <v>17656</v>
      </c>
      <c r="F8863" s="1" t="s">
        <v>63</v>
      </c>
    </row>
    <row r="8864" spans="1:6" ht="30" customHeight="1" x14ac:dyDescent="0.25">
      <c r="A8864" s="1" t="s">
        <v>17657</v>
      </c>
      <c r="B8864" s="1" t="str">
        <f>"9781282805255"</f>
        <v>9781282805255</v>
      </c>
      <c r="C8864" s="1" t="s">
        <v>17636</v>
      </c>
      <c r="D8864" s="2">
        <v>39783</v>
      </c>
      <c r="E8864" s="1" t="s">
        <v>17658</v>
      </c>
      <c r="F8864" s="1" t="s">
        <v>4250</v>
      </c>
    </row>
    <row r="8865" spans="1:6" ht="30" customHeight="1" x14ac:dyDescent="0.25">
      <c r="A8865" s="1" t="s">
        <v>17659</v>
      </c>
      <c r="B8865" s="1" t="str">
        <f>""</f>
        <v/>
      </c>
      <c r="C8865" s="1" t="s">
        <v>17636</v>
      </c>
      <c r="D8865" s="2">
        <v>39417</v>
      </c>
      <c r="E8865" s="1" t="s">
        <v>17660</v>
      </c>
      <c r="F8865" s="1" t="s">
        <v>95</v>
      </c>
    </row>
    <row r="8866" spans="1:6" ht="30" customHeight="1" x14ac:dyDescent="0.25">
      <c r="A8866" s="1" t="s">
        <v>17661</v>
      </c>
      <c r="B8866" s="1" t="str">
        <f>"9789350434062"</f>
        <v>9789350434062</v>
      </c>
      <c r="C8866" s="1" t="s">
        <v>17636</v>
      </c>
      <c r="D8866" s="2">
        <v>39417</v>
      </c>
      <c r="E8866" s="1" t="s">
        <v>17644</v>
      </c>
      <c r="F8866" s="1" t="s">
        <v>268</v>
      </c>
    </row>
    <row r="8867" spans="1:6" ht="30" customHeight="1" x14ac:dyDescent="0.25">
      <c r="A8867" s="1" t="s">
        <v>17662</v>
      </c>
      <c r="B8867" s="1" t="str">
        <f>"9789350432792"</f>
        <v>9789350432792</v>
      </c>
      <c r="C8867" s="1" t="s">
        <v>17636</v>
      </c>
      <c r="D8867" s="2">
        <v>40148</v>
      </c>
      <c r="E8867" s="1" t="s">
        <v>8467</v>
      </c>
      <c r="F8867" s="1" t="s">
        <v>13</v>
      </c>
    </row>
    <row r="8868" spans="1:6" ht="30" customHeight="1" x14ac:dyDescent="0.25">
      <c r="A8868" s="1" t="s">
        <v>17663</v>
      </c>
      <c r="B8868" s="1" t="str">
        <f>"9789350431689"</f>
        <v>9789350431689</v>
      </c>
      <c r="C8868" s="1" t="s">
        <v>17636</v>
      </c>
      <c r="D8868" s="2">
        <v>40148</v>
      </c>
      <c r="E8868" s="1" t="s">
        <v>17644</v>
      </c>
      <c r="F8868" s="1" t="s">
        <v>137</v>
      </c>
    </row>
    <row r="8869" spans="1:6" ht="30" customHeight="1" x14ac:dyDescent="0.25">
      <c r="A8869" s="1" t="s">
        <v>17664</v>
      </c>
      <c r="B8869" s="1" t="str">
        <f>"9781908541161"</f>
        <v>9781908541161</v>
      </c>
      <c r="C8869" s="1" t="s">
        <v>10006</v>
      </c>
      <c r="D8869" s="2">
        <v>40969</v>
      </c>
      <c r="E8869" s="1" t="s">
        <v>17665</v>
      </c>
      <c r="F8869" s="1" t="s">
        <v>13</v>
      </c>
    </row>
    <row r="8870" spans="1:6" ht="30" customHeight="1" x14ac:dyDescent="0.25">
      <c r="A8870" s="1" t="s">
        <v>17666</v>
      </c>
      <c r="B8870" s="1" t="str">
        <f>"9781280028267"</f>
        <v>9781280028267</v>
      </c>
      <c r="C8870" s="1" t="s">
        <v>17667</v>
      </c>
      <c r="D8870" s="2">
        <v>36892</v>
      </c>
      <c r="E8870" s="1" t="s">
        <v>17668</v>
      </c>
      <c r="F8870" s="1" t="s">
        <v>3390</v>
      </c>
    </row>
    <row r="8871" spans="1:6" ht="30" customHeight="1" x14ac:dyDescent="0.25">
      <c r="A8871" s="1" t="s">
        <v>17669</v>
      </c>
      <c r="B8871" s="1" t="str">
        <f>"9789221179887"</f>
        <v>9789221179887</v>
      </c>
      <c r="C8871" s="1" t="s">
        <v>17667</v>
      </c>
      <c r="D8871" s="2">
        <v>38322</v>
      </c>
      <c r="E8871" s="1" t="s">
        <v>17670</v>
      </c>
      <c r="F8871" s="1" t="s">
        <v>30</v>
      </c>
    </row>
    <row r="8872" spans="1:6" ht="30" customHeight="1" x14ac:dyDescent="0.25">
      <c r="A8872" s="1" t="s">
        <v>17671</v>
      </c>
      <c r="B8872" s="1" t="str">
        <f>"9789221204558"</f>
        <v>9789221204558</v>
      </c>
      <c r="C8872" s="1" t="s">
        <v>8374</v>
      </c>
      <c r="D8872" s="2">
        <v>39692</v>
      </c>
      <c r="E8872" s="1" t="s">
        <v>17672</v>
      </c>
      <c r="F8872" s="1" t="s">
        <v>599</v>
      </c>
    </row>
    <row r="8873" spans="1:6" ht="30" customHeight="1" x14ac:dyDescent="0.25">
      <c r="A8873" s="1" t="s">
        <v>17673</v>
      </c>
      <c r="B8873" s="1" t="str">
        <f>"9781451909982"</f>
        <v>9781451909982</v>
      </c>
      <c r="C8873" s="1" t="s">
        <v>14624</v>
      </c>
      <c r="D8873" s="2">
        <v>39083</v>
      </c>
      <c r="E8873" s="1" t="s">
        <v>17674</v>
      </c>
      <c r="F8873" s="1" t="s">
        <v>30</v>
      </c>
    </row>
    <row r="8874" spans="1:6" ht="30" customHeight="1" x14ac:dyDescent="0.25">
      <c r="A8874" s="1" t="s">
        <v>17675</v>
      </c>
      <c r="B8874" s="1" t="str">
        <f>"9781451997347"</f>
        <v>9781451997347</v>
      </c>
      <c r="C8874" s="1" t="s">
        <v>14624</v>
      </c>
      <c r="D8874" s="2">
        <v>38838</v>
      </c>
      <c r="E8874" s="1" t="s">
        <v>17676</v>
      </c>
      <c r="F8874" s="1" t="s">
        <v>95</v>
      </c>
    </row>
    <row r="8875" spans="1:6" ht="30" customHeight="1" x14ac:dyDescent="0.25">
      <c r="A8875" s="1" t="s">
        <v>17677</v>
      </c>
      <c r="B8875" s="1" t="str">
        <f>"9781455255757"</f>
        <v>9781455255757</v>
      </c>
      <c r="C8875" s="1" t="s">
        <v>14624</v>
      </c>
      <c r="D8875" s="2">
        <v>32947</v>
      </c>
      <c r="E8875" s="1" t="s">
        <v>17678</v>
      </c>
      <c r="F8875" s="1" t="s">
        <v>95</v>
      </c>
    </row>
    <row r="8876" spans="1:6" ht="30" customHeight="1" x14ac:dyDescent="0.25">
      <c r="A8876" s="1" t="s">
        <v>17679</v>
      </c>
      <c r="B8876" s="1" t="str">
        <f>"9781607505037"</f>
        <v>9781607505037</v>
      </c>
      <c r="C8876" s="1" t="s">
        <v>1390</v>
      </c>
      <c r="D8876" s="2">
        <v>40330</v>
      </c>
      <c r="E8876" s="1" t="s">
        <v>17680</v>
      </c>
      <c r="F8876" s="1" t="s">
        <v>13</v>
      </c>
    </row>
    <row r="8877" spans="1:6" ht="30" customHeight="1" x14ac:dyDescent="0.25">
      <c r="A8877" s="1" t="s">
        <v>17681</v>
      </c>
      <c r="B8877" s="1" t="str">
        <f>"9781846422676"</f>
        <v>9781846422676</v>
      </c>
      <c r="C8877" s="1" t="s">
        <v>2387</v>
      </c>
      <c r="D8877" s="2">
        <v>36790</v>
      </c>
      <c r="E8877" s="1" t="s">
        <v>17682</v>
      </c>
      <c r="F8877" s="1" t="s">
        <v>13</v>
      </c>
    </row>
    <row r="8878" spans="1:6" ht="30" customHeight="1" x14ac:dyDescent="0.25">
      <c r="A8878" s="1" t="s">
        <v>17683</v>
      </c>
      <c r="B8878" s="1" t="str">
        <f>"9781846421778"</f>
        <v>9781846421778</v>
      </c>
      <c r="C8878" s="1" t="s">
        <v>2387</v>
      </c>
      <c r="D8878" s="2">
        <v>36937</v>
      </c>
      <c r="E8878" s="1" t="s">
        <v>17684</v>
      </c>
      <c r="F8878" s="1" t="s">
        <v>13</v>
      </c>
    </row>
    <row r="8879" spans="1:6" ht="30" customHeight="1" x14ac:dyDescent="0.25">
      <c r="A8879" s="1" t="s">
        <v>17685</v>
      </c>
      <c r="B8879" s="1" t="str">
        <f>"9781846427008"</f>
        <v>9781846427008</v>
      </c>
      <c r="C8879" s="1" t="s">
        <v>2387</v>
      </c>
      <c r="D8879" s="2">
        <v>36982</v>
      </c>
      <c r="E8879" s="1" t="s">
        <v>17686</v>
      </c>
      <c r="F8879" s="1" t="s">
        <v>13</v>
      </c>
    </row>
    <row r="8880" spans="1:6" ht="30" customHeight="1" x14ac:dyDescent="0.25">
      <c r="A8880" s="1" t="s">
        <v>17687</v>
      </c>
      <c r="B8880" s="1" t="str">
        <f>"9781846421556"</f>
        <v>9781846421556</v>
      </c>
      <c r="C8880" s="1" t="s">
        <v>2387</v>
      </c>
      <c r="D8880" s="2">
        <v>41773</v>
      </c>
      <c r="E8880" s="1" t="s">
        <v>17688</v>
      </c>
      <c r="F8880" s="1" t="s">
        <v>13</v>
      </c>
    </row>
    <row r="8881" spans="1:6" ht="30" customHeight="1" x14ac:dyDescent="0.25">
      <c r="A8881" s="1" t="s">
        <v>17689</v>
      </c>
      <c r="B8881" s="1" t="str">
        <f>"9781846421686"</f>
        <v>9781846421686</v>
      </c>
      <c r="C8881" s="1" t="s">
        <v>2387</v>
      </c>
      <c r="D8881" s="2">
        <v>41773</v>
      </c>
      <c r="E8881" s="1" t="s">
        <v>17690</v>
      </c>
      <c r="F8881" s="1" t="s">
        <v>13</v>
      </c>
    </row>
    <row r="8882" spans="1:6" ht="30" customHeight="1" x14ac:dyDescent="0.25">
      <c r="A8882" s="1" t="s">
        <v>17691</v>
      </c>
      <c r="B8882" s="1" t="str">
        <f>"9781846422072"</f>
        <v>9781846422072</v>
      </c>
      <c r="C8882" s="1" t="s">
        <v>2387</v>
      </c>
      <c r="D8882" s="2">
        <v>41773</v>
      </c>
      <c r="E8882" s="1" t="s">
        <v>17692</v>
      </c>
      <c r="F8882" s="1" t="s">
        <v>13</v>
      </c>
    </row>
    <row r="8883" spans="1:6" ht="30" customHeight="1" x14ac:dyDescent="0.25">
      <c r="A8883" s="1" t="s">
        <v>17693</v>
      </c>
      <c r="B8883" s="1" t="str">
        <f>"9781846422560"</f>
        <v>9781846422560</v>
      </c>
      <c r="C8883" s="1" t="s">
        <v>2387</v>
      </c>
      <c r="D8883" s="2">
        <v>36100</v>
      </c>
      <c r="E8883" s="1" t="s">
        <v>17694</v>
      </c>
      <c r="F8883" s="1" t="s">
        <v>13</v>
      </c>
    </row>
    <row r="8884" spans="1:6" ht="30" customHeight="1" x14ac:dyDescent="0.25">
      <c r="A8884" s="1" t="s">
        <v>17695</v>
      </c>
      <c r="B8884" s="1" t="str">
        <f>"9781846421792"</f>
        <v>9781846421792</v>
      </c>
      <c r="C8884" s="1" t="s">
        <v>2387</v>
      </c>
      <c r="D8884" s="2">
        <v>41773</v>
      </c>
      <c r="E8884" s="1" t="s">
        <v>17696</v>
      </c>
      <c r="F8884" s="1" t="s">
        <v>13</v>
      </c>
    </row>
    <row r="8885" spans="1:6" ht="30" customHeight="1" x14ac:dyDescent="0.25">
      <c r="A8885" s="1" t="s">
        <v>17697</v>
      </c>
      <c r="B8885" s="1" t="str">
        <f>"9781846422201"</f>
        <v>9781846422201</v>
      </c>
      <c r="C8885" s="1" t="s">
        <v>2387</v>
      </c>
      <c r="D8885" s="2">
        <v>36937</v>
      </c>
      <c r="E8885" s="1" t="s">
        <v>17698</v>
      </c>
      <c r="F8885" s="1" t="s">
        <v>13</v>
      </c>
    </row>
    <row r="8886" spans="1:6" ht="30" customHeight="1" x14ac:dyDescent="0.25">
      <c r="A8886" s="1" t="s">
        <v>17699</v>
      </c>
      <c r="B8886" s="1" t="str">
        <f>"9781846422119"</f>
        <v>9781846422119</v>
      </c>
      <c r="C8886" s="1" t="s">
        <v>2387</v>
      </c>
      <c r="D8886" s="2">
        <v>41773</v>
      </c>
      <c r="E8886" s="1" t="s">
        <v>17700</v>
      </c>
      <c r="F8886" s="1" t="s">
        <v>13</v>
      </c>
    </row>
    <row r="8887" spans="1:6" ht="30" customHeight="1" x14ac:dyDescent="0.25">
      <c r="A8887" s="1" t="s">
        <v>17701</v>
      </c>
      <c r="B8887" s="1" t="str">
        <f>"9781846427039"</f>
        <v>9781846427039</v>
      </c>
      <c r="C8887" s="1" t="s">
        <v>2387</v>
      </c>
      <c r="D8887" s="2">
        <v>36281</v>
      </c>
      <c r="E8887" s="1" t="s">
        <v>17702</v>
      </c>
      <c r="F8887" s="1" t="s">
        <v>13</v>
      </c>
    </row>
    <row r="8888" spans="1:6" ht="30" customHeight="1" x14ac:dyDescent="0.25">
      <c r="A8888" s="1" t="s">
        <v>17703</v>
      </c>
      <c r="B8888" s="1" t="str">
        <f>"9781846421617"</f>
        <v>9781846421617</v>
      </c>
      <c r="C8888" s="1" t="s">
        <v>2387</v>
      </c>
      <c r="D8888" s="2">
        <v>36495</v>
      </c>
      <c r="E8888" s="1" t="s">
        <v>17704</v>
      </c>
      <c r="F8888" s="1" t="s">
        <v>13</v>
      </c>
    </row>
    <row r="8889" spans="1:6" ht="30" customHeight="1" x14ac:dyDescent="0.25">
      <c r="A8889" s="1" t="s">
        <v>17705</v>
      </c>
      <c r="B8889" s="1" t="str">
        <f>"9781846422270"</f>
        <v>9781846422270</v>
      </c>
      <c r="C8889" s="1" t="s">
        <v>2387</v>
      </c>
      <c r="D8889" s="2">
        <v>36161</v>
      </c>
      <c r="E8889" s="1" t="s">
        <v>17706</v>
      </c>
      <c r="F8889" s="1" t="s">
        <v>13</v>
      </c>
    </row>
    <row r="8890" spans="1:6" ht="30" customHeight="1" x14ac:dyDescent="0.25">
      <c r="A8890" s="1" t="s">
        <v>17707</v>
      </c>
      <c r="B8890" s="1" t="str">
        <f>"9781846421204"</f>
        <v>9781846421204</v>
      </c>
      <c r="C8890" s="1" t="s">
        <v>2387</v>
      </c>
      <c r="D8890" s="2">
        <v>36731</v>
      </c>
      <c r="E8890" s="1" t="s">
        <v>17708</v>
      </c>
      <c r="F8890" s="1" t="s">
        <v>13</v>
      </c>
    </row>
    <row r="8891" spans="1:6" ht="30" customHeight="1" x14ac:dyDescent="0.25">
      <c r="A8891" s="1" t="s">
        <v>17709</v>
      </c>
      <c r="B8891" s="1" t="str">
        <f>"9781846422263"</f>
        <v>9781846422263</v>
      </c>
      <c r="C8891" s="1" t="s">
        <v>2387</v>
      </c>
      <c r="D8891" s="2">
        <v>41773</v>
      </c>
      <c r="E8891" s="1" t="s">
        <v>17710</v>
      </c>
      <c r="F8891" s="1" t="s">
        <v>13</v>
      </c>
    </row>
    <row r="8892" spans="1:6" ht="30" customHeight="1" x14ac:dyDescent="0.25">
      <c r="A8892" s="1" t="s">
        <v>17711</v>
      </c>
      <c r="B8892" s="1" t="str">
        <f>"9781846421990"</f>
        <v>9781846421990</v>
      </c>
      <c r="C8892" s="1" t="s">
        <v>2387</v>
      </c>
      <c r="D8892" s="2">
        <v>36617</v>
      </c>
      <c r="E8892" s="1" t="s">
        <v>17712</v>
      </c>
      <c r="F8892" s="1" t="s">
        <v>13</v>
      </c>
    </row>
    <row r="8893" spans="1:6" ht="30" customHeight="1" x14ac:dyDescent="0.25">
      <c r="A8893" s="1" t="s">
        <v>17713</v>
      </c>
      <c r="B8893" s="1" t="str">
        <f>"9781846422140"</f>
        <v>9781846422140</v>
      </c>
      <c r="C8893" s="1" t="s">
        <v>2387</v>
      </c>
      <c r="D8893" s="2">
        <v>41773</v>
      </c>
      <c r="E8893" s="1" t="s">
        <v>17714</v>
      </c>
      <c r="F8893" s="1" t="s">
        <v>13</v>
      </c>
    </row>
    <row r="8894" spans="1:6" ht="30" customHeight="1" x14ac:dyDescent="0.25">
      <c r="A8894" s="1" t="s">
        <v>17715</v>
      </c>
      <c r="B8894" s="1" t="str">
        <f>"9781846422058"</f>
        <v>9781846422058</v>
      </c>
      <c r="C8894" s="1" t="s">
        <v>2387</v>
      </c>
      <c r="D8894" s="2">
        <v>41773</v>
      </c>
      <c r="E8894" s="1" t="s">
        <v>17716</v>
      </c>
      <c r="F8894" s="1" t="s">
        <v>13</v>
      </c>
    </row>
    <row r="8895" spans="1:6" ht="30" customHeight="1" x14ac:dyDescent="0.25">
      <c r="A8895" s="1" t="s">
        <v>17717</v>
      </c>
      <c r="B8895" s="1" t="str">
        <f>"9781846421884"</f>
        <v>9781846421884</v>
      </c>
      <c r="C8895" s="1" t="s">
        <v>2387</v>
      </c>
      <c r="D8895" s="2">
        <v>36861</v>
      </c>
      <c r="E8895" s="1" t="s">
        <v>8847</v>
      </c>
      <c r="F8895" s="1" t="s">
        <v>13</v>
      </c>
    </row>
    <row r="8896" spans="1:6" ht="30" customHeight="1" x14ac:dyDescent="0.25">
      <c r="A8896" s="1" t="s">
        <v>17718</v>
      </c>
      <c r="B8896" s="1" t="str">
        <f>"9781846421723"</f>
        <v>9781846421723</v>
      </c>
      <c r="C8896" s="1" t="s">
        <v>2387</v>
      </c>
      <c r="D8896" s="2">
        <v>41773</v>
      </c>
      <c r="E8896" s="1" t="s">
        <v>17719</v>
      </c>
      <c r="F8896" s="1" t="s">
        <v>291</v>
      </c>
    </row>
    <row r="8897" spans="1:6" ht="30" customHeight="1" x14ac:dyDescent="0.25">
      <c r="A8897" s="1" t="s">
        <v>17720</v>
      </c>
      <c r="B8897" s="1" t="str">
        <f>"9781846427015"</f>
        <v>9781846427015</v>
      </c>
      <c r="C8897" s="1" t="s">
        <v>2387</v>
      </c>
      <c r="D8897" s="2">
        <v>37043</v>
      </c>
      <c r="E8897" s="1" t="s">
        <v>17721</v>
      </c>
      <c r="F8897" s="1" t="s">
        <v>13</v>
      </c>
    </row>
    <row r="8898" spans="1:6" ht="30" customHeight="1" x14ac:dyDescent="0.25">
      <c r="A8898" s="1" t="s">
        <v>17722</v>
      </c>
      <c r="B8898" s="1" t="str">
        <f>"9781846422089"</f>
        <v>9781846422089</v>
      </c>
      <c r="C8898" s="1" t="s">
        <v>2387</v>
      </c>
      <c r="D8898" s="2">
        <v>36902</v>
      </c>
      <c r="E8898" s="1" t="s">
        <v>2812</v>
      </c>
      <c r="F8898" s="1" t="s">
        <v>13</v>
      </c>
    </row>
    <row r="8899" spans="1:6" ht="30" customHeight="1" x14ac:dyDescent="0.25">
      <c r="A8899" s="1" t="s">
        <v>17723</v>
      </c>
      <c r="B8899" s="1" t="str">
        <f>"9781846422577"</f>
        <v>9781846422577</v>
      </c>
      <c r="C8899" s="1" t="s">
        <v>2387</v>
      </c>
      <c r="D8899" s="2">
        <v>36161</v>
      </c>
      <c r="E8899" s="1" t="s">
        <v>17724</v>
      </c>
      <c r="F8899" s="1" t="s">
        <v>13</v>
      </c>
    </row>
    <row r="8900" spans="1:6" ht="30" customHeight="1" x14ac:dyDescent="0.25">
      <c r="A8900" s="1" t="s">
        <v>17725</v>
      </c>
      <c r="B8900" s="1" t="str">
        <f>"9781846422287"</f>
        <v>9781846422287</v>
      </c>
      <c r="C8900" s="1" t="s">
        <v>2387</v>
      </c>
      <c r="D8900" s="2">
        <v>41773</v>
      </c>
      <c r="E8900" s="1" t="s">
        <v>17726</v>
      </c>
      <c r="F8900" s="1" t="s">
        <v>13</v>
      </c>
    </row>
    <row r="8901" spans="1:6" ht="30" customHeight="1" x14ac:dyDescent="0.25">
      <c r="A8901" s="1" t="s">
        <v>17727</v>
      </c>
      <c r="B8901" s="1" t="str">
        <f>"9781846421983"</f>
        <v>9781846421983</v>
      </c>
      <c r="C8901" s="1" t="s">
        <v>2387</v>
      </c>
      <c r="D8901" s="2">
        <v>36770</v>
      </c>
      <c r="E8901" s="1" t="s">
        <v>17728</v>
      </c>
      <c r="F8901" s="1" t="s">
        <v>13</v>
      </c>
    </row>
    <row r="8902" spans="1:6" ht="30" customHeight="1" x14ac:dyDescent="0.25">
      <c r="A8902" s="1" t="s">
        <v>17729</v>
      </c>
      <c r="B8902" s="1" t="str">
        <f>"9781846421648"</f>
        <v>9781846421648</v>
      </c>
      <c r="C8902" s="1" t="s">
        <v>2387</v>
      </c>
      <c r="D8902" s="2">
        <v>41773</v>
      </c>
      <c r="E8902" s="1" t="s">
        <v>17730</v>
      </c>
      <c r="F8902" s="1" t="s">
        <v>13</v>
      </c>
    </row>
    <row r="8903" spans="1:6" ht="30" customHeight="1" x14ac:dyDescent="0.25">
      <c r="A8903" s="1" t="s">
        <v>17731</v>
      </c>
      <c r="B8903" s="1" t="str">
        <f>"9781846422003"</f>
        <v>9781846422003</v>
      </c>
      <c r="C8903" s="1" t="s">
        <v>2387</v>
      </c>
      <c r="D8903" s="2">
        <v>41773</v>
      </c>
      <c r="E8903" s="1" t="s">
        <v>2464</v>
      </c>
      <c r="F8903" s="1" t="s">
        <v>13</v>
      </c>
    </row>
    <row r="8904" spans="1:6" ht="30" customHeight="1" x14ac:dyDescent="0.25">
      <c r="A8904" s="1" t="s">
        <v>17732</v>
      </c>
      <c r="B8904" s="1" t="str">
        <f>"9781846423109"</f>
        <v>9781846423109</v>
      </c>
      <c r="C8904" s="1" t="s">
        <v>2387</v>
      </c>
      <c r="D8904" s="2">
        <v>37210</v>
      </c>
      <c r="E8904" s="1" t="s">
        <v>17733</v>
      </c>
      <c r="F8904" s="1" t="s">
        <v>13</v>
      </c>
    </row>
    <row r="8905" spans="1:6" ht="30" customHeight="1" x14ac:dyDescent="0.25">
      <c r="A8905" s="1" t="s">
        <v>17734</v>
      </c>
      <c r="B8905" s="1" t="str">
        <f>"9781846423055"</f>
        <v>9781846423055</v>
      </c>
      <c r="C8905" s="1" t="s">
        <v>2387</v>
      </c>
      <c r="D8905" s="2">
        <v>37190</v>
      </c>
      <c r="E8905" s="1" t="s">
        <v>17735</v>
      </c>
      <c r="F8905" s="1" t="s">
        <v>214</v>
      </c>
    </row>
    <row r="8906" spans="1:6" ht="30" customHeight="1" x14ac:dyDescent="0.25">
      <c r="A8906" s="1" t="s">
        <v>17736</v>
      </c>
      <c r="B8906" s="1" t="str">
        <f>"9781846421525"</f>
        <v>9781846421525</v>
      </c>
      <c r="C8906" s="1" t="s">
        <v>2387</v>
      </c>
      <c r="D8906" s="2">
        <v>41773</v>
      </c>
      <c r="E8906" s="1" t="s">
        <v>17737</v>
      </c>
      <c r="F8906" s="1" t="s">
        <v>13</v>
      </c>
    </row>
    <row r="8907" spans="1:6" ht="30" customHeight="1" x14ac:dyDescent="0.25">
      <c r="A8907" s="1" t="s">
        <v>17738</v>
      </c>
      <c r="B8907" s="1" t="str">
        <f>"9781846423048"</f>
        <v>9781846423048</v>
      </c>
      <c r="C8907" s="1" t="s">
        <v>2387</v>
      </c>
      <c r="D8907" s="2">
        <v>37179</v>
      </c>
      <c r="E8907" s="1" t="s">
        <v>17739</v>
      </c>
      <c r="F8907" s="1" t="s">
        <v>13</v>
      </c>
    </row>
    <row r="8908" spans="1:6" ht="30" customHeight="1" x14ac:dyDescent="0.25">
      <c r="A8908" s="1" t="s">
        <v>17740</v>
      </c>
      <c r="B8908" s="1" t="str">
        <f>"9781846422867"</f>
        <v>9781846422867</v>
      </c>
      <c r="C8908" s="1" t="s">
        <v>2387</v>
      </c>
      <c r="D8908" s="2">
        <v>37087</v>
      </c>
      <c r="E8908" s="1" t="s">
        <v>17741</v>
      </c>
      <c r="F8908" s="1" t="s">
        <v>13</v>
      </c>
    </row>
    <row r="8909" spans="1:6" ht="30" customHeight="1" x14ac:dyDescent="0.25">
      <c r="A8909" s="1" t="s">
        <v>17742</v>
      </c>
      <c r="B8909" s="1" t="str">
        <f>"9781846422751"</f>
        <v>9781846422751</v>
      </c>
      <c r="C8909" s="1" t="s">
        <v>2387</v>
      </c>
      <c r="D8909" s="2">
        <v>36931</v>
      </c>
      <c r="E8909" s="1" t="s">
        <v>17743</v>
      </c>
      <c r="F8909" s="1" t="s">
        <v>13</v>
      </c>
    </row>
    <row r="8910" spans="1:6" ht="30" customHeight="1" x14ac:dyDescent="0.25">
      <c r="A8910" s="1" t="s">
        <v>17744</v>
      </c>
      <c r="B8910" s="1" t="str">
        <f>"9781846427107"</f>
        <v>9781846427107</v>
      </c>
      <c r="C8910" s="1" t="s">
        <v>2387</v>
      </c>
      <c r="D8910" s="2">
        <v>37390</v>
      </c>
      <c r="E8910" s="1" t="s">
        <v>17745</v>
      </c>
      <c r="F8910" s="1" t="s">
        <v>17746</v>
      </c>
    </row>
    <row r="8911" spans="1:6" ht="30" customHeight="1" x14ac:dyDescent="0.25">
      <c r="A8911" s="1" t="s">
        <v>17747</v>
      </c>
      <c r="B8911" s="1" t="str">
        <f>"9781846422829"</f>
        <v>9781846422829</v>
      </c>
      <c r="C8911" s="1" t="s">
        <v>2387</v>
      </c>
      <c r="D8911" s="2">
        <v>37057</v>
      </c>
      <c r="E8911" s="1" t="s">
        <v>17748</v>
      </c>
      <c r="F8911" s="1" t="s">
        <v>13</v>
      </c>
    </row>
    <row r="8912" spans="1:6" ht="30" customHeight="1" x14ac:dyDescent="0.25">
      <c r="A8912" s="1" t="s">
        <v>17749</v>
      </c>
      <c r="B8912" s="1" t="str">
        <f>"9781846423000"</f>
        <v>9781846423000</v>
      </c>
      <c r="C8912" s="1" t="s">
        <v>2387</v>
      </c>
      <c r="D8912" s="2">
        <v>37165</v>
      </c>
      <c r="E8912" s="1" t="s">
        <v>17750</v>
      </c>
      <c r="F8912" s="1" t="s">
        <v>13</v>
      </c>
    </row>
    <row r="8913" spans="1:6" ht="30" customHeight="1" x14ac:dyDescent="0.25">
      <c r="A8913" s="1" t="s">
        <v>17751</v>
      </c>
      <c r="B8913" s="1" t="str">
        <f>"9781846427077"</f>
        <v>9781846427077</v>
      </c>
      <c r="C8913" s="1" t="s">
        <v>2387</v>
      </c>
      <c r="D8913" s="2">
        <v>37057</v>
      </c>
      <c r="E8913" s="1" t="s">
        <v>17752</v>
      </c>
      <c r="F8913" s="1" t="s">
        <v>13</v>
      </c>
    </row>
    <row r="8914" spans="1:6" ht="30" customHeight="1" x14ac:dyDescent="0.25">
      <c r="A8914" s="1" t="s">
        <v>17753</v>
      </c>
      <c r="B8914" s="1" t="str">
        <f>"9781846422645"</f>
        <v>9781846422645</v>
      </c>
      <c r="C8914" s="1" t="s">
        <v>2387</v>
      </c>
      <c r="D8914" s="2">
        <v>36526</v>
      </c>
      <c r="E8914" s="1" t="s">
        <v>17754</v>
      </c>
      <c r="F8914" s="1" t="s">
        <v>13</v>
      </c>
    </row>
    <row r="8915" spans="1:6" ht="30" customHeight="1" x14ac:dyDescent="0.25">
      <c r="A8915" s="1" t="s">
        <v>17755</v>
      </c>
      <c r="B8915" s="1" t="str">
        <f>"9781846426896"</f>
        <v>9781846426896</v>
      </c>
      <c r="C8915" s="1" t="s">
        <v>2387</v>
      </c>
      <c r="D8915" s="2">
        <v>41773</v>
      </c>
      <c r="E8915" s="1" t="s">
        <v>17756</v>
      </c>
      <c r="F8915" s="1" t="s">
        <v>158</v>
      </c>
    </row>
    <row r="8916" spans="1:6" ht="30" customHeight="1" x14ac:dyDescent="0.25">
      <c r="A8916" s="1" t="s">
        <v>17757</v>
      </c>
      <c r="B8916" s="1" t="str">
        <f>"9781846422911"</f>
        <v>9781846422911</v>
      </c>
      <c r="C8916" s="1" t="s">
        <v>2387</v>
      </c>
      <c r="D8916" s="2">
        <v>37118</v>
      </c>
      <c r="E8916" s="1" t="s">
        <v>17758</v>
      </c>
      <c r="F8916" s="1" t="s">
        <v>13</v>
      </c>
    </row>
    <row r="8917" spans="1:6" ht="30" customHeight="1" x14ac:dyDescent="0.25">
      <c r="A8917" s="1" t="s">
        <v>17759</v>
      </c>
      <c r="B8917" s="1" t="str">
        <f>"9781846423123"</f>
        <v>9781846423123</v>
      </c>
      <c r="C8917" s="1" t="s">
        <v>2387</v>
      </c>
      <c r="D8917" s="2">
        <v>37238</v>
      </c>
      <c r="E8917" s="1" t="s">
        <v>17760</v>
      </c>
      <c r="F8917" s="1" t="s">
        <v>13</v>
      </c>
    </row>
    <row r="8918" spans="1:6" ht="30" customHeight="1" x14ac:dyDescent="0.25">
      <c r="A8918" s="1" t="s">
        <v>17761</v>
      </c>
      <c r="B8918" s="1" t="str">
        <f>"9781846422898"</f>
        <v>9781846422898</v>
      </c>
      <c r="C8918" s="1" t="s">
        <v>2387</v>
      </c>
      <c r="D8918" s="2">
        <v>37098</v>
      </c>
      <c r="E8918" s="1" t="s">
        <v>17762</v>
      </c>
      <c r="F8918" s="1" t="s">
        <v>13</v>
      </c>
    </row>
    <row r="8919" spans="1:6" ht="30" customHeight="1" x14ac:dyDescent="0.25">
      <c r="A8919" s="1" t="s">
        <v>17763</v>
      </c>
      <c r="B8919" s="1" t="str">
        <f>"9781846421655"</f>
        <v>9781846421655</v>
      </c>
      <c r="C8919" s="1" t="s">
        <v>2387</v>
      </c>
      <c r="D8919" s="2">
        <v>36678</v>
      </c>
      <c r="E8919" s="1" t="s">
        <v>17764</v>
      </c>
      <c r="F8919" s="1" t="s">
        <v>13</v>
      </c>
    </row>
    <row r="8920" spans="1:6" ht="30" customHeight="1" x14ac:dyDescent="0.25">
      <c r="A8920" s="1" t="s">
        <v>17765</v>
      </c>
      <c r="B8920" s="1" t="str">
        <f>"9781846422232"</f>
        <v>9781846422232</v>
      </c>
      <c r="C8920" s="1" t="s">
        <v>2387</v>
      </c>
      <c r="D8920" s="2">
        <v>36937</v>
      </c>
      <c r="E8920" s="1" t="s">
        <v>9287</v>
      </c>
      <c r="F8920" s="1" t="s">
        <v>13</v>
      </c>
    </row>
    <row r="8921" spans="1:6" ht="30" customHeight="1" x14ac:dyDescent="0.25">
      <c r="A8921" s="1" t="s">
        <v>17766</v>
      </c>
      <c r="B8921" s="1" t="str">
        <f>"9781846422331"</f>
        <v>9781846422331</v>
      </c>
      <c r="C8921" s="1" t="s">
        <v>2387</v>
      </c>
      <c r="D8921" s="2">
        <v>41773</v>
      </c>
      <c r="E8921" s="1" t="s">
        <v>17767</v>
      </c>
      <c r="F8921" s="1" t="s">
        <v>13</v>
      </c>
    </row>
    <row r="8922" spans="1:6" ht="30" customHeight="1" x14ac:dyDescent="0.25">
      <c r="A8922" s="1" t="s">
        <v>17768</v>
      </c>
      <c r="B8922" s="1" t="str">
        <f>"9781846421907"</f>
        <v>9781846421907</v>
      </c>
      <c r="C8922" s="1" t="s">
        <v>2387</v>
      </c>
      <c r="D8922" s="2">
        <v>41773</v>
      </c>
      <c r="E8922" s="1" t="s">
        <v>17769</v>
      </c>
      <c r="F8922" s="1" t="s">
        <v>13</v>
      </c>
    </row>
    <row r="8923" spans="1:6" ht="30" customHeight="1" x14ac:dyDescent="0.25">
      <c r="A8923" s="1" t="s">
        <v>17770</v>
      </c>
      <c r="B8923" s="1" t="str">
        <f>"9781846421860"</f>
        <v>9781846421860</v>
      </c>
      <c r="C8923" s="1" t="s">
        <v>2387</v>
      </c>
      <c r="D8923" s="2">
        <v>37043</v>
      </c>
      <c r="E8923" s="1" t="s">
        <v>17771</v>
      </c>
      <c r="F8923" s="1" t="s">
        <v>13</v>
      </c>
    </row>
    <row r="8924" spans="1:6" ht="30" customHeight="1" x14ac:dyDescent="0.25">
      <c r="A8924" s="1" t="s">
        <v>17772</v>
      </c>
      <c r="B8924" s="1" t="str">
        <f>"9781846426926"</f>
        <v>9781846426926</v>
      </c>
      <c r="C8924" s="1" t="s">
        <v>2387</v>
      </c>
      <c r="D8924" s="2">
        <v>36647</v>
      </c>
      <c r="E8924" s="1" t="s">
        <v>17773</v>
      </c>
      <c r="F8924" s="1" t="s">
        <v>13</v>
      </c>
    </row>
    <row r="8925" spans="1:6" ht="30" customHeight="1" x14ac:dyDescent="0.25">
      <c r="A8925" s="1" t="s">
        <v>17774</v>
      </c>
      <c r="B8925" s="1" t="str">
        <f>"9781593320317"</f>
        <v>9781593320317</v>
      </c>
      <c r="C8925" s="1" t="s">
        <v>11006</v>
      </c>
      <c r="D8925" s="2">
        <v>37561</v>
      </c>
      <c r="E8925" s="1" t="s">
        <v>17775</v>
      </c>
      <c r="F8925" s="1" t="s">
        <v>13</v>
      </c>
    </row>
    <row r="8926" spans="1:6" ht="30" customHeight="1" x14ac:dyDescent="0.25">
      <c r="A8926" s="1" t="s">
        <v>17776</v>
      </c>
      <c r="B8926" s="1" t="str">
        <f>"9781593320478"</f>
        <v>9781593320478</v>
      </c>
      <c r="C8926" s="1" t="s">
        <v>11006</v>
      </c>
      <c r="D8926" s="2">
        <v>37712</v>
      </c>
      <c r="E8926" s="1" t="s">
        <v>17777</v>
      </c>
      <c r="F8926" s="1" t="s">
        <v>599</v>
      </c>
    </row>
    <row r="8927" spans="1:6" ht="30" customHeight="1" x14ac:dyDescent="0.25">
      <c r="A8927" s="1" t="s">
        <v>17778</v>
      </c>
      <c r="B8927" s="1" t="str">
        <f>"9781593321871"</f>
        <v>9781593321871</v>
      </c>
      <c r="C8927" s="1" t="s">
        <v>11006</v>
      </c>
      <c r="D8927" s="2">
        <v>38565</v>
      </c>
      <c r="E8927" s="1" t="s">
        <v>17779</v>
      </c>
      <c r="F8927" s="1" t="s">
        <v>158</v>
      </c>
    </row>
    <row r="8928" spans="1:6" ht="30" customHeight="1" x14ac:dyDescent="0.25">
      <c r="A8928" s="1" t="s">
        <v>17780</v>
      </c>
      <c r="B8928" s="1" t="str">
        <f>"9781593322250"</f>
        <v>9781593322250</v>
      </c>
      <c r="C8928" s="1" t="s">
        <v>11006</v>
      </c>
      <c r="D8928" s="2">
        <v>38838</v>
      </c>
      <c r="E8928" s="1" t="s">
        <v>17781</v>
      </c>
      <c r="F8928" s="1" t="s">
        <v>30</v>
      </c>
    </row>
    <row r="8929" spans="1:6" ht="30" customHeight="1" x14ac:dyDescent="0.25">
      <c r="A8929" s="1" t="s">
        <v>17782</v>
      </c>
      <c r="B8929" s="1" t="str">
        <f>"9781593323110"</f>
        <v>9781593323110</v>
      </c>
      <c r="C8929" s="1" t="s">
        <v>11006</v>
      </c>
      <c r="D8929" s="2">
        <v>39387</v>
      </c>
      <c r="E8929" s="1" t="s">
        <v>17783</v>
      </c>
      <c r="F8929" s="1" t="s">
        <v>214</v>
      </c>
    </row>
    <row r="8930" spans="1:6" ht="30" customHeight="1" x14ac:dyDescent="0.25">
      <c r="A8930" s="1" t="s">
        <v>17784</v>
      </c>
      <c r="B8930" s="1" t="str">
        <f>"9781593323134"</f>
        <v>9781593323134</v>
      </c>
      <c r="C8930" s="1" t="s">
        <v>11006</v>
      </c>
      <c r="D8930" s="2">
        <v>39295</v>
      </c>
      <c r="E8930" s="1" t="s">
        <v>17785</v>
      </c>
      <c r="F8930" s="1" t="s">
        <v>599</v>
      </c>
    </row>
    <row r="8931" spans="1:6" ht="30" customHeight="1" x14ac:dyDescent="0.25">
      <c r="A8931" s="1" t="s">
        <v>17786</v>
      </c>
      <c r="B8931" s="1" t="str">
        <f>"9781846314667"</f>
        <v>9781846314667</v>
      </c>
      <c r="C8931" s="1" t="s">
        <v>5035</v>
      </c>
      <c r="D8931" s="2">
        <v>39600</v>
      </c>
      <c r="E8931" s="1" t="s">
        <v>17787</v>
      </c>
      <c r="F8931" s="1" t="s">
        <v>304</v>
      </c>
    </row>
    <row r="8932" spans="1:6" ht="30" customHeight="1" x14ac:dyDescent="0.25">
      <c r="A8932" s="1" t="s">
        <v>17788</v>
      </c>
      <c r="B8932" s="1" t="str">
        <f>"9780874629293"</f>
        <v>9780874629293</v>
      </c>
      <c r="C8932" s="1" t="s">
        <v>7312</v>
      </c>
      <c r="D8932" s="2">
        <v>38261</v>
      </c>
      <c r="E8932" s="1" t="s">
        <v>17789</v>
      </c>
      <c r="F8932" s="1" t="s">
        <v>13</v>
      </c>
    </row>
    <row r="8933" spans="1:6" ht="30" customHeight="1" x14ac:dyDescent="0.25">
      <c r="A8933" s="1" t="s">
        <v>17790</v>
      </c>
      <c r="B8933" s="1" t="str">
        <f>"9780335247271"</f>
        <v>9780335247271</v>
      </c>
      <c r="C8933" s="1" t="s">
        <v>2247</v>
      </c>
      <c r="D8933" s="2">
        <v>41426</v>
      </c>
      <c r="E8933" s="1" t="s">
        <v>17791</v>
      </c>
      <c r="F8933" s="1" t="s">
        <v>30</v>
      </c>
    </row>
    <row r="8934" spans="1:6" ht="30" customHeight="1" x14ac:dyDescent="0.25">
      <c r="A8934" s="1" t="s">
        <v>15697</v>
      </c>
      <c r="B8934" s="1" t="str">
        <f>"9781907830143"</f>
        <v>9781907830143</v>
      </c>
      <c r="C8934" s="1" t="s">
        <v>11198</v>
      </c>
      <c r="D8934" s="2">
        <v>39692</v>
      </c>
      <c r="E8934" s="1" t="s">
        <v>17792</v>
      </c>
      <c r="F8934" s="1" t="s">
        <v>13</v>
      </c>
    </row>
    <row r="8935" spans="1:6" ht="30" customHeight="1" x14ac:dyDescent="0.25">
      <c r="A8935" s="1" t="s">
        <v>17793</v>
      </c>
      <c r="B8935" s="1" t="str">
        <f>"9781907830440"</f>
        <v>9781907830440</v>
      </c>
      <c r="C8935" s="1" t="s">
        <v>11198</v>
      </c>
      <c r="D8935" s="2">
        <v>41760</v>
      </c>
      <c r="E8935" s="1" t="s">
        <v>17794</v>
      </c>
      <c r="F8935" s="1" t="s">
        <v>137</v>
      </c>
    </row>
    <row r="8936" spans="1:6" ht="30" customHeight="1" x14ac:dyDescent="0.25">
      <c r="A8936" s="1" t="s">
        <v>17795</v>
      </c>
      <c r="B8936" s="1" t="str">
        <f>"9788122429152"</f>
        <v>9788122429152</v>
      </c>
      <c r="C8936" s="1" t="s">
        <v>4001</v>
      </c>
      <c r="D8936" s="2">
        <v>36526</v>
      </c>
      <c r="E8936" s="1" t="s">
        <v>4839</v>
      </c>
      <c r="F8936" s="1" t="s">
        <v>268</v>
      </c>
    </row>
    <row r="8937" spans="1:6" ht="30" customHeight="1" x14ac:dyDescent="0.25">
      <c r="A8937" s="1" t="s">
        <v>17796</v>
      </c>
      <c r="B8937" s="1" t="str">
        <f>"9788122429268"</f>
        <v>9788122429268</v>
      </c>
      <c r="C8937" s="1" t="s">
        <v>4001</v>
      </c>
      <c r="D8937" s="2">
        <v>36526</v>
      </c>
      <c r="E8937" s="1" t="s">
        <v>17797</v>
      </c>
      <c r="F8937" s="1" t="s">
        <v>268</v>
      </c>
    </row>
    <row r="8938" spans="1:6" ht="30" customHeight="1" x14ac:dyDescent="0.25">
      <c r="A8938" s="1" t="s">
        <v>17798</v>
      </c>
      <c r="B8938" s="1" t="str">
        <f>"9788122429305"</f>
        <v>9788122429305</v>
      </c>
      <c r="C8938" s="1" t="s">
        <v>4001</v>
      </c>
      <c r="D8938" s="2">
        <v>36526</v>
      </c>
      <c r="E8938" s="1" t="s">
        <v>17799</v>
      </c>
      <c r="F8938" s="1" t="s">
        <v>1750</v>
      </c>
    </row>
    <row r="8939" spans="1:6" ht="30" customHeight="1" x14ac:dyDescent="0.25">
      <c r="A8939" s="1" t="s">
        <v>17800</v>
      </c>
      <c r="B8939" s="1" t="str">
        <f>"9788122429503"</f>
        <v>9788122429503</v>
      </c>
      <c r="C8939" s="1" t="s">
        <v>4001</v>
      </c>
      <c r="D8939" s="2">
        <v>36526</v>
      </c>
      <c r="E8939" s="1" t="s">
        <v>17801</v>
      </c>
      <c r="F8939" s="1" t="s">
        <v>13</v>
      </c>
    </row>
    <row r="8940" spans="1:6" ht="30" customHeight="1" x14ac:dyDescent="0.25">
      <c r="A8940" s="1" t="s">
        <v>17802</v>
      </c>
      <c r="B8940" s="1" t="str">
        <f>"9788122434965"</f>
        <v>9788122434965</v>
      </c>
      <c r="C8940" s="1" t="s">
        <v>4001</v>
      </c>
      <c r="D8940" s="2">
        <v>40878</v>
      </c>
      <c r="E8940" s="1" t="s">
        <v>17803</v>
      </c>
      <c r="F8940" s="1" t="s">
        <v>137</v>
      </c>
    </row>
    <row r="8941" spans="1:6" ht="30" customHeight="1" x14ac:dyDescent="0.25">
      <c r="A8941" s="1" t="s">
        <v>17804</v>
      </c>
      <c r="B8941" s="1" t="str">
        <f>""</f>
        <v/>
      </c>
      <c r="C8941" s="1" t="s">
        <v>17805</v>
      </c>
      <c r="D8941" s="2">
        <v>37288</v>
      </c>
      <c r="E8941" s="1" t="s">
        <v>17806</v>
      </c>
      <c r="F8941" s="1" t="s">
        <v>13</v>
      </c>
    </row>
    <row r="8942" spans="1:6" ht="30" customHeight="1" x14ac:dyDescent="0.25">
      <c r="A8942" s="1" t="s">
        <v>17807</v>
      </c>
      <c r="B8942" s="1" t="str">
        <f>"9781617616648"</f>
        <v>9781617616648</v>
      </c>
      <c r="C8942" s="1" t="s">
        <v>17311</v>
      </c>
      <c r="D8942" s="2">
        <v>40360</v>
      </c>
      <c r="E8942" s="1" t="s">
        <v>17808</v>
      </c>
      <c r="F8942" s="1" t="s">
        <v>137</v>
      </c>
    </row>
    <row r="8943" spans="1:6" ht="30" customHeight="1" x14ac:dyDescent="0.25">
      <c r="A8943" s="1" t="s">
        <v>17809</v>
      </c>
      <c r="B8943" s="1" t="str">
        <f>"9781619421363"</f>
        <v>9781619421363</v>
      </c>
      <c r="C8943" s="1" t="s">
        <v>17311</v>
      </c>
      <c r="D8943" s="2">
        <v>41214</v>
      </c>
      <c r="E8943" s="1" t="s">
        <v>17810</v>
      </c>
      <c r="F8943" s="1" t="s">
        <v>681</v>
      </c>
    </row>
    <row r="8944" spans="1:6" ht="30" customHeight="1" x14ac:dyDescent="0.25">
      <c r="A8944" s="1" t="s">
        <v>17811</v>
      </c>
      <c r="B8944" s="1" t="str">
        <f>"9781617616624"</f>
        <v>9781617616624</v>
      </c>
      <c r="C8944" s="1" t="s">
        <v>17311</v>
      </c>
      <c r="D8944" s="2">
        <v>40179</v>
      </c>
      <c r="E8944" s="1" t="s">
        <v>17813</v>
      </c>
      <c r="F8944" s="1" t="s">
        <v>268</v>
      </c>
    </row>
    <row r="8945" spans="1:6" ht="30" customHeight="1" x14ac:dyDescent="0.25">
      <c r="A8945" s="1" t="s">
        <v>17814</v>
      </c>
      <c r="B8945" s="1" t="str">
        <f>"9781619424029"</f>
        <v>9781619424029</v>
      </c>
      <c r="C8945" s="1" t="s">
        <v>17311</v>
      </c>
      <c r="D8945" s="2">
        <v>40756</v>
      </c>
      <c r="E8945" s="1" t="s">
        <v>17815</v>
      </c>
      <c r="F8945" s="1" t="s">
        <v>13</v>
      </c>
    </row>
    <row r="8946" spans="1:6" ht="30" customHeight="1" x14ac:dyDescent="0.25">
      <c r="A8946" s="1" t="s">
        <v>17816</v>
      </c>
      <c r="B8946" s="1" t="str">
        <f>"9781619422193"</f>
        <v>9781619422193</v>
      </c>
      <c r="C8946" s="1" t="s">
        <v>17311</v>
      </c>
      <c r="D8946" s="2">
        <v>40144</v>
      </c>
      <c r="E8946" s="1" t="s">
        <v>17817</v>
      </c>
      <c r="F8946" s="1" t="s">
        <v>13</v>
      </c>
    </row>
    <row r="8947" spans="1:6" ht="30" customHeight="1" x14ac:dyDescent="0.25">
      <c r="A8947" s="1" t="s">
        <v>17818</v>
      </c>
      <c r="B8947" s="1" t="str">
        <f>"9781619427976"</f>
        <v>9781619427976</v>
      </c>
      <c r="C8947" s="1" t="s">
        <v>17311</v>
      </c>
      <c r="D8947" s="2">
        <v>40817</v>
      </c>
      <c r="E8947" s="1" t="s">
        <v>17819</v>
      </c>
      <c r="F8947" s="1" t="s">
        <v>599</v>
      </c>
    </row>
    <row r="8948" spans="1:6" ht="30" customHeight="1" x14ac:dyDescent="0.25">
      <c r="A8948" s="1" t="s">
        <v>17820</v>
      </c>
      <c r="B8948" s="1" t="str">
        <f>"9781617616983"</f>
        <v>9781617616983</v>
      </c>
      <c r="C8948" s="1" t="s">
        <v>17311</v>
      </c>
      <c r="D8948" s="2">
        <v>40634</v>
      </c>
      <c r="E8948" s="1" t="s">
        <v>17821</v>
      </c>
      <c r="F8948" s="1" t="s">
        <v>13</v>
      </c>
    </row>
    <row r="8949" spans="1:6" ht="30" customHeight="1" x14ac:dyDescent="0.25">
      <c r="A8949" s="1" t="s">
        <v>17822</v>
      </c>
      <c r="B8949" s="1" t="str">
        <f>"9781617618789"</f>
        <v>9781617618789</v>
      </c>
      <c r="C8949" s="1" t="s">
        <v>17311</v>
      </c>
      <c r="D8949" s="2">
        <v>40330</v>
      </c>
      <c r="E8949" s="1" t="s">
        <v>17823</v>
      </c>
      <c r="F8949" s="1" t="s">
        <v>1372</v>
      </c>
    </row>
    <row r="8950" spans="1:6" ht="30" customHeight="1" x14ac:dyDescent="0.25">
      <c r="A8950" s="1" t="s">
        <v>17824</v>
      </c>
      <c r="B8950" s="1" t="str">
        <f>"9781617619588"</f>
        <v>9781617619588</v>
      </c>
      <c r="C8950" s="1" t="s">
        <v>17311</v>
      </c>
      <c r="D8950" s="2">
        <v>40360</v>
      </c>
      <c r="E8950" s="1" t="s">
        <v>17825</v>
      </c>
      <c r="F8950" s="1" t="s">
        <v>13</v>
      </c>
    </row>
    <row r="8951" spans="1:6" ht="30" customHeight="1" x14ac:dyDescent="0.25">
      <c r="A8951" s="1" t="s">
        <v>17826</v>
      </c>
      <c r="B8951" s="1" t="str">
        <f>"9781619427044"</f>
        <v>9781619427044</v>
      </c>
      <c r="C8951" s="1" t="s">
        <v>17311</v>
      </c>
      <c r="D8951" s="2">
        <v>40777</v>
      </c>
      <c r="E8951" s="1" t="s">
        <v>17827</v>
      </c>
      <c r="F8951" s="1" t="s">
        <v>13</v>
      </c>
    </row>
    <row r="8952" spans="1:6" ht="30" customHeight="1" x14ac:dyDescent="0.25">
      <c r="A8952" s="1" t="s">
        <v>17828</v>
      </c>
      <c r="B8952" s="1" t="str">
        <f>"9781619423060"</f>
        <v>9781619423060</v>
      </c>
      <c r="C8952" s="1" t="s">
        <v>17311</v>
      </c>
      <c r="D8952" s="2">
        <v>41037</v>
      </c>
      <c r="E8952" s="1" t="s">
        <v>17829</v>
      </c>
      <c r="F8952" s="1" t="s">
        <v>13</v>
      </c>
    </row>
    <row r="8953" spans="1:6" ht="30" customHeight="1" x14ac:dyDescent="0.25">
      <c r="A8953" s="1" t="s">
        <v>17830</v>
      </c>
      <c r="B8953" s="1" t="str">
        <f>"9781619422780"</f>
        <v>9781619422780</v>
      </c>
      <c r="C8953" s="1" t="s">
        <v>17311</v>
      </c>
      <c r="D8953" s="2">
        <v>41122</v>
      </c>
      <c r="E8953" s="1" t="s">
        <v>17831</v>
      </c>
      <c r="F8953" s="1" t="s">
        <v>13</v>
      </c>
    </row>
    <row r="8954" spans="1:6" ht="30" customHeight="1" x14ac:dyDescent="0.25">
      <c r="A8954" s="1" t="s">
        <v>17832</v>
      </c>
      <c r="B8954" s="1" t="str">
        <f>"9781617616945"</f>
        <v>9781617616945</v>
      </c>
      <c r="C8954" s="1" t="s">
        <v>17311</v>
      </c>
      <c r="D8954" s="2">
        <v>40634</v>
      </c>
      <c r="E8954" s="1" t="s">
        <v>17833</v>
      </c>
      <c r="F8954" s="1" t="s">
        <v>780</v>
      </c>
    </row>
    <row r="8955" spans="1:6" ht="30" customHeight="1" x14ac:dyDescent="0.25">
      <c r="A8955" s="1" t="s">
        <v>17834</v>
      </c>
      <c r="B8955" s="1" t="str">
        <f>"9781617619113"</f>
        <v>9781617619113</v>
      </c>
      <c r="C8955" s="1" t="s">
        <v>17311</v>
      </c>
      <c r="D8955" s="2">
        <v>40330</v>
      </c>
      <c r="E8955" s="1" t="s">
        <v>17835</v>
      </c>
      <c r="F8955" s="1" t="s">
        <v>13</v>
      </c>
    </row>
    <row r="8956" spans="1:6" ht="30" customHeight="1" x14ac:dyDescent="0.25">
      <c r="A8956" s="1" t="s">
        <v>17836</v>
      </c>
      <c r="B8956" s="1" t="str">
        <f>"9781619420847"</f>
        <v>9781619420847</v>
      </c>
      <c r="C8956" s="1" t="s">
        <v>17311</v>
      </c>
      <c r="D8956" s="2">
        <v>41065</v>
      </c>
      <c r="E8956" s="1" t="s">
        <v>17837</v>
      </c>
      <c r="F8956" s="1" t="s">
        <v>13</v>
      </c>
    </row>
    <row r="8957" spans="1:6" ht="30" customHeight="1" x14ac:dyDescent="0.25">
      <c r="A8957" s="1" t="s">
        <v>17838</v>
      </c>
      <c r="B8957" s="1" t="str">
        <f>"9781619426023"</f>
        <v>9781619426023</v>
      </c>
      <c r="C8957" s="1" t="s">
        <v>17311</v>
      </c>
      <c r="D8957" s="2">
        <v>41053</v>
      </c>
      <c r="E8957" s="1" t="s">
        <v>17839</v>
      </c>
      <c r="F8957" s="1" t="s">
        <v>13</v>
      </c>
    </row>
    <row r="8958" spans="1:6" ht="30" customHeight="1" x14ac:dyDescent="0.25">
      <c r="A8958" s="1" t="s">
        <v>17840</v>
      </c>
      <c r="B8958" s="1" t="str">
        <f>"9781619420632"</f>
        <v>9781619420632</v>
      </c>
      <c r="C8958" s="1" t="s">
        <v>17311</v>
      </c>
      <c r="D8958" s="2">
        <v>40725</v>
      </c>
      <c r="E8958" s="1" t="s">
        <v>17841</v>
      </c>
      <c r="F8958" s="1" t="s">
        <v>13</v>
      </c>
    </row>
    <row r="8959" spans="1:6" ht="30" customHeight="1" x14ac:dyDescent="0.25">
      <c r="A8959" s="1" t="s">
        <v>17842</v>
      </c>
      <c r="B8959" s="1" t="str">
        <f>"9781619424654"</f>
        <v>9781619424654</v>
      </c>
      <c r="C8959" s="1" t="s">
        <v>17311</v>
      </c>
      <c r="D8959" s="2">
        <v>41075</v>
      </c>
      <c r="E8959" s="1" t="s">
        <v>17843</v>
      </c>
      <c r="F8959" s="1" t="s">
        <v>137</v>
      </c>
    </row>
    <row r="8960" spans="1:6" ht="30" customHeight="1" x14ac:dyDescent="0.25">
      <c r="A8960" s="1" t="s">
        <v>17844</v>
      </c>
      <c r="B8960" s="1" t="str">
        <f>"9781617616501"</f>
        <v>9781617616501</v>
      </c>
      <c r="C8960" s="1" t="s">
        <v>17311</v>
      </c>
      <c r="D8960" s="2">
        <v>40513</v>
      </c>
      <c r="E8960" s="1" t="s">
        <v>17845</v>
      </c>
      <c r="F8960" s="1" t="s">
        <v>13</v>
      </c>
    </row>
    <row r="8961" spans="1:6" ht="30" customHeight="1" x14ac:dyDescent="0.25">
      <c r="A8961" s="1" t="s">
        <v>17846</v>
      </c>
      <c r="B8961" s="1" t="str">
        <f>"9781617619649"</f>
        <v>9781617619649</v>
      </c>
      <c r="C8961" s="1" t="s">
        <v>17311</v>
      </c>
      <c r="D8961" s="2">
        <v>40330</v>
      </c>
      <c r="E8961" s="1" t="s">
        <v>17847</v>
      </c>
      <c r="F8961" s="1" t="s">
        <v>13</v>
      </c>
    </row>
    <row r="8962" spans="1:6" ht="30" customHeight="1" x14ac:dyDescent="0.25">
      <c r="A8962" s="1" t="s">
        <v>17848</v>
      </c>
      <c r="B8962" s="1" t="str">
        <f>"9781617619168"</f>
        <v>9781617619168</v>
      </c>
      <c r="C8962" s="1" t="s">
        <v>17311</v>
      </c>
      <c r="D8962" s="2">
        <v>40316</v>
      </c>
      <c r="E8962" s="1" t="s">
        <v>17849</v>
      </c>
      <c r="F8962" s="1" t="s">
        <v>13</v>
      </c>
    </row>
    <row r="8963" spans="1:6" ht="30" customHeight="1" x14ac:dyDescent="0.25">
      <c r="A8963" s="1" t="s">
        <v>17850</v>
      </c>
      <c r="B8963" s="1" t="str">
        <f>"9781619426016"</f>
        <v>9781619426016</v>
      </c>
      <c r="C8963" s="1" t="s">
        <v>17311</v>
      </c>
      <c r="D8963" s="2">
        <v>41058</v>
      </c>
      <c r="E8963" s="1" t="s">
        <v>17851</v>
      </c>
      <c r="F8963" s="1" t="s">
        <v>13</v>
      </c>
    </row>
    <row r="8964" spans="1:6" ht="30" customHeight="1" x14ac:dyDescent="0.25">
      <c r="A8964" s="1" t="s">
        <v>17852</v>
      </c>
      <c r="B8964" s="1" t="str">
        <f>"9781617618642"</f>
        <v>9781617618642</v>
      </c>
      <c r="C8964" s="1" t="s">
        <v>17311</v>
      </c>
      <c r="D8964" s="2">
        <v>40330</v>
      </c>
      <c r="E8964" s="1" t="s">
        <v>17853</v>
      </c>
      <c r="F8964" s="1" t="s">
        <v>13</v>
      </c>
    </row>
    <row r="8965" spans="1:6" ht="30" customHeight="1" x14ac:dyDescent="0.25">
      <c r="A8965" s="1" t="s">
        <v>17854</v>
      </c>
      <c r="B8965" s="1" t="str">
        <f>"9781619421561"</f>
        <v>9781619421561</v>
      </c>
      <c r="C8965" s="1" t="s">
        <v>17311</v>
      </c>
      <c r="D8965" s="2">
        <v>40695</v>
      </c>
      <c r="E8965" s="1" t="s">
        <v>17855</v>
      </c>
      <c r="F8965" s="1" t="s">
        <v>13</v>
      </c>
    </row>
    <row r="8966" spans="1:6" ht="30" customHeight="1" x14ac:dyDescent="0.25">
      <c r="A8966" s="1" t="s">
        <v>17856</v>
      </c>
      <c r="B8966" s="1" t="str">
        <f>"9781617619502"</f>
        <v>9781617619502</v>
      </c>
      <c r="C8966" s="1" t="s">
        <v>17311</v>
      </c>
      <c r="D8966" s="2">
        <v>40330</v>
      </c>
      <c r="E8966" s="1" t="s">
        <v>17857</v>
      </c>
      <c r="F8966" s="1" t="s">
        <v>13</v>
      </c>
    </row>
    <row r="8967" spans="1:6" ht="30" customHeight="1" x14ac:dyDescent="0.25">
      <c r="A8967" s="1" t="s">
        <v>17858</v>
      </c>
      <c r="B8967" s="1" t="str">
        <f>"9781619428690"</f>
        <v>9781619428690</v>
      </c>
      <c r="C8967" s="1" t="s">
        <v>17311</v>
      </c>
      <c r="D8967" s="2">
        <v>41099</v>
      </c>
      <c r="E8967" s="1" t="s">
        <v>17859</v>
      </c>
      <c r="F8967" s="1" t="s">
        <v>13</v>
      </c>
    </row>
    <row r="8968" spans="1:6" ht="30" customHeight="1" x14ac:dyDescent="0.25">
      <c r="A8968" s="1" t="s">
        <v>17860</v>
      </c>
      <c r="B8968" s="1" t="str">
        <f>"9781619423886"</f>
        <v>9781619423886</v>
      </c>
      <c r="C8968" s="1" t="s">
        <v>17311</v>
      </c>
      <c r="D8968" s="2">
        <v>41067</v>
      </c>
      <c r="E8968" s="1" t="s">
        <v>17861</v>
      </c>
      <c r="F8968" s="1" t="s">
        <v>13</v>
      </c>
    </row>
    <row r="8969" spans="1:6" ht="30" customHeight="1" x14ac:dyDescent="0.25">
      <c r="A8969" s="1" t="s">
        <v>17862</v>
      </c>
      <c r="B8969" s="1" t="str">
        <f>"9781619426597"</f>
        <v>9781619426597</v>
      </c>
      <c r="C8969" s="1" t="s">
        <v>17311</v>
      </c>
      <c r="D8969" s="2">
        <v>41060</v>
      </c>
      <c r="E8969" s="1" t="s">
        <v>17863</v>
      </c>
      <c r="F8969" s="1" t="s">
        <v>13</v>
      </c>
    </row>
    <row r="8970" spans="1:6" ht="30" customHeight="1" x14ac:dyDescent="0.25">
      <c r="A8970" s="1" t="s">
        <v>17864</v>
      </c>
      <c r="B8970" s="1" t="str">
        <f>"9781617616556"</f>
        <v>9781617616556</v>
      </c>
      <c r="C8970" s="1" t="s">
        <v>17311</v>
      </c>
      <c r="D8970" s="2">
        <v>40206</v>
      </c>
      <c r="E8970" s="1" t="s">
        <v>17865</v>
      </c>
      <c r="F8970" s="1" t="s">
        <v>13</v>
      </c>
    </row>
    <row r="8971" spans="1:6" ht="30" customHeight="1" x14ac:dyDescent="0.25">
      <c r="A8971" s="1" t="s">
        <v>17866</v>
      </c>
      <c r="B8971" s="1" t="str">
        <f>"9781619427129"</f>
        <v>9781619427129</v>
      </c>
      <c r="C8971" s="1" t="s">
        <v>17311</v>
      </c>
      <c r="D8971" s="2">
        <v>41113</v>
      </c>
      <c r="E8971" s="1" t="s">
        <v>17867</v>
      </c>
      <c r="F8971" s="1" t="s">
        <v>137</v>
      </c>
    </row>
    <row r="8972" spans="1:6" ht="30" customHeight="1" x14ac:dyDescent="0.25">
      <c r="A8972" s="1" t="s">
        <v>17868</v>
      </c>
      <c r="B8972" s="1" t="str">
        <f>"9781619420540"</f>
        <v>9781619420540</v>
      </c>
      <c r="C8972" s="1" t="s">
        <v>17311</v>
      </c>
      <c r="D8972" s="2">
        <v>40756</v>
      </c>
      <c r="E8972" s="1" t="s">
        <v>17869</v>
      </c>
      <c r="F8972" s="1" t="s">
        <v>13</v>
      </c>
    </row>
    <row r="8973" spans="1:6" ht="30" customHeight="1" x14ac:dyDescent="0.25">
      <c r="A8973" s="1" t="s">
        <v>17870</v>
      </c>
      <c r="B8973" s="1" t="str">
        <f>"9781619426306"</f>
        <v>9781619426306</v>
      </c>
      <c r="C8973" s="1" t="s">
        <v>17311</v>
      </c>
      <c r="D8973" s="2">
        <v>41000</v>
      </c>
      <c r="E8973" s="1" t="s">
        <v>17871</v>
      </c>
      <c r="F8973" s="1" t="s">
        <v>13</v>
      </c>
    </row>
    <row r="8974" spans="1:6" ht="30" customHeight="1" x14ac:dyDescent="0.25">
      <c r="A8974" s="1" t="s">
        <v>17872</v>
      </c>
      <c r="B8974" s="1" t="str">
        <f>"9781619428010"</f>
        <v>9781619428010</v>
      </c>
      <c r="C8974" s="1" t="s">
        <v>17311</v>
      </c>
      <c r="D8974" s="2">
        <v>40817</v>
      </c>
      <c r="E8974" s="1" t="s">
        <v>17873</v>
      </c>
      <c r="F8974" s="1" t="s">
        <v>13</v>
      </c>
    </row>
    <row r="8975" spans="1:6" ht="30" customHeight="1" x14ac:dyDescent="0.25">
      <c r="A8975" s="1" t="s">
        <v>17874</v>
      </c>
      <c r="B8975" s="1" t="str">
        <f>"9781619427105"</f>
        <v>9781619427105</v>
      </c>
      <c r="C8975" s="1" t="s">
        <v>17311</v>
      </c>
      <c r="D8975" s="2">
        <v>41075</v>
      </c>
      <c r="E8975" s="1" t="s">
        <v>17875</v>
      </c>
      <c r="F8975" s="1" t="s">
        <v>650</v>
      </c>
    </row>
    <row r="8976" spans="1:6" ht="30" customHeight="1" x14ac:dyDescent="0.25">
      <c r="A8976" s="1" t="s">
        <v>17876</v>
      </c>
      <c r="B8976" s="1" t="str">
        <f>"9781619421073"</f>
        <v>9781619421073</v>
      </c>
      <c r="C8976" s="1" t="s">
        <v>17311</v>
      </c>
      <c r="D8976" s="2">
        <v>41065</v>
      </c>
      <c r="E8976" s="1" t="s">
        <v>17877</v>
      </c>
      <c r="F8976" s="1" t="s">
        <v>13</v>
      </c>
    </row>
    <row r="8977" spans="1:6" ht="30" customHeight="1" x14ac:dyDescent="0.25">
      <c r="A8977" s="1" t="s">
        <v>17878</v>
      </c>
      <c r="B8977" s="1" t="str">
        <f>"9781619428263"</f>
        <v>9781619428263</v>
      </c>
      <c r="C8977" s="1" t="s">
        <v>17311</v>
      </c>
      <c r="D8977" s="2">
        <v>40764</v>
      </c>
      <c r="E8977" s="1" t="s">
        <v>17879</v>
      </c>
      <c r="F8977" s="1" t="s">
        <v>13</v>
      </c>
    </row>
    <row r="8978" spans="1:6" ht="30" customHeight="1" x14ac:dyDescent="0.25">
      <c r="A8978" s="1" t="s">
        <v>17880</v>
      </c>
      <c r="B8978" s="1" t="str">
        <f>"9781617618765"</f>
        <v>9781617618765</v>
      </c>
      <c r="C8978" s="1" t="s">
        <v>17311</v>
      </c>
      <c r="D8978" s="2">
        <v>40330</v>
      </c>
      <c r="E8978" s="1" t="s">
        <v>17881</v>
      </c>
      <c r="F8978" s="1" t="s">
        <v>33</v>
      </c>
    </row>
    <row r="8979" spans="1:6" ht="30" customHeight="1" x14ac:dyDescent="0.25">
      <c r="A8979" s="1" t="s">
        <v>17882</v>
      </c>
      <c r="B8979" s="1" t="str">
        <f>"9781619423459"</f>
        <v>9781619423459</v>
      </c>
      <c r="C8979" s="1" t="s">
        <v>17311</v>
      </c>
      <c r="D8979" s="2">
        <v>41086</v>
      </c>
      <c r="E8979" s="1" t="s">
        <v>17883</v>
      </c>
      <c r="F8979" s="1" t="s">
        <v>268</v>
      </c>
    </row>
    <row r="8980" spans="1:6" ht="30" customHeight="1" x14ac:dyDescent="0.25">
      <c r="A8980" s="1" t="s">
        <v>17884</v>
      </c>
      <c r="B8980" s="1" t="str">
        <f>"9781614700807"</f>
        <v>9781614700807</v>
      </c>
      <c r="C8980" s="1" t="s">
        <v>17311</v>
      </c>
      <c r="D8980" s="2">
        <v>40360</v>
      </c>
      <c r="E8980" s="1" t="s">
        <v>17885</v>
      </c>
      <c r="F8980" s="1" t="s">
        <v>12695</v>
      </c>
    </row>
    <row r="8981" spans="1:6" ht="30" customHeight="1" x14ac:dyDescent="0.25">
      <c r="A8981" s="1" t="s">
        <v>17886</v>
      </c>
      <c r="B8981" s="1" t="str">
        <f>"9781617611674"</f>
        <v>9781617611674</v>
      </c>
      <c r="C8981" s="1" t="s">
        <v>17311</v>
      </c>
      <c r="D8981" s="2">
        <v>40544</v>
      </c>
      <c r="E8981" s="1" t="s">
        <v>17887</v>
      </c>
      <c r="F8981" s="1" t="s">
        <v>13</v>
      </c>
    </row>
    <row r="8982" spans="1:6" ht="30" customHeight="1" x14ac:dyDescent="0.25">
      <c r="A8982" s="1" t="s">
        <v>17888</v>
      </c>
      <c r="B8982" s="1" t="str">
        <f>"9781612098623"</f>
        <v>9781612098623</v>
      </c>
      <c r="C8982" s="1" t="s">
        <v>17311</v>
      </c>
      <c r="D8982" s="2">
        <v>41773</v>
      </c>
      <c r="E8982" s="1" t="s">
        <v>17889</v>
      </c>
      <c r="F8982" s="1" t="s">
        <v>13</v>
      </c>
    </row>
    <row r="8983" spans="1:6" ht="30" customHeight="1" x14ac:dyDescent="0.25">
      <c r="A8983" s="1" t="s">
        <v>17890</v>
      </c>
      <c r="B8983" s="1" t="str">
        <f>"9781617619595"</f>
        <v>9781617619595</v>
      </c>
      <c r="C8983" s="1" t="s">
        <v>17311</v>
      </c>
      <c r="D8983" s="2">
        <v>40330</v>
      </c>
      <c r="E8983" s="1" t="s">
        <v>17891</v>
      </c>
      <c r="F8983" s="1" t="s">
        <v>13</v>
      </c>
    </row>
    <row r="8984" spans="1:6" ht="30" customHeight="1" x14ac:dyDescent="0.25">
      <c r="A8984" s="1" t="s">
        <v>3613</v>
      </c>
      <c r="B8984" s="1" t="str">
        <f>"9781617611650"</f>
        <v>9781617611650</v>
      </c>
      <c r="C8984" s="1" t="s">
        <v>17311</v>
      </c>
      <c r="D8984" s="2">
        <v>40513</v>
      </c>
      <c r="E8984" s="1" t="s">
        <v>17892</v>
      </c>
      <c r="F8984" s="1" t="s">
        <v>13</v>
      </c>
    </row>
    <row r="8985" spans="1:6" ht="30" customHeight="1" x14ac:dyDescent="0.25">
      <c r="A8985" s="1" t="s">
        <v>17893</v>
      </c>
      <c r="B8985" s="1" t="str">
        <f>"9781616683924"</f>
        <v>9781616683924</v>
      </c>
      <c r="C8985" s="1" t="s">
        <v>17311</v>
      </c>
      <c r="D8985" s="2">
        <v>40330</v>
      </c>
      <c r="E8985" s="1" t="s">
        <v>17894</v>
      </c>
      <c r="F8985" s="1" t="s">
        <v>148</v>
      </c>
    </row>
    <row r="8986" spans="1:6" ht="30" customHeight="1" x14ac:dyDescent="0.25">
      <c r="A8986" s="1" t="s">
        <v>17895</v>
      </c>
      <c r="B8986" s="1" t="str">
        <f>"9781616686390"</f>
        <v>9781616686390</v>
      </c>
      <c r="C8986" s="1" t="s">
        <v>17311</v>
      </c>
      <c r="D8986" s="2">
        <v>40483</v>
      </c>
      <c r="E8986" s="1" t="s">
        <v>17897</v>
      </c>
      <c r="F8986" s="1" t="s">
        <v>13</v>
      </c>
    </row>
    <row r="8987" spans="1:6" ht="30" customHeight="1" x14ac:dyDescent="0.25">
      <c r="A8987" s="1" t="s">
        <v>17898</v>
      </c>
      <c r="B8987" s="1" t="str">
        <f>"9781617283574"</f>
        <v>9781617283574</v>
      </c>
      <c r="C8987" s="1" t="s">
        <v>17311</v>
      </c>
      <c r="D8987" s="2">
        <v>40098</v>
      </c>
      <c r="E8987" s="1" t="s">
        <v>17899</v>
      </c>
      <c r="F8987" s="1" t="s">
        <v>13</v>
      </c>
    </row>
    <row r="8988" spans="1:6" ht="30" customHeight="1" x14ac:dyDescent="0.25">
      <c r="A8988" s="1" t="s">
        <v>17900</v>
      </c>
      <c r="B8988" s="1" t="str">
        <f>"9781616688714"</f>
        <v>9781616688714</v>
      </c>
      <c r="C8988" s="1" t="s">
        <v>17311</v>
      </c>
      <c r="D8988" s="2">
        <v>40483</v>
      </c>
      <c r="E8988" s="1" t="s">
        <v>17902</v>
      </c>
      <c r="F8988" s="1" t="s">
        <v>13</v>
      </c>
    </row>
    <row r="8989" spans="1:6" ht="30" customHeight="1" x14ac:dyDescent="0.25">
      <c r="A8989" s="1" t="s">
        <v>17903</v>
      </c>
      <c r="B8989" s="1" t="str">
        <f>"9781611226232"</f>
        <v>9781611226232</v>
      </c>
      <c r="C8989" s="1" t="s">
        <v>17311</v>
      </c>
      <c r="D8989" s="2">
        <v>40603</v>
      </c>
      <c r="E8989" s="1" t="s">
        <v>17904</v>
      </c>
      <c r="F8989" s="1" t="s">
        <v>3803</v>
      </c>
    </row>
    <row r="8990" spans="1:6" ht="30" customHeight="1" x14ac:dyDescent="0.25">
      <c r="A8990" s="1" t="s">
        <v>17905</v>
      </c>
      <c r="B8990" s="1" t="str">
        <f>"9781611226669"</f>
        <v>9781611226669</v>
      </c>
      <c r="C8990" s="1" t="s">
        <v>17311</v>
      </c>
      <c r="D8990" s="2">
        <v>40378</v>
      </c>
      <c r="E8990" s="1" t="s">
        <v>17906</v>
      </c>
      <c r="F8990" s="1" t="s">
        <v>13</v>
      </c>
    </row>
    <row r="8991" spans="1:6" ht="30" customHeight="1" x14ac:dyDescent="0.25">
      <c r="A8991" s="1" t="s">
        <v>17907</v>
      </c>
      <c r="B8991" s="1" t="str">
        <f>"9781617283345"</f>
        <v>9781617283345</v>
      </c>
      <c r="C8991" s="1" t="s">
        <v>17311</v>
      </c>
      <c r="D8991" s="2">
        <v>40513</v>
      </c>
      <c r="E8991" s="1" t="s">
        <v>17908</v>
      </c>
      <c r="F8991" s="1" t="s">
        <v>13</v>
      </c>
    </row>
    <row r="8992" spans="1:6" ht="30" customHeight="1" x14ac:dyDescent="0.25">
      <c r="A8992" s="1" t="s">
        <v>17909</v>
      </c>
      <c r="B8992" s="1" t="str">
        <f>"9781617280450"</f>
        <v>9781617280450</v>
      </c>
      <c r="C8992" s="1" t="s">
        <v>17311</v>
      </c>
      <c r="D8992" s="2">
        <v>40483</v>
      </c>
      <c r="E8992" s="1" t="s">
        <v>17902</v>
      </c>
      <c r="F8992" s="1" t="s">
        <v>13</v>
      </c>
    </row>
    <row r="8993" spans="1:6" ht="30" customHeight="1" x14ac:dyDescent="0.25">
      <c r="A8993" s="1" t="s">
        <v>17910</v>
      </c>
      <c r="B8993" s="1" t="str">
        <f>"9781614700906"</f>
        <v>9781614700906</v>
      </c>
      <c r="C8993" s="1" t="s">
        <v>17311</v>
      </c>
      <c r="D8993" s="2">
        <v>40269</v>
      </c>
      <c r="E8993" s="1" t="s">
        <v>17911</v>
      </c>
      <c r="F8993" s="1" t="s">
        <v>95</v>
      </c>
    </row>
    <row r="8994" spans="1:6" ht="30" customHeight="1" x14ac:dyDescent="0.25">
      <c r="A8994" s="1" t="s">
        <v>17912</v>
      </c>
      <c r="B8994" s="1" t="str">
        <f>"9781617280238"</f>
        <v>9781617280238</v>
      </c>
      <c r="C8994" s="1" t="s">
        <v>17311</v>
      </c>
      <c r="D8994" s="2">
        <v>39911</v>
      </c>
      <c r="E8994" s="1" t="s">
        <v>17913</v>
      </c>
      <c r="F8994" s="1" t="s">
        <v>70</v>
      </c>
    </row>
    <row r="8995" spans="1:6" ht="30" customHeight="1" x14ac:dyDescent="0.25">
      <c r="A8995" s="1" t="s">
        <v>17914</v>
      </c>
      <c r="B8995" s="1" t="str">
        <f>"9781612092133"</f>
        <v>9781612092133</v>
      </c>
      <c r="C8995" s="1" t="s">
        <v>17311</v>
      </c>
      <c r="D8995" s="2">
        <v>40422</v>
      </c>
      <c r="E8995" s="1" t="s">
        <v>17915</v>
      </c>
      <c r="F8995" s="1" t="s">
        <v>70</v>
      </c>
    </row>
    <row r="8996" spans="1:6" ht="30" customHeight="1" x14ac:dyDescent="0.25">
      <c r="A8996" s="1" t="s">
        <v>17916</v>
      </c>
      <c r="B8996" s="1" t="str">
        <f>"9781614704751"</f>
        <v>9781614704751</v>
      </c>
      <c r="C8996" s="1" t="s">
        <v>17311</v>
      </c>
      <c r="D8996" s="2">
        <v>39965</v>
      </c>
      <c r="E8996" s="1" t="s">
        <v>17917</v>
      </c>
      <c r="F8996" s="1" t="s">
        <v>13</v>
      </c>
    </row>
    <row r="8997" spans="1:6" ht="30" customHeight="1" x14ac:dyDescent="0.25">
      <c r="A8997" s="1" t="s">
        <v>17918</v>
      </c>
      <c r="B8997" s="1" t="str">
        <f>"9781608767151"</f>
        <v>9781608767151</v>
      </c>
      <c r="C8997" s="1" t="s">
        <v>17311</v>
      </c>
      <c r="D8997" s="2">
        <v>39934</v>
      </c>
      <c r="E8997" s="1" t="s">
        <v>17919</v>
      </c>
      <c r="F8997" s="1" t="s">
        <v>13</v>
      </c>
    </row>
    <row r="8998" spans="1:6" ht="30" customHeight="1" x14ac:dyDescent="0.25">
      <c r="A8998" s="1" t="s">
        <v>17920</v>
      </c>
      <c r="B8998" s="1" t="str">
        <f>"9781617618710"</f>
        <v>9781617618710</v>
      </c>
      <c r="C8998" s="1" t="s">
        <v>17311</v>
      </c>
      <c r="D8998" s="2">
        <v>40233</v>
      </c>
      <c r="E8998" s="1" t="s">
        <v>17921</v>
      </c>
      <c r="F8998" s="1" t="s">
        <v>13</v>
      </c>
    </row>
    <row r="8999" spans="1:6" ht="30" customHeight="1" x14ac:dyDescent="0.25">
      <c r="A8999" s="1" t="s">
        <v>17922</v>
      </c>
      <c r="B8999" s="1" t="str">
        <f>"9781613249963"</f>
        <v>9781613249963</v>
      </c>
      <c r="C8999" s="1" t="s">
        <v>17311</v>
      </c>
      <c r="D8999" s="2">
        <v>40316</v>
      </c>
      <c r="E8999" s="1" t="s">
        <v>17923</v>
      </c>
      <c r="F8999" s="1" t="s">
        <v>3803</v>
      </c>
    </row>
    <row r="9000" spans="1:6" ht="30" customHeight="1" x14ac:dyDescent="0.25">
      <c r="A9000" s="1" t="s">
        <v>17924</v>
      </c>
      <c r="B9000" s="1" t="str">
        <f>"9781608767267"</f>
        <v>9781608767267</v>
      </c>
      <c r="C9000" s="1" t="s">
        <v>17311</v>
      </c>
      <c r="D9000" s="2">
        <v>40057</v>
      </c>
      <c r="E9000" s="1" t="s">
        <v>17925</v>
      </c>
      <c r="F9000" s="1" t="s">
        <v>70</v>
      </c>
    </row>
    <row r="9001" spans="1:6" ht="30" customHeight="1" x14ac:dyDescent="0.25">
      <c r="A9001" s="1" t="s">
        <v>17926</v>
      </c>
      <c r="B9001" s="1" t="str">
        <f>"9781608765836"</f>
        <v>9781608765836</v>
      </c>
      <c r="C9001" s="1" t="s">
        <v>17311</v>
      </c>
      <c r="D9001" s="2">
        <v>40057</v>
      </c>
      <c r="E9001" s="1" t="s">
        <v>17927</v>
      </c>
      <c r="F9001" s="1" t="s">
        <v>13</v>
      </c>
    </row>
    <row r="9002" spans="1:6" ht="30" customHeight="1" x14ac:dyDescent="0.25">
      <c r="A9002" s="1" t="s">
        <v>17928</v>
      </c>
      <c r="B9002" s="1" t="str">
        <f>"9781608764341"</f>
        <v>9781608764341</v>
      </c>
      <c r="C9002" s="1" t="s">
        <v>17311</v>
      </c>
      <c r="D9002" s="2">
        <v>39934</v>
      </c>
      <c r="E9002" s="1" t="s">
        <v>17929</v>
      </c>
      <c r="F9002" s="1" t="s">
        <v>13</v>
      </c>
    </row>
    <row r="9003" spans="1:6" ht="30" customHeight="1" x14ac:dyDescent="0.25">
      <c r="A9003" s="1" t="s">
        <v>17930</v>
      </c>
      <c r="B9003" s="1" t="str">
        <f>"9781607416821"</f>
        <v>9781607416821</v>
      </c>
      <c r="C9003" s="1" t="s">
        <v>17311</v>
      </c>
      <c r="D9003" s="2">
        <v>39814</v>
      </c>
      <c r="E9003" s="1" t="s">
        <v>17931</v>
      </c>
      <c r="F9003" s="1" t="s">
        <v>17932</v>
      </c>
    </row>
    <row r="9004" spans="1:6" ht="30" customHeight="1" x14ac:dyDescent="0.25">
      <c r="A9004" s="1" t="s">
        <v>17933</v>
      </c>
      <c r="B9004" s="1" t="str">
        <f>"9781608765621"</f>
        <v>9781608765621</v>
      </c>
      <c r="C9004" s="1" t="s">
        <v>17311</v>
      </c>
      <c r="D9004" s="2">
        <v>39965</v>
      </c>
      <c r="E9004" s="1" t="s">
        <v>17934</v>
      </c>
      <c r="F9004" s="1" t="s">
        <v>17935</v>
      </c>
    </row>
    <row r="9005" spans="1:6" ht="30" customHeight="1" x14ac:dyDescent="0.25">
      <c r="A9005" s="1" t="s">
        <v>17936</v>
      </c>
      <c r="B9005" s="1" t="str">
        <f>"9781607413905"</f>
        <v>9781607413905</v>
      </c>
      <c r="C9005" s="1" t="s">
        <v>17311</v>
      </c>
      <c r="D9005" s="2">
        <v>39845</v>
      </c>
      <c r="E9005" s="1" t="s">
        <v>17937</v>
      </c>
      <c r="F9005" s="1" t="s">
        <v>13</v>
      </c>
    </row>
    <row r="9006" spans="1:6" ht="30" customHeight="1" x14ac:dyDescent="0.25">
      <c r="A9006" s="1" t="s">
        <v>17938</v>
      </c>
      <c r="B9006" s="1" t="str">
        <f>"9781608767458"</f>
        <v>9781608767458</v>
      </c>
      <c r="C9006" s="1" t="s">
        <v>17311</v>
      </c>
      <c r="D9006" s="2">
        <v>40026</v>
      </c>
      <c r="E9006" s="1" t="s">
        <v>17939</v>
      </c>
      <c r="F9006" s="1" t="s">
        <v>13</v>
      </c>
    </row>
    <row r="9007" spans="1:6" ht="30" customHeight="1" x14ac:dyDescent="0.25">
      <c r="A9007" s="1" t="s">
        <v>17940</v>
      </c>
      <c r="B9007" s="1" t="str">
        <f>"9781608764808"</f>
        <v>9781608764808</v>
      </c>
      <c r="C9007" s="1" t="s">
        <v>17311</v>
      </c>
      <c r="D9007" s="2">
        <v>39753</v>
      </c>
      <c r="E9007" s="1" t="s">
        <v>17941</v>
      </c>
      <c r="F9007" s="1" t="s">
        <v>17942</v>
      </c>
    </row>
    <row r="9008" spans="1:6" ht="30" customHeight="1" x14ac:dyDescent="0.25">
      <c r="A9008" s="1" t="s">
        <v>17943</v>
      </c>
      <c r="B9008" s="1" t="str">
        <f>"9781607412113"</f>
        <v>9781607412113</v>
      </c>
      <c r="C9008" s="1" t="s">
        <v>17311</v>
      </c>
      <c r="D9008" s="2">
        <v>39845</v>
      </c>
      <c r="E9008" s="1" t="s">
        <v>17944</v>
      </c>
      <c r="F9008" s="1" t="s">
        <v>13</v>
      </c>
    </row>
    <row r="9009" spans="1:6" ht="30" customHeight="1" x14ac:dyDescent="0.25">
      <c r="A9009" s="1" t="s">
        <v>17945</v>
      </c>
      <c r="B9009" s="1" t="str">
        <f>"9781607410959"</f>
        <v>9781607410959</v>
      </c>
      <c r="C9009" s="1" t="s">
        <v>17311</v>
      </c>
      <c r="D9009" s="2">
        <v>39934</v>
      </c>
      <c r="E9009" s="1" t="s">
        <v>17946</v>
      </c>
      <c r="F9009" s="1" t="s">
        <v>54</v>
      </c>
    </row>
    <row r="9010" spans="1:6" ht="30" customHeight="1" x14ac:dyDescent="0.25">
      <c r="A9010" s="1" t="s">
        <v>17947</v>
      </c>
      <c r="B9010" s="1" t="str">
        <f>"9781608767977"</f>
        <v>9781608767977</v>
      </c>
      <c r="C9010" s="1" t="s">
        <v>17311</v>
      </c>
      <c r="D9010" s="2">
        <v>39783</v>
      </c>
      <c r="E9010" s="1" t="s">
        <v>17948</v>
      </c>
      <c r="F9010" s="1" t="s">
        <v>13</v>
      </c>
    </row>
    <row r="9011" spans="1:6" ht="30" customHeight="1" x14ac:dyDescent="0.25">
      <c r="A9011" s="1" t="s">
        <v>17949</v>
      </c>
      <c r="B9011" s="1" t="str">
        <f>"9781608763023"</f>
        <v>9781608763023</v>
      </c>
      <c r="C9011" s="1" t="s">
        <v>17311</v>
      </c>
      <c r="D9011" s="2">
        <v>39753</v>
      </c>
      <c r="E9011" s="1" t="s">
        <v>17950</v>
      </c>
      <c r="F9011" s="1" t="s">
        <v>30</v>
      </c>
    </row>
    <row r="9012" spans="1:6" ht="30" customHeight="1" x14ac:dyDescent="0.25">
      <c r="A9012" s="1" t="s">
        <v>17951</v>
      </c>
      <c r="B9012" s="1" t="str">
        <f>"9781607412151"</f>
        <v>9781607412151</v>
      </c>
      <c r="C9012" s="1" t="s">
        <v>17311</v>
      </c>
      <c r="D9012" s="2">
        <v>39845</v>
      </c>
      <c r="E9012" s="1" t="s">
        <v>17952</v>
      </c>
      <c r="F9012" s="1" t="s">
        <v>82</v>
      </c>
    </row>
    <row r="9013" spans="1:6" ht="30" customHeight="1" x14ac:dyDescent="0.25">
      <c r="A9013" s="1" t="s">
        <v>17953</v>
      </c>
      <c r="B9013" s="1" t="str">
        <f>"9781607413974"</f>
        <v>9781607413974</v>
      </c>
      <c r="C9013" s="1" t="s">
        <v>17311</v>
      </c>
      <c r="D9013" s="2">
        <v>39845</v>
      </c>
      <c r="E9013" s="1" t="s">
        <v>17954</v>
      </c>
      <c r="F9013" s="1" t="s">
        <v>13</v>
      </c>
    </row>
    <row r="9014" spans="1:6" ht="30" customHeight="1" x14ac:dyDescent="0.25">
      <c r="A9014" s="1" t="s">
        <v>17955</v>
      </c>
      <c r="B9014" s="1" t="str">
        <f>"9781608762774"</f>
        <v>9781608762774</v>
      </c>
      <c r="C9014" s="1" t="s">
        <v>17311</v>
      </c>
      <c r="D9014" s="2">
        <v>39753</v>
      </c>
      <c r="E9014" s="1" t="s">
        <v>17956</v>
      </c>
      <c r="F9014" s="1" t="s">
        <v>13</v>
      </c>
    </row>
    <row r="9015" spans="1:6" ht="30" customHeight="1" x14ac:dyDescent="0.25">
      <c r="A9015" s="1" t="s">
        <v>17957</v>
      </c>
      <c r="B9015" s="1" t="str">
        <f>"9781608765911"</f>
        <v>9781608765911</v>
      </c>
      <c r="C9015" s="1" t="s">
        <v>17311</v>
      </c>
      <c r="D9015" s="2">
        <v>41773</v>
      </c>
      <c r="E9015" s="1" t="s">
        <v>17958</v>
      </c>
      <c r="F9015" s="1" t="s">
        <v>13</v>
      </c>
    </row>
    <row r="9016" spans="1:6" ht="30" customHeight="1" x14ac:dyDescent="0.25">
      <c r="A9016" s="1" t="s">
        <v>17959</v>
      </c>
      <c r="B9016" s="1" t="str">
        <f>"9781607414070"</f>
        <v>9781607414070</v>
      </c>
      <c r="C9016" s="1" t="s">
        <v>17311</v>
      </c>
      <c r="D9016" s="2">
        <v>39873</v>
      </c>
      <c r="E9016" s="1" t="s">
        <v>17960</v>
      </c>
      <c r="F9016" s="1" t="s">
        <v>13</v>
      </c>
    </row>
    <row r="9017" spans="1:6" ht="30" customHeight="1" x14ac:dyDescent="0.25">
      <c r="A9017" s="1" t="s">
        <v>17961</v>
      </c>
      <c r="B9017" s="1" t="str">
        <f>"9781608767076"</f>
        <v>9781608767076</v>
      </c>
      <c r="C9017" s="1" t="s">
        <v>17311</v>
      </c>
      <c r="D9017" s="2">
        <v>40026</v>
      </c>
      <c r="E9017" s="1" t="s">
        <v>17962</v>
      </c>
      <c r="F9017" s="1" t="s">
        <v>17963</v>
      </c>
    </row>
    <row r="9018" spans="1:6" ht="30" customHeight="1" x14ac:dyDescent="0.25">
      <c r="A9018" s="1" t="s">
        <v>17964</v>
      </c>
      <c r="B9018" s="1" t="str">
        <f>"9781608765409"</f>
        <v>9781608765409</v>
      </c>
      <c r="C9018" s="1" t="s">
        <v>17311</v>
      </c>
      <c r="D9018" s="2">
        <v>39873</v>
      </c>
      <c r="E9018" s="1" t="s">
        <v>17965</v>
      </c>
      <c r="F9018" s="1" t="s">
        <v>13</v>
      </c>
    </row>
    <row r="9019" spans="1:6" ht="30" customHeight="1" x14ac:dyDescent="0.25">
      <c r="A9019" s="1" t="s">
        <v>17966</v>
      </c>
      <c r="B9019" s="1" t="str">
        <f>"9781608765492"</f>
        <v>9781608765492</v>
      </c>
      <c r="C9019" s="1" t="s">
        <v>17311</v>
      </c>
      <c r="D9019" s="2">
        <v>41773</v>
      </c>
      <c r="E9019" s="1" t="s">
        <v>17967</v>
      </c>
      <c r="F9019" s="1" t="s">
        <v>13</v>
      </c>
    </row>
    <row r="9020" spans="1:6" ht="30" customHeight="1" x14ac:dyDescent="0.25">
      <c r="A9020" s="1" t="s">
        <v>17968</v>
      </c>
      <c r="B9020" s="1" t="str">
        <f>"9781608766239"</f>
        <v>9781608766239</v>
      </c>
      <c r="C9020" s="1" t="s">
        <v>17311</v>
      </c>
      <c r="D9020" s="2">
        <v>40026</v>
      </c>
      <c r="E9020" s="1" t="s">
        <v>17969</v>
      </c>
      <c r="F9020" s="1" t="s">
        <v>158</v>
      </c>
    </row>
    <row r="9021" spans="1:6" ht="30" customHeight="1" x14ac:dyDescent="0.25">
      <c r="A9021" s="1" t="s">
        <v>17970</v>
      </c>
      <c r="B9021" s="1" t="str">
        <f>"9781608765980"</f>
        <v>9781608765980</v>
      </c>
      <c r="C9021" s="1" t="s">
        <v>17311</v>
      </c>
      <c r="D9021" s="2">
        <v>39904</v>
      </c>
      <c r="E9021" s="1" t="s">
        <v>17971</v>
      </c>
      <c r="F9021" s="1" t="s">
        <v>95</v>
      </c>
    </row>
    <row r="9022" spans="1:6" ht="30" customHeight="1" x14ac:dyDescent="0.25">
      <c r="A9022" s="1" t="s">
        <v>17972</v>
      </c>
      <c r="B9022" s="1" t="str">
        <f>"9781608766321"</f>
        <v>9781608766321</v>
      </c>
      <c r="C9022" s="1" t="s">
        <v>17311</v>
      </c>
      <c r="D9022" s="2">
        <v>39873</v>
      </c>
      <c r="E9022" s="1" t="s">
        <v>17973</v>
      </c>
      <c r="F9022" s="1" t="s">
        <v>13</v>
      </c>
    </row>
    <row r="9023" spans="1:6" ht="30" customHeight="1" x14ac:dyDescent="0.25">
      <c r="A9023" s="1" t="s">
        <v>17974</v>
      </c>
      <c r="B9023" s="1" t="str">
        <f>"9781608766291"</f>
        <v>9781608766291</v>
      </c>
      <c r="C9023" s="1" t="s">
        <v>17311</v>
      </c>
      <c r="D9023" s="2">
        <v>39934</v>
      </c>
      <c r="E9023" s="1" t="s">
        <v>17975</v>
      </c>
      <c r="F9023" s="1" t="s">
        <v>137</v>
      </c>
    </row>
    <row r="9024" spans="1:6" ht="30" customHeight="1" x14ac:dyDescent="0.25">
      <c r="A9024" s="1" t="s">
        <v>17976</v>
      </c>
      <c r="B9024" s="1" t="str">
        <f>"9781608766055"</f>
        <v>9781608766055</v>
      </c>
      <c r="C9024" s="1" t="s">
        <v>17311</v>
      </c>
      <c r="D9024" s="2">
        <v>40057</v>
      </c>
      <c r="E9024" s="1" t="s">
        <v>17977</v>
      </c>
      <c r="F9024" s="1" t="s">
        <v>30</v>
      </c>
    </row>
    <row r="9025" spans="1:6" ht="30" customHeight="1" x14ac:dyDescent="0.25">
      <c r="A9025" s="1" t="s">
        <v>17978</v>
      </c>
      <c r="B9025" s="1" t="str">
        <f>"9781608764921"</f>
        <v>9781608764921</v>
      </c>
      <c r="C9025" s="1" t="s">
        <v>17311</v>
      </c>
      <c r="D9025" s="2">
        <v>39873</v>
      </c>
      <c r="E9025" s="1" t="s">
        <v>17979</v>
      </c>
      <c r="F9025" s="1" t="s">
        <v>13</v>
      </c>
    </row>
    <row r="9026" spans="1:6" ht="30" customHeight="1" x14ac:dyDescent="0.25">
      <c r="A9026" s="1" t="s">
        <v>17980</v>
      </c>
      <c r="B9026" s="1" t="str">
        <f>"9781607411895"</f>
        <v>9781607411895</v>
      </c>
      <c r="C9026" s="1" t="s">
        <v>17311</v>
      </c>
      <c r="D9026" s="2">
        <v>39814</v>
      </c>
      <c r="E9026" s="1" t="s">
        <v>17956</v>
      </c>
      <c r="F9026" s="1" t="s">
        <v>13</v>
      </c>
    </row>
    <row r="9027" spans="1:6" ht="30" customHeight="1" x14ac:dyDescent="0.25">
      <c r="A9027" s="1" t="s">
        <v>17981</v>
      </c>
      <c r="B9027" s="1" t="str">
        <f>"9781608767120"</f>
        <v>9781608767120</v>
      </c>
      <c r="C9027" s="1" t="s">
        <v>17311</v>
      </c>
      <c r="D9027" s="2">
        <v>40026</v>
      </c>
      <c r="E9027" s="1" t="s">
        <v>17982</v>
      </c>
      <c r="F9027" s="1" t="s">
        <v>650</v>
      </c>
    </row>
    <row r="9028" spans="1:6" ht="30" customHeight="1" x14ac:dyDescent="0.25">
      <c r="A9028" s="1" t="s">
        <v>17983</v>
      </c>
      <c r="B9028" s="1" t="str">
        <f>"9781608765935"</f>
        <v>9781608765935</v>
      </c>
      <c r="C9028" s="1" t="s">
        <v>17311</v>
      </c>
      <c r="D9028" s="2">
        <v>40087</v>
      </c>
      <c r="E9028" s="1" t="s">
        <v>17984</v>
      </c>
      <c r="F9028" s="1" t="s">
        <v>30</v>
      </c>
    </row>
    <row r="9029" spans="1:6" ht="30" customHeight="1" x14ac:dyDescent="0.25">
      <c r="A9029" s="1" t="s">
        <v>17985</v>
      </c>
      <c r="B9029" s="1" t="str">
        <f>"9781608766062"</f>
        <v>9781608766062</v>
      </c>
      <c r="C9029" s="1" t="s">
        <v>17311</v>
      </c>
      <c r="D9029" s="2">
        <v>39873</v>
      </c>
      <c r="E9029" s="1" t="s">
        <v>17986</v>
      </c>
      <c r="F9029" s="1" t="s">
        <v>13</v>
      </c>
    </row>
    <row r="9030" spans="1:6" ht="30" customHeight="1" x14ac:dyDescent="0.25">
      <c r="A9030" s="1" t="s">
        <v>17987</v>
      </c>
      <c r="B9030" s="1" t="str">
        <f>"9781608762507"</f>
        <v>9781608762507</v>
      </c>
      <c r="C9030" s="1" t="s">
        <v>17311</v>
      </c>
      <c r="D9030" s="2">
        <v>39753</v>
      </c>
      <c r="E9030" s="1" t="s">
        <v>17988</v>
      </c>
      <c r="F9030" s="1" t="s">
        <v>13</v>
      </c>
    </row>
    <row r="9031" spans="1:6" ht="30" customHeight="1" x14ac:dyDescent="0.25">
      <c r="A9031" s="1" t="s">
        <v>17989</v>
      </c>
      <c r="B9031" s="1" t="str">
        <f>"9781608763146"</f>
        <v>9781608763146</v>
      </c>
      <c r="C9031" s="1" t="s">
        <v>17311</v>
      </c>
      <c r="D9031" s="2">
        <v>39722</v>
      </c>
      <c r="E9031" s="1" t="s">
        <v>17990</v>
      </c>
      <c r="F9031" s="1" t="s">
        <v>13</v>
      </c>
    </row>
    <row r="9032" spans="1:6" ht="30" customHeight="1" x14ac:dyDescent="0.25">
      <c r="A9032" s="1" t="s">
        <v>17991</v>
      </c>
      <c r="B9032" s="1" t="str">
        <f>"9781608764990"</f>
        <v>9781608764990</v>
      </c>
      <c r="C9032" s="1" t="s">
        <v>17311</v>
      </c>
      <c r="D9032" s="2">
        <v>40026</v>
      </c>
      <c r="E9032" s="1" t="s">
        <v>17992</v>
      </c>
      <c r="F9032" s="1" t="s">
        <v>200</v>
      </c>
    </row>
    <row r="9033" spans="1:6" ht="30" customHeight="1" x14ac:dyDescent="0.25">
      <c r="A9033" s="1" t="s">
        <v>17993</v>
      </c>
      <c r="B9033" s="1" t="str">
        <f>"9781608766796"</f>
        <v>9781608766796</v>
      </c>
      <c r="C9033" s="1" t="s">
        <v>17311</v>
      </c>
      <c r="D9033" s="2">
        <v>40026</v>
      </c>
      <c r="E9033" s="1" t="s">
        <v>17994</v>
      </c>
      <c r="F9033" s="1" t="s">
        <v>95</v>
      </c>
    </row>
    <row r="9034" spans="1:6" ht="30" customHeight="1" x14ac:dyDescent="0.25">
      <c r="A9034" s="1" t="s">
        <v>17995</v>
      </c>
      <c r="B9034" s="1" t="str">
        <f>"9781608764426"</f>
        <v>9781608764426</v>
      </c>
      <c r="C9034" s="1" t="s">
        <v>17311</v>
      </c>
      <c r="D9034" s="2">
        <v>40057</v>
      </c>
      <c r="E9034" s="1" t="s">
        <v>17996</v>
      </c>
      <c r="F9034" s="1" t="s">
        <v>13</v>
      </c>
    </row>
    <row r="9035" spans="1:6" ht="30" customHeight="1" x14ac:dyDescent="0.25">
      <c r="A9035" s="1" t="s">
        <v>17997</v>
      </c>
      <c r="B9035" s="1" t="str">
        <f>"9781608763177"</f>
        <v>9781608763177</v>
      </c>
      <c r="C9035" s="1" t="s">
        <v>17311</v>
      </c>
      <c r="D9035" s="2">
        <v>39783</v>
      </c>
      <c r="E9035" s="1" t="s">
        <v>17998</v>
      </c>
      <c r="F9035" s="1" t="s">
        <v>13</v>
      </c>
    </row>
    <row r="9036" spans="1:6" ht="30" customHeight="1" x14ac:dyDescent="0.25">
      <c r="A9036" s="1" t="s">
        <v>17999</v>
      </c>
      <c r="B9036" s="1" t="str">
        <f>"9781607414131"</f>
        <v>9781607414131</v>
      </c>
      <c r="C9036" s="1" t="s">
        <v>17311</v>
      </c>
      <c r="D9036" s="2">
        <v>39845</v>
      </c>
      <c r="E9036" s="1" t="s">
        <v>18000</v>
      </c>
      <c r="F9036" s="1" t="s">
        <v>13</v>
      </c>
    </row>
    <row r="9037" spans="1:6" ht="30" customHeight="1" x14ac:dyDescent="0.25">
      <c r="A9037" s="1" t="s">
        <v>18001</v>
      </c>
      <c r="B9037" s="1" t="str">
        <f>"9781608765522"</f>
        <v>9781608765522</v>
      </c>
      <c r="C9037" s="1" t="s">
        <v>17311</v>
      </c>
      <c r="D9037" s="2">
        <v>40026</v>
      </c>
      <c r="E9037" s="1" t="s">
        <v>18002</v>
      </c>
      <c r="F9037" s="1" t="s">
        <v>13</v>
      </c>
    </row>
    <row r="9038" spans="1:6" ht="30" customHeight="1" x14ac:dyDescent="0.25">
      <c r="A9038" s="1" t="s">
        <v>18003</v>
      </c>
      <c r="B9038" s="1" t="str">
        <f>"9781608763450"</f>
        <v>9781608763450</v>
      </c>
      <c r="C9038" s="1" t="s">
        <v>17311</v>
      </c>
      <c r="D9038" s="2">
        <v>39808</v>
      </c>
      <c r="E9038" s="1" t="s">
        <v>18004</v>
      </c>
      <c r="F9038" s="1" t="s">
        <v>137</v>
      </c>
    </row>
    <row r="9039" spans="1:6" ht="30" customHeight="1" x14ac:dyDescent="0.25">
      <c r="A9039" s="1" t="s">
        <v>7391</v>
      </c>
      <c r="B9039" s="1" t="str">
        <f>"9781617612398"</f>
        <v>9781617612398</v>
      </c>
      <c r="C9039" s="1" t="s">
        <v>17311</v>
      </c>
      <c r="D9039" s="2">
        <v>40391</v>
      </c>
      <c r="E9039" s="1" t="s">
        <v>18005</v>
      </c>
      <c r="F9039" s="1" t="s">
        <v>13</v>
      </c>
    </row>
    <row r="9040" spans="1:6" ht="30" customHeight="1" x14ac:dyDescent="0.25">
      <c r="A9040" s="1" t="s">
        <v>18006</v>
      </c>
      <c r="B9040" s="1" t="str">
        <f>"9781608767960"</f>
        <v>9781608767960</v>
      </c>
      <c r="C9040" s="1" t="s">
        <v>17311</v>
      </c>
      <c r="D9040" s="2">
        <v>40026</v>
      </c>
      <c r="E9040" s="1" t="s">
        <v>18007</v>
      </c>
      <c r="F9040" s="1" t="s">
        <v>13</v>
      </c>
    </row>
    <row r="9041" spans="1:6" ht="30" customHeight="1" x14ac:dyDescent="0.25">
      <c r="A9041" s="1" t="s">
        <v>18008</v>
      </c>
      <c r="B9041" s="1" t="str">
        <f>"9781607416791"</f>
        <v>9781607416791</v>
      </c>
      <c r="C9041" s="1" t="s">
        <v>17311</v>
      </c>
      <c r="D9041" s="2">
        <v>39845</v>
      </c>
      <c r="E9041" s="1" t="s">
        <v>18009</v>
      </c>
      <c r="F9041" s="1" t="s">
        <v>18010</v>
      </c>
    </row>
    <row r="9042" spans="1:6" ht="30" customHeight="1" x14ac:dyDescent="0.25">
      <c r="A9042" s="1" t="s">
        <v>18011</v>
      </c>
      <c r="B9042" s="1" t="str">
        <f>"9781608765058"</f>
        <v>9781608765058</v>
      </c>
      <c r="C9042" s="1" t="s">
        <v>17311</v>
      </c>
      <c r="D9042" s="2">
        <v>40026</v>
      </c>
      <c r="E9042" s="1" t="s">
        <v>18012</v>
      </c>
      <c r="F9042" s="1" t="s">
        <v>13</v>
      </c>
    </row>
    <row r="9043" spans="1:6" ht="30" customHeight="1" x14ac:dyDescent="0.25">
      <c r="A9043" s="1" t="s">
        <v>18013</v>
      </c>
      <c r="B9043" s="1" t="str">
        <f>"9781608763443"</f>
        <v>9781608763443</v>
      </c>
      <c r="C9043" s="1" t="s">
        <v>17311</v>
      </c>
      <c r="D9043" s="2">
        <v>39661</v>
      </c>
      <c r="E9043" s="1" t="s">
        <v>18014</v>
      </c>
      <c r="F9043" s="1" t="s">
        <v>6960</v>
      </c>
    </row>
    <row r="9044" spans="1:6" ht="30" customHeight="1" x14ac:dyDescent="0.25">
      <c r="A9044" s="1" t="s">
        <v>18015</v>
      </c>
      <c r="B9044" s="1" t="str">
        <f>"9781607410904"</f>
        <v>9781607410904</v>
      </c>
      <c r="C9044" s="1" t="s">
        <v>17311</v>
      </c>
      <c r="D9044" s="2">
        <v>39904</v>
      </c>
      <c r="E9044" s="1" t="s">
        <v>18016</v>
      </c>
      <c r="F9044" s="1" t="s">
        <v>13</v>
      </c>
    </row>
    <row r="9045" spans="1:6" ht="30" customHeight="1" x14ac:dyDescent="0.25">
      <c r="A9045" s="1" t="s">
        <v>18017</v>
      </c>
      <c r="B9045" s="1" t="str">
        <f>"9781608767168"</f>
        <v>9781608767168</v>
      </c>
      <c r="C9045" s="1" t="s">
        <v>17311</v>
      </c>
      <c r="D9045" s="2">
        <v>41773</v>
      </c>
      <c r="E9045" s="1" t="s">
        <v>18018</v>
      </c>
      <c r="F9045" s="1" t="s">
        <v>13</v>
      </c>
    </row>
    <row r="9046" spans="1:6" ht="30" customHeight="1" x14ac:dyDescent="0.25">
      <c r="A9046" s="1" t="s">
        <v>18019</v>
      </c>
      <c r="B9046" s="1" t="str">
        <f>"9781607412120"</f>
        <v>9781607412120</v>
      </c>
      <c r="C9046" s="1" t="s">
        <v>17311</v>
      </c>
      <c r="D9046" s="2">
        <v>39814</v>
      </c>
      <c r="E9046" s="1" t="s">
        <v>18020</v>
      </c>
      <c r="F9046" s="1" t="s">
        <v>13</v>
      </c>
    </row>
    <row r="9047" spans="1:6" ht="30" customHeight="1" x14ac:dyDescent="0.25">
      <c r="A9047" s="1" t="s">
        <v>18021</v>
      </c>
      <c r="B9047" s="1" t="str">
        <f>"9781608762200"</f>
        <v>9781608762200</v>
      </c>
      <c r="C9047" s="1" t="s">
        <v>17311</v>
      </c>
      <c r="D9047" s="2">
        <v>40026</v>
      </c>
      <c r="E9047" s="1" t="s">
        <v>18022</v>
      </c>
      <c r="F9047" s="1" t="s">
        <v>137</v>
      </c>
    </row>
    <row r="9048" spans="1:6" ht="30" customHeight="1" x14ac:dyDescent="0.25">
      <c r="A9048" s="1" t="s">
        <v>18023</v>
      </c>
      <c r="B9048" s="1" t="str">
        <f>"9781608767281"</f>
        <v>9781608767281</v>
      </c>
      <c r="C9048" s="1" t="s">
        <v>17311</v>
      </c>
      <c r="D9048" s="2">
        <v>40057</v>
      </c>
      <c r="E9048" s="1" t="s">
        <v>18024</v>
      </c>
      <c r="F9048" s="1" t="s">
        <v>54</v>
      </c>
    </row>
    <row r="9049" spans="1:6" ht="30" customHeight="1" x14ac:dyDescent="0.25">
      <c r="A9049" s="1" t="s">
        <v>18025</v>
      </c>
      <c r="B9049" s="1" t="str">
        <f>"9781608764037"</f>
        <v>9781608764037</v>
      </c>
      <c r="C9049" s="1" t="s">
        <v>17311</v>
      </c>
      <c r="D9049" s="2">
        <v>39965</v>
      </c>
      <c r="E9049" s="1" t="s">
        <v>18026</v>
      </c>
      <c r="F9049" s="1" t="s">
        <v>13</v>
      </c>
    </row>
    <row r="9050" spans="1:6" ht="30" customHeight="1" x14ac:dyDescent="0.25">
      <c r="A9050" s="1" t="s">
        <v>18027</v>
      </c>
      <c r="B9050" s="1" t="str">
        <f>"9781607416814"</f>
        <v>9781607416814</v>
      </c>
      <c r="C9050" s="1" t="s">
        <v>17311</v>
      </c>
      <c r="D9050" s="2">
        <v>39814</v>
      </c>
      <c r="E9050" s="1" t="s">
        <v>18028</v>
      </c>
      <c r="F9050" s="1" t="s">
        <v>13</v>
      </c>
    </row>
    <row r="9051" spans="1:6" ht="30" customHeight="1" x14ac:dyDescent="0.25">
      <c r="A9051" s="1" t="s">
        <v>18029</v>
      </c>
      <c r="B9051" s="1" t="str">
        <f>"9781608763757"</f>
        <v>9781608763757</v>
      </c>
      <c r="C9051" s="1" t="s">
        <v>17311</v>
      </c>
      <c r="D9051" s="2">
        <v>39845</v>
      </c>
      <c r="E9051" s="1" t="s">
        <v>18030</v>
      </c>
      <c r="F9051" s="1" t="s">
        <v>137</v>
      </c>
    </row>
    <row r="9052" spans="1:6" ht="30" customHeight="1" x14ac:dyDescent="0.25">
      <c r="A9052" s="1" t="s">
        <v>18031</v>
      </c>
      <c r="B9052" s="1" t="str">
        <f>"9781608767717"</f>
        <v>9781608767717</v>
      </c>
      <c r="C9052" s="1" t="s">
        <v>17311</v>
      </c>
      <c r="D9052" s="2">
        <v>39995</v>
      </c>
      <c r="E9052" s="1" t="s">
        <v>18032</v>
      </c>
      <c r="F9052" s="1" t="s">
        <v>16330</v>
      </c>
    </row>
    <row r="9053" spans="1:6" ht="30" customHeight="1" x14ac:dyDescent="0.25">
      <c r="A9053" s="1" t="s">
        <v>18033</v>
      </c>
      <c r="B9053" s="1" t="str">
        <f>"9781608764068"</f>
        <v>9781608764068</v>
      </c>
      <c r="C9053" s="1" t="s">
        <v>17311</v>
      </c>
      <c r="D9053" s="2">
        <v>39873</v>
      </c>
      <c r="E9053" s="1" t="s">
        <v>18034</v>
      </c>
      <c r="F9053" s="1" t="s">
        <v>1349</v>
      </c>
    </row>
    <row r="9054" spans="1:6" ht="30" customHeight="1" x14ac:dyDescent="0.25">
      <c r="A9054" s="1" t="s">
        <v>18035</v>
      </c>
      <c r="B9054" s="1" t="str">
        <f>"9781617612510"</f>
        <v>9781617612510</v>
      </c>
      <c r="C9054" s="1" t="s">
        <v>17311</v>
      </c>
      <c r="D9054" s="2">
        <v>40544</v>
      </c>
      <c r="E9054" s="1" t="s">
        <v>18036</v>
      </c>
      <c r="F9054" s="1" t="s">
        <v>3911</v>
      </c>
    </row>
    <row r="9055" spans="1:6" ht="30" customHeight="1" x14ac:dyDescent="0.25">
      <c r="A9055" s="1" t="s">
        <v>18037</v>
      </c>
      <c r="B9055" s="1" t="str">
        <f>"9781608763276"</f>
        <v>9781608763276</v>
      </c>
      <c r="C9055" s="1" t="s">
        <v>17311</v>
      </c>
      <c r="D9055" s="2">
        <v>39934</v>
      </c>
      <c r="E9055" s="1" t="s">
        <v>18038</v>
      </c>
      <c r="F9055" s="1" t="s">
        <v>13</v>
      </c>
    </row>
    <row r="9056" spans="1:6" ht="30" customHeight="1" x14ac:dyDescent="0.25">
      <c r="A9056" s="1" t="s">
        <v>18039</v>
      </c>
      <c r="B9056" s="1" t="str">
        <f>"9781611222753"</f>
        <v>9781611222753</v>
      </c>
      <c r="C9056" s="1" t="s">
        <v>17311</v>
      </c>
      <c r="D9056" s="2">
        <v>40817</v>
      </c>
      <c r="E9056" s="1" t="s">
        <v>18040</v>
      </c>
      <c r="F9056" s="1" t="s">
        <v>214</v>
      </c>
    </row>
    <row r="9057" spans="1:6" ht="30" customHeight="1" x14ac:dyDescent="0.25">
      <c r="A9057" s="1" t="s">
        <v>18041</v>
      </c>
      <c r="B9057" s="1" t="str">
        <f>"9781608769636"</f>
        <v>9781608769636</v>
      </c>
      <c r="C9057" s="1" t="s">
        <v>17311</v>
      </c>
      <c r="D9057" s="2">
        <v>41773</v>
      </c>
      <c r="E9057" s="1" t="s">
        <v>18042</v>
      </c>
      <c r="F9057" s="1" t="s">
        <v>13</v>
      </c>
    </row>
    <row r="9058" spans="1:6" ht="30" customHeight="1" x14ac:dyDescent="0.25">
      <c r="A9058" s="1" t="s">
        <v>18043</v>
      </c>
      <c r="B9058" s="1" t="str">
        <f>"9781611226713"</f>
        <v>9781611226713</v>
      </c>
      <c r="C9058" s="1" t="s">
        <v>17311</v>
      </c>
      <c r="D9058" s="2">
        <v>40664</v>
      </c>
      <c r="E9058" s="1" t="s">
        <v>18044</v>
      </c>
      <c r="F9058" s="1" t="s">
        <v>13</v>
      </c>
    </row>
    <row r="9059" spans="1:6" ht="30" customHeight="1" x14ac:dyDescent="0.25">
      <c r="A9059" s="1" t="s">
        <v>18045</v>
      </c>
      <c r="B9059" s="1" t="str">
        <f>"9781611220902"</f>
        <v>9781611220902</v>
      </c>
      <c r="C9059" s="1" t="s">
        <v>17311</v>
      </c>
      <c r="D9059" s="2">
        <v>40544</v>
      </c>
      <c r="E9059" s="1" t="s">
        <v>18046</v>
      </c>
      <c r="F9059" s="1" t="s">
        <v>13</v>
      </c>
    </row>
    <row r="9060" spans="1:6" ht="30" customHeight="1" x14ac:dyDescent="0.25">
      <c r="A9060" s="1" t="s">
        <v>18047</v>
      </c>
      <c r="B9060" s="1" t="str">
        <f>"9781611221510"</f>
        <v>9781611221510</v>
      </c>
      <c r="C9060" s="1" t="s">
        <v>17311</v>
      </c>
      <c r="D9060" s="2">
        <v>40575</v>
      </c>
      <c r="E9060" s="1" t="s">
        <v>18048</v>
      </c>
      <c r="F9060" s="1" t="s">
        <v>356</v>
      </c>
    </row>
    <row r="9061" spans="1:6" ht="30" customHeight="1" x14ac:dyDescent="0.25">
      <c r="A9061" s="1" t="s">
        <v>18049</v>
      </c>
      <c r="B9061" s="1" t="str">
        <f>"9781611225686"</f>
        <v>9781611225686</v>
      </c>
      <c r="C9061" s="1" t="s">
        <v>17311</v>
      </c>
      <c r="D9061" s="2">
        <v>40330</v>
      </c>
      <c r="E9061" s="1" t="s">
        <v>18050</v>
      </c>
      <c r="F9061" s="1" t="s">
        <v>13</v>
      </c>
    </row>
    <row r="9062" spans="1:6" ht="30" customHeight="1" x14ac:dyDescent="0.25">
      <c r="A9062" s="1" t="s">
        <v>18051</v>
      </c>
      <c r="B9062" s="1" t="str">
        <f>"9781611223347"</f>
        <v>9781611223347</v>
      </c>
      <c r="C9062" s="1" t="s">
        <v>17311</v>
      </c>
      <c r="D9062" s="2">
        <v>39995</v>
      </c>
      <c r="E9062" s="1" t="s">
        <v>18052</v>
      </c>
      <c r="F9062" s="1" t="s">
        <v>13</v>
      </c>
    </row>
    <row r="9063" spans="1:6" ht="30" customHeight="1" x14ac:dyDescent="0.25">
      <c r="A9063" s="1" t="s">
        <v>18053</v>
      </c>
      <c r="B9063" s="1" t="str">
        <f>"9781611223835"</f>
        <v>9781611223835</v>
      </c>
      <c r="C9063" s="1" t="s">
        <v>17311</v>
      </c>
      <c r="D9063" s="2">
        <v>40544</v>
      </c>
      <c r="E9063" s="1" t="s">
        <v>18054</v>
      </c>
      <c r="F9063" s="1" t="s">
        <v>480</v>
      </c>
    </row>
    <row r="9064" spans="1:6" ht="30" customHeight="1" x14ac:dyDescent="0.25">
      <c r="A9064" s="1" t="s">
        <v>18055</v>
      </c>
      <c r="B9064" s="1" t="str">
        <f>"9781608769629"</f>
        <v>9781608769629</v>
      </c>
      <c r="C9064" s="1" t="s">
        <v>17311</v>
      </c>
      <c r="D9064" s="2">
        <v>40057</v>
      </c>
      <c r="E9064" s="1" t="s">
        <v>18056</v>
      </c>
      <c r="F9064" s="1" t="s">
        <v>33</v>
      </c>
    </row>
    <row r="9065" spans="1:6" ht="30" customHeight="1" x14ac:dyDescent="0.25">
      <c r="A9065" s="1" t="s">
        <v>18057</v>
      </c>
      <c r="B9065" s="1" t="str">
        <f>"9781611221046"</f>
        <v>9781611221046</v>
      </c>
      <c r="C9065" s="1" t="s">
        <v>17311</v>
      </c>
      <c r="D9065" s="2">
        <v>40513</v>
      </c>
      <c r="E9065" s="1" t="s">
        <v>18058</v>
      </c>
      <c r="F9065" s="1" t="s">
        <v>13</v>
      </c>
    </row>
    <row r="9066" spans="1:6" ht="30" customHeight="1" x14ac:dyDescent="0.25">
      <c r="A9066" s="1" t="s">
        <v>18059</v>
      </c>
      <c r="B9066" s="1" t="str">
        <f>"9781611226799"</f>
        <v>9781611226799</v>
      </c>
      <c r="C9066" s="1" t="s">
        <v>17311</v>
      </c>
      <c r="D9066" s="2">
        <v>40634</v>
      </c>
      <c r="E9066" s="1" t="s">
        <v>18060</v>
      </c>
      <c r="F9066" s="1" t="s">
        <v>13</v>
      </c>
    </row>
    <row r="9067" spans="1:6" ht="30" customHeight="1" x14ac:dyDescent="0.25">
      <c r="A9067" s="1" t="s">
        <v>18061</v>
      </c>
      <c r="B9067" s="1" t="str">
        <f>"9781611222142"</f>
        <v>9781611222142</v>
      </c>
      <c r="C9067" s="1" t="s">
        <v>17311</v>
      </c>
      <c r="D9067" s="2">
        <v>40787</v>
      </c>
      <c r="E9067" s="1" t="s">
        <v>18062</v>
      </c>
      <c r="F9067" s="1" t="s">
        <v>95</v>
      </c>
    </row>
    <row r="9068" spans="1:6" ht="30" customHeight="1" x14ac:dyDescent="0.25">
      <c r="A9068" s="1" t="s">
        <v>18063</v>
      </c>
      <c r="B9068" s="1" t="str">
        <f>"9781608768141"</f>
        <v>9781608768141</v>
      </c>
      <c r="C9068" s="1" t="s">
        <v>17311</v>
      </c>
      <c r="D9068" s="2">
        <v>40057</v>
      </c>
      <c r="E9068" s="1" t="s">
        <v>18064</v>
      </c>
      <c r="F9068" s="1" t="s">
        <v>148</v>
      </c>
    </row>
    <row r="9069" spans="1:6" ht="30" customHeight="1" x14ac:dyDescent="0.25">
      <c r="A9069" s="1" t="s">
        <v>18065</v>
      </c>
      <c r="B9069" s="1" t="str">
        <f>"9781611221053"</f>
        <v>9781611221053</v>
      </c>
      <c r="C9069" s="1" t="s">
        <v>17311</v>
      </c>
      <c r="D9069" s="2">
        <v>40513</v>
      </c>
      <c r="E9069" s="1" t="s">
        <v>18066</v>
      </c>
      <c r="F9069" s="1" t="s">
        <v>13</v>
      </c>
    </row>
    <row r="9070" spans="1:6" ht="30" customHeight="1" x14ac:dyDescent="0.25">
      <c r="A9070" s="1" t="s">
        <v>18067</v>
      </c>
      <c r="B9070" s="1" t="str">
        <f>"9781611222579"</f>
        <v>9781611222579</v>
      </c>
      <c r="C9070" s="1" t="s">
        <v>17311</v>
      </c>
      <c r="D9070" s="2">
        <v>40634</v>
      </c>
      <c r="E9070" s="1" t="s">
        <v>18068</v>
      </c>
      <c r="F9070" s="1" t="s">
        <v>13</v>
      </c>
    </row>
    <row r="9071" spans="1:6" ht="30" customHeight="1" x14ac:dyDescent="0.25">
      <c r="A9071" s="1" t="s">
        <v>18069</v>
      </c>
      <c r="B9071" s="1" t="str">
        <f>"9781608769216"</f>
        <v>9781608769216</v>
      </c>
      <c r="C9071" s="1" t="s">
        <v>17311</v>
      </c>
      <c r="D9071" s="2">
        <v>40087</v>
      </c>
      <c r="E9071" s="1" t="s">
        <v>18070</v>
      </c>
      <c r="F9071" s="1" t="s">
        <v>18071</v>
      </c>
    </row>
    <row r="9072" spans="1:6" ht="30" customHeight="1" x14ac:dyDescent="0.25">
      <c r="A9072" s="1" t="s">
        <v>18072</v>
      </c>
      <c r="B9072" s="1" t="str">
        <f>"9781611222692"</f>
        <v>9781611222692</v>
      </c>
      <c r="C9072" s="1" t="s">
        <v>17311</v>
      </c>
      <c r="D9072" s="2">
        <v>41030</v>
      </c>
      <c r="E9072" s="1" t="s">
        <v>18073</v>
      </c>
      <c r="F9072" s="1" t="s">
        <v>13</v>
      </c>
    </row>
    <row r="9073" spans="1:6" ht="30" customHeight="1" x14ac:dyDescent="0.25">
      <c r="A9073" s="1" t="s">
        <v>18074</v>
      </c>
      <c r="B9073" s="1" t="str">
        <f>"9781611225860"</f>
        <v>9781611225860</v>
      </c>
      <c r="C9073" s="1" t="s">
        <v>17311</v>
      </c>
      <c r="D9073" s="2">
        <v>40575</v>
      </c>
      <c r="E9073" s="1" t="s">
        <v>18075</v>
      </c>
      <c r="F9073" s="1" t="s">
        <v>13</v>
      </c>
    </row>
    <row r="9074" spans="1:6" ht="30" customHeight="1" x14ac:dyDescent="0.25">
      <c r="A9074" s="1" t="s">
        <v>18076</v>
      </c>
      <c r="B9074" s="1" t="str">
        <f>"9781611224955"</f>
        <v>9781611224955</v>
      </c>
      <c r="C9074" s="1" t="s">
        <v>17311</v>
      </c>
      <c r="D9074" s="2">
        <v>41773</v>
      </c>
      <c r="E9074" s="1" t="s">
        <v>15733</v>
      </c>
      <c r="F9074" s="1" t="s">
        <v>13</v>
      </c>
    </row>
    <row r="9075" spans="1:6" ht="30" customHeight="1" x14ac:dyDescent="0.25">
      <c r="A9075" s="1" t="s">
        <v>18077</v>
      </c>
      <c r="B9075" s="1" t="str">
        <f>"9781611221121"</f>
        <v>9781611221121</v>
      </c>
      <c r="C9075" s="1" t="s">
        <v>17311</v>
      </c>
      <c r="D9075" s="2">
        <v>40634</v>
      </c>
      <c r="E9075" s="1" t="s">
        <v>18078</v>
      </c>
      <c r="F9075" s="1" t="s">
        <v>13</v>
      </c>
    </row>
    <row r="9076" spans="1:6" ht="30" customHeight="1" x14ac:dyDescent="0.25">
      <c r="A9076" s="1" t="s">
        <v>18079</v>
      </c>
      <c r="B9076" s="1" t="str">
        <f>"9781611227154"</f>
        <v>9781611227154</v>
      </c>
      <c r="C9076" s="1" t="s">
        <v>17311</v>
      </c>
      <c r="D9076" s="2">
        <v>40817</v>
      </c>
      <c r="E9076" s="1" t="s">
        <v>18080</v>
      </c>
      <c r="F9076" s="1" t="s">
        <v>268</v>
      </c>
    </row>
    <row r="9077" spans="1:6" ht="30" customHeight="1" x14ac:dyDescent="0.25">
      <c r="A9077" s="1" t="s">
        <v>18081</v>
      </c>
      <c r="B9077" s="1" t="str">
        <f>"9781611223958"</f>
        <v>9781611223958</v>
      </c>
      <c r="C9077" s="1" t="s">
        <v>17311</v>
      </c>
      <c r="D9077" s="2">
        <v>41773</v>
      </c>
      <c r="E9077" s="1" t="s">
        <v>18082</v>
      </c>
      <c r="F9077" s="1" t="s">
        <v>1372</v>
      </c>
    </row>
    <row r="9078" spans="1:6" ht="30" customHeight="1" x14ac:dyDescent="0.25">
      <c r="A9078" s="1" t="s">
        <v>18083</v>
      </c>
      <c r="B9078" s="1" t="str">
        <f>"9781611221589"</f>
        <v>9781611221589</v>
      </c>
      <c r="C9078" s="1" t="s">
        <v>17311</v>
      </c>
      <c r="D9078" s="2">
        <v>40575</v>
      </c>
      <c r="E9078" s="1" t="s">
        <v>18084</v>
      </c>
      <c r="F9078" s="1" t="s">
        <v>95</v>
      </c>
    </row>
    <row r="9079" spans="1:6" ht="30" customHeight="1" x14ac:dyDescent="0.25">
      <c r="A9079" s="1" t="s">
        <v>18085</v>
      </c>
      <c r="B9079" s="1" t="str">
        <f>"9781611222869"</f>
        <v>9781611222869</v>
      </c>
      <c r="C9079" s="1" t="s">
        <v>17311</v>
      </c>
      <c r="D9079" s="2">
        <v>40634</v>
      </c>
      <c r="E9079" s="1" t="s">
        <v>18086</v>
      </c>
      <c r="F9079" s="1" t="s">
        <v>13</v>
      </c>
    </row>
    <row r="9080" spans="1:6" ht="30" customHeight="1" x14ac:dyDescent="0.25">
      <c r="A9080" s="1" t="s">
        <v>18087</v>
      </c>
      <c r="B9080" s="1" t="str">
        <f>"9781611227109"</f>
        <v>9781611227109</v>
      </c>
      <c r="C9080" s="1" t="s">
        <v>17311</v>
      </c>
      <c r="D9080" s="2">
        <v>40603</v>
      </c>
      <c r="E9080" s="1" t="s">
        <v>18088</v>
      </c>
      <c r="F9080" s="1" t="s">
        <v>13</v>
      </c>
    </row>
    <row r="9081" spans="1:6" ht="30" customHeight="1" x14ac:dyDescent="0.25">
      <c r="A9081" s="1" t="s">
        <v>18089</v>
      </c>
      <c r="B9081" s="1" t="str">
        <f>"9781611226164"</f>
        <v>9781611226164</v>
      </c>
      <c r="C9081" s="1" t="s">
        <v>17311</v>
      </c>
      <c r="D9081" s="2">
        <v>41773</v>
      </c>
      <c r="E9081" s="1" t="s">
        <v>18090</v>
      </c>
      <c r="F9081" s="1" t="s">
        <v>13</v>
      </c>
    </row>
    <row r="9082" spans="1:6" ht="30" customHeight="1" x14ac:dyDescent="0.25">
      <c r="A9082" s="1" t="s">
        <v>18091</v>
      </c>
      <c r="B9082" s="1" t="str">
        <f>"9781611221114"</f>
        <v>9781611221114</v>
      </c>
      <c r="C9082" s="1" t="s">
        <v>17311</v>
      </c>
      <c r="D9082" s="2">
        <v>41773</v>
      </c>
      <c r="E9082" s="1" t="s">
        <v>18092</v>
      </c>
      <c r="F9082" s="1" t="s">
        <v>13</v>
      </c>
    </row>
    <row r="9083" spans="1:6" ht="30" customHeight="1" x14ac:dyDescent="0.25">
      <c r="A9083" s="1" t="s">
        <v>18093</v>
      </c>
      <c r="B9083" s="1" t="str">
        <f>"9781611225372"</f>
        <v>9781611225372</v>
      </c>
      <c r="C9083" s="1" t="s">
        <v>17311</v>
      </c>
      <c r="D9083" s="2">
        <v>40269</v>
      </c>
      <c r="E9083" s="1" t="s">
        <v>18094</v>
      </c>
      <c r="F9083" s="1" t="s">
        <v>1351</v>
      </c>
    </row>
    <row r="9084" spans="1:6" ht="30" customHeight="1" x14ac:dyDescent="0.25">
      <c r="A9084" s="1" t="s">
        <v>18095</v>
      </c>
      <c r="B9084" s="1" t="str">
        <f>"9781617613524"</f>
        <v>9781617613524</v>
      </c>
      <c r="C9084" s="1" t="s">
        <v>17311</v>
      </c>
      <c r="D9084" s="2">
        <v>40452</v>
      </c>
      <c r="E9084" s="1" t="s">
        <v>18096</v>
      </c>
      <c r="F9084" s="1" t="s">
        <v>13</v>
      </c>
    </row>
    <row r="9085" spans="1:6" ht="30" customHeight="1" x14ac:dyDescent="0.25">
      <c r="A9085" s="1" t="s">
        <v>18097</v>
      </c>
      <c r="B9085" s="1" t="str">
        <f>"9781617613555"</f>
        <v>9781617613555</v>
      </c>
      <c r="C9085" s="1" t="s">
        <v>17311</v>
      </c>
      <c r="D9085" s="2">
        <v>40452</v>
      </c>
      <c r="E9085" s="1" t="s">
        <v>18098</v>
      </c>
      <c r="F9085" s="1" t="s">
        <v>3911</v>
      </c>
    </row>
    <row r="9086" spans="1:6" ht="30" customHeight="1" x14ac:dyDescent="0.25">
      <c r="A9086" s="1" t="s">
        <v>18099</v>
      </c>
      <c r="B9086" s="1" t="str">
        <f>"9781611225327"</f>
        <v>9781611225327</v>
      </c>
      <c r="C9086" s="1" t="s">
        <v>17311</v>
      </c>
      <c r="D9086" s="2">
        <v>40118</v>
      </c>
      <c r="E9086" s="1" t="s">
        <v>18100</v>
      </c>
      <c r="F9086" s="1" t="s">
        <v>13</v>
      </c>
    </row>
    <row r="9087" spans="1:6" ht="30" customHeight="1" x14ac:dyDescent="0.25">
      <c r="A9087" s="1" t="s">
        <v>18101</v>
      </c>
      <c r="B9087" s="1" t="str">
        <f>"9781611223323"</f>
        <v>9781611223323</v>
      </c>
      <c r="C9087" s="1" t="s">
        <v>17311</v>
      </c>
      <c r="D9087" s="2">
        <v>40299</v>
      </c>
      <c r="E9087" s="1" t="s">
        <v>18102</v>
      </c>
      <c r="F9087" s="1" t="s">
        <v>13</v>
      </c>
    </row>
    <row r="9088" spans="1:6" ht="30" customHeight="1" x14ac:dyDescent="0.25">
      <c r="A9088" s="1" t="s">
        <v>18103</v>
      </c>
      <c r="B9088" s="1" t="str">
        <f>"9781611224337"</f>
        <v>9781611224337</v>
      </c>
      <c r="C9088" s="1" t="s">
        <v>17311</v>
      </c>
      <c r="D9088" s="2">
        <v>39753</v>
      </c>
      <c r="E9088" s="1" t="s">
        <v>18104</v>
      </c>
      <c r="F9088" s="1" t="s">
        <v>13</v>
      </c>
    </row>
    <row r="9089" spans="1:6" ht="30" customHeight="1" x14ac:dyDescent="0.25">
      <c r="A9089" s="1" t="s">
        <v>18105</v>
      </c>
      <c r="B9089" s="1" t="str">
        <f>"9781612098678"</f>
        <v>9781612098678</v>
      </c>
      <c r="C9089" s="1" t="s">
        <v>17311</v>
      </c>
      <c r="D9089" s="2">
        <v>40148</v>
      </c>
      <c r="E9089" s="1" t="s">
        <v>18106</v>
      </c>
      <c r="F9089" s="1" t="s">
        <v>13</v>
      </c>
    </row>
    <row r="9090" spans="1:6" ht="30" customHeight="1" x14ac:dyDescent="0.25">
      <c r="A9090" s="1" t="s">
        <v>18107</v>
      </c>
      <c r="B9090" s="1" t="str">
        <f>"9781612094175"</f>
        <v>9781612094175</v>
      </c>
      <c r="C9090" s="1" t="s">
        <v>17311</v>
      </c>
      <c r="D9090" s="2">
        <v>40210</v>
      </c>
      <c r="E9090" s="1" t="s">
        <v>18108</v>
      </c>
      <c r="F9090" s="1" t="s">
        <v>1152</v>
      </c>
    </row>
    <row r="9091" spans="1:6" ht="30" customHeight="1" x14ac:dyDescent="0.25">
      <c r="A9091" s="1" t="s">
        <v>18109</v>
      </c>
      <c r="B9091" s="1" t="str">
        <f>"9781612097558"</f>
        <v>9781612097558</v>
      </c>
      <c r="C9091" s="1" t="s">
        <v>17311</v>
      </c>
      <c r="D9091" s="2">
        <v>39965</v>
      </c>
      <c r="E9091" s="1" t="s">
        <v>18110</v>
      </c>
      <c r="F9091" s="1" t="s">
        <v>904</v>
      </c>
    </row>
    <row r="9092" spans="1:6" ht="30" customHeight="1" x14ac:dyDescent="0.25">
      <c r="A9092" s="1" t="s">
        <v>18111</v>
      </c>
      <c r="B9092" s="1" t="str">
        <f>"9781612093680"</f>
        <v>9781612093680</v>
      </c>
      <c r="C9092" s="1" t="s">
        <v>17311</v>
      </c>
      <c r="D9092" s="2">
        <v>40210</v>
      </c>
      <c r="E9092" s="1" t="s">
        <v>18112</v>
      </c>
      <c r="F9092" s="1" t="s">
        <v>137</v>
      </c>
    </row>
    <row r="9093" spans="1:6" ht="30" customHeight="1" x14ac:dyDescent="0.25">
      <c r="A9093" s="1" t="s">
        <v>18113</v>
      </c>
      <c r="B9093" s="1" t="str">
        <f>"9781612098197"</f>
        <v>9781612098197</v>
      </c>
      <c r="C9093" s="1" t="s">
        <v>17311</v>
      </c>
      <c r="D9093" s="2">
        <v>40118</v>
      </c>
      <c r="E9093" s="1" t="s">
        <v>18114</v>
      </c>
      <c r="F9093" s="1" t="s">
        <v>18115</v>
      </c>
    </row>
    <row r="9094" spans="1:6" ht="30" customHeight="1" x14ac:dyDescent="0.25">
      <c r="A9094" s="1" t="s">
        <v>18116</v>
      </c>
      <c r="B9094" s="1" t="str">
        <f>"9781612098685"</f>
        <v>9781612098685</v>
      </c>
      <c r="C9094" s="1" t="s">
        <v>17311</v>
      </c>
      <c r="D9094" s="2">
        <v>40118</v>
      </c>
      <c r="E9094" s="1" t="s">
        <v>18117</v>
      </c>
      <c r="F9094" s="1" t="s">
        <v>13</v>
      </c>
    </row>
    <row r="9095" spans="1:6" ht="30" customHeight="1" x14ac:dyDescent="0.25">
      <c r="A9095" s="1" t="s">
        <v>18118</v>
      </c>
      <c r="B9095" s="1" t="str">
        <f>"9781611229950"</f>
        <v>9781611229950</v>
      </c>
      <c r="C9095" s="1" t="s">
        <v>17311</v>
      </c>
      <c r="D9095" s="2">
        <v>40391</v>
      </c>
      <c r="E9095" s="1" t="s">
        <v>18119</v>
      </c>
      <c r="F9095" s="1" t="s">
        <v>13</v>
      </c>
    </row>
    <row r="9096" spans="1:6" ht="30" customHeight="1" x14ac:dyDescent="0.25">
      <c r="A9096" s="1" t="s">
        <v>18120</v>
      </c>
      <c r="B9096" s="1" t="str">
        <f>"9781612094762"</f>
        <v>9781612094762</v>
      </c>
      <c r="C9096" s="1" t="s">
        <v>17311</v>
      </c>
      <c r="D9096" s="2">
        <v>40634</v>
      </c>
      <c r="E9096" s="1" t="s">
        <v>18121</v>
      </c>
      <c r="F9096" s="1" t="s">
        <v>13</v>
      </c>
    </row>
    <row r="9097" spans="1:6" ht="30" customHeight="1" x14ac:dyDescent="0.25">
      <c r="A9097" s="1" t="s">
        <v>18122</v>
      </c>
      <c r="B9097" s="1" t="str">
        <f>"9781612098722"</f>
        <v>9781612098722</v>
      </c>
      <c r="C9097" s="1" t="s">
        <v>17311</v>
      </c>
      <c r="D9097" s="2">
        <v>40268</v>
      </c>
      <c r="E9097" s="1" t="s">
        <v>18123</v>
      </c>
      <c r="F9097" s="1" t="s">
        <v>13</v>
      </c>
    </row>
    <row r="9098" spans="1:6" ht="30" customHeight="1" x14ac:dyDescent="0.25">
      <c r="A9098" s="1" t="s">
        <v>11666</v>
      </c>
      <c r="B9098" s="1" t="str">
        <f>"9781612093888"</f>
        <v>9781612093888</v>
      </c>
      <c r="C9098" s="1" t="s">
        <v>17311</v>
      </c>
      <c r="D9098" s="2">
        <v>40179</v>
      </c>
      <c r="E9098" s="1" t="s">
        <v>18124</v>
      </c>
      <c r="F9098" s="1" t="s">
        <v>13</v>
      </c>
    </row>
    <row r="9099" spans="1:6" ht="30" customHeight="1" x14ac:dyDescent="0.25">
      <c r="A9099" s="1" t="s">
        <v>18125</v>
      </c>
      <c r="B9099" s="1" t="str">
        <f>"9781612094014"</f>
        <v>9781612094014</v>
      </c>
      <c r="C9099" s="1" t="s">
        <v>17311</v>
      </c>
      <c r="D9099" s="2">
        <v>40057</v>
      </c>
      <c r="E9099" s="1" t="s">
        <v>18126</v>
      </c>
      <c r="F9099" s="1" t="s">
        <v>13</v>
      </c>
    </row>
    <row r="9100" spans="1:6" ht="30" customHeight="1" x14ac:dyDescent="0.25">
      <c r="A9100" s="1" t="s">
        <v>18127</v>
      </c>
      <c r="B9100" s="1" t="str">
        <f>"9781612097664"</f>
        <v>9781612097664</v>
      </c>
      <c r="C9100" s="1" t="s">
        <v>17311</v>
      </c>
      <c r="D9100" s="2">
        <v>39995</v>
      </c>
      <c r="E9100" s="1" t="s">
        <v>18128</v>
      </c>
      <c r="F9100" s="1" t="s">
        <v>13</v>
      </c>
    </row>
    <row r="9101" spans="1:6" ht="30" customHeight="1" x14ac:dyDescent="0.25">
      <c r="A9101" s="1" t="s">
        <v>18129</v>
      </c>
      <c r="B9101" s="1" t="str">
        <f>"9781612094267"</f>
        <v>9781612094267</v>
      </c>
      <c r="C9101" s="1" t="s">
        <v>17311</v>
      </c>
      <c r="D9101" s="2">
        <v>39814</v>
      </c>
      <c r="E9101" s="1" t="s">
        <v>18130</v>
      </c>
      <c r="F9101" s="1" t="s">
        <v>126</v>
      </c>
    </row>
    <row r="9102" spans="1:6" ht="30" customHeight="1" x14ac:dyDescent="0.25">
      <c r="A9102" s="1" t="s">
        <v>18131</v>
      </c>
      <c r="B9102" s="1" t="str">
        <f>"9781612090061"</f>
        <v>9781612090061</v>
      </c>
      <c r="C9102" s="1" t="s">
        <v>17311</v>
      </c>
      <c r="D9102" s="2">
        <v>40878</v>
      </c>
      <c r="E9102" s="1" t="s">
        <v>18132</v>
      </c>
      <c r="F9102" s="1" t="s">
        <v>13</v>
      </c>
    </row>
    <row r="9103" spans="1:6" ht="30" customHeight="1" x14ac:dyDescent="0.25">
      <c r="A9103" s="1" t="s">
        <v>18133</v>
      </c>
      <c r="B9103" s="1" t="str">
        <f>"9781612094021"</f>
        <v>9781612094021</v>
      </c>
      <c r="C9103" s="1" t="s">
        <v>17311</v>
      </c>
      <c r="D9103" s="2">
        <v>40238</v>
      </c>
      <c r="E9103" s="1" t="s">
        <v>18134</v>
      </c>
      <c r="F9103" s="1" t="s">
        <v>95</v>
      </c>
    </row>
    <row r="9104" spans="1:6" ht="30" customHeight="1" x14ac:dyDescent="0.25">
      <c r="A9104" s="1" t="s">
        <v>18135</v>
      </c>
      <c r="B9104" s="1" t="str">
        <f>"9781612092195"</f>
        <v>9781612092195</v>
      </c>
      <c r="C9104" s="1" t="s">
        <v>17311</v>
      </c>
      <c r="D9104" s="2">
        <v>40422</v>
      </c>
      <c r="E9104" s="1" t="s">
        <v>17902</v>
      </c>
      <c r="F9104" s="1" t="s">
        <v>13</v>
      </c>
    </row>
    <row r="9105" spans="1:6" ht="30" customHeight="1" x14ac:dyDescent="0.25">
      <c r="A9105" s="1" t="s">
        <v>18136</v>
      </c>
      <c r="B9105" s="1" t="str">
        <f>"9781612096940"</f>
        <v>9781612096940</v>
      </c>
      <c r="C9105" s="1" t="s">
        <v>17311</v>
      </c>
      <c r="D9105" s="2">
        <v>39845</v>
      </c>
      <c r="E9105" s="1" t="s">
        <v>18137</v>
      </c>
      <c r="F9105" s="1" t="s">
        <v>13</v>
      </c>
    </row>
    <row r="9106" spans="1:6" ht="30" customHeight="1" x14ac:dyDescent="0.25">
      <c r="A9106" s="1" t="s">
        <v>18138</v>
      </c>
      <c r="B9106" s="1" t="str">
        <f>"9781612099026"</f>
        <v>9781612099026</v>
      </c>
      <c r="C9106" s="1" t="s">
        <v>17311</v>
      </c>
      <c r="D9106" s="2">
        <v>40330</v>
      </c>
      <c r="E9106" s="1" t="s">
        <v>18139</v>
      </c>
      <c r="F9106" s="1" t="s">
        <v>13</v>
      </c>
    </row>
    <row r="9107" spans="1:6" ht="30" customHeight="1" x14ac:dyDescent="0.25">
      <c r="A9107" s="1" t="s">
        <v>18140</v>
      </c>
      <c r="B9107" s="1" t="str">
        <f>"9781612098746"</f>
        <v>9781612098746</v>
      </c>
      <c r="C9107" s="1" t="s">
        <v>17311</v>
      </c>
      <c r="D9107" s="2">
        <v>40695</v>
      </c>
      <c r="E9107" s="1" t="s">
        <v>18141</v>
      </c>
      <c r="F9107" s="1" t="s">
        <v>13</v>
      </c>
    </row>
    <row r="9108" spans="1:6" ht="30" customHeight="1" x14ac:dyDescent="0.25">
      <c r="A9108" s="1" t="s">
        <v>18142</v>
      </c>
      <c r="B9108" s="1" t="str">
        <f>"9781612096674"</f>
        <v>9781612096674</v>
      </c>
      <c r="C9108" s="1" t="s">
        <v>17311</v>
      </c>
      <c r="D9108" s="2">
        <v>39965</v>
      </c>
      <c r="E9108" s="1" t="s">
        <v>18143</v>
      </c>
      <c r="F9108" s="1" t="s">
        <v>13</v>
      </c>
    </row>
    <row r="9109" spans="1:6" ht="30" customHeight="1" x14ac:dyDescent="0.25">
      <c r="A9109" s="1" t="s">
        <v>18144</v>
      </c>
      <c r="B9109" s="1" t="str">
        <f>"9781612094304"</f>
        <v>9781612094304</v>
      </c>
      <c r="C9109" s="1" t="s">
        <v>17311</v>
      </c>
      <c r="D9109" s="2">
        <v>40238</v>
      </c>
      <c r="E9109" s="1" t="s">
        <v>18145</v>
      </c>
      <c r="F9109" s="1" t="s">
        <v>158</v>
      </c>
    </row>
    <row r="9110" spans="1:6" ht="30" customHeight="1" x14ac:dyDescent="0.25">
      <c r="A9110" s="1" t="s">
        <v>18146</v>
      </c>
      <c r="B9110" s="1" t="str">
        <f>"9781612098531"</f>
        <v>9781612098531</v>
      </c>
      <c r="C9110" s="1" t="s">
        <v>17311</v>
      </c>
      <c r="D9110" s="2">
        <v>40118</v>
      </c>
      <c r="E9110" s="1" t="s">
        <v>18147</v>
      </c>
      <c r="F9110" s="1" t="s">
        <v>148</v>
      </c>
    </row>
    <row r="9111" spans="1:6" ht="30" customHeight="1" x14ac:dyDescent="0.25">
      <c r="A9111" s="1" t="s">
        <v>18148</v>
      </c>
      <c r="B9111" s="1" t="str">
        <f>"9781612098593"</f>
        <v>9781612098593</v>
      </c>
      <c r="C9111" s="1" t="s">
        <v>17311</v>
      </c>
      <c r="D9111" s="2">
        <v>40148</v>
      </c>
      <c r="E9111" s="1" t="s">
        <v>18149</v>
      </c>
      <c r="F9111" s="1" t="s">
        <v>214</v>
      </c>
    </row>
    <row r="9112" spans="1:6" ht="30" customHeight="1" x14ac:dyDescent="0.25">
      <c r="A9112" s="1" t="s">
        <v>18150</v>
      </c>
      <c r="B9112" s="1" t="str">
        <f>"9781612094069"</f>
        <v>9781612094069</v>
      </c>
      <c r="C9112" s="1" t="s">
        <v>17311</v>
      </c>
      <c r="D9112" s="2">
        <v>40148</v>
      </c>
      <c r="E9112" s="1" t="s">
        <v>18151</v>
      </c>
      <c r="F9112" s="1" t="s">
        <v>13</v>
      </c>
    </row>
    <row r="9113" spans="1:6" ht="30" customHeight="1" x14ac:dyDescent="0.25">
      <c r="A9113" s="1" t="s">
        <v>18152</v>
      </c>
      <c r="B9113" s="1" t="str">
        <f>"9781612094090"</f>
        <v>9781612094090</v>
      </c>
      <c r="C9113" s="1" t="s">
        <v>17311</v>
      </c>
      <c r="D9113" s="2">
        <v>40238</v>
      </c>
      <c r="E9113" s="1" t="s">
        <v>18153</v>
      </c>
      <c r="F9113" s="1" t="s">
        <v>214</v>
      </c>
    </row>
    <row r="9114" spans="1:6" ht="30" customHeight="1" x14ac:dyDescent="0.25">
      <c r="A9114" s="1" t="s">
        <v>18154</v>
      </c>
      <c r="B9114" s="1" t="str">
        <f>"9781612097510"</f>
        <v>9781612097510</v>
      </c>
      <c r="C9114" s="1" t="s">
        <v>17311</v>
      </c>
      <c r="D9114" s="2">
        <v>39995</v>
      </c>
      <c r="E9114" s="1" t="s">
        <v>18155</v>
      </c>
      <c r="F9114" s="1" t="s">
        <v>13</v>
      </c>
    </row>
    <row r="9115" spans="1:6" ht="30" customHeight="1" x14ac:dyDescent="0.25">
      <c r="A9115" s="1" t="s">
        <v>18156</v>
      </c>
      <c r="B9115" s="1" t="str">
        <f>"9781612098067"</f>
        <v>9781612098067</v>
      </c>
      <c r="C9115" s="1" t="s">
        <v>17311</v>
      </c>
      <c r="D9115" s="2">
        <v>40118</v>
      </c>
      <c r="E9115" s="1" t="s">
        <v>18157</v>
      </c>
      <c r="F9115" s="1" t="s">
        <v>13</v>
      </c>
    </row>
    <row r="9116" spans="1:6" ht="30" customHeight="1" x14ac:dyDescent="0.25">
      <c r="A9116" s="1" t="s">
        <v>18158</v>
      </c>
      <c r="B9116" s="1" t="str">
        <f>"9781612094830"</f>
        <v>9781612094830</v>
      </c>
      <c r="C9116" s="1" t="s">
        <v>17311</v>
      </c>
      <c r="D9116" s="2">
        <v>40634</v>
      </c>
      <c r="E9116" s="1" t="s">
        <v>18159</v>
      </c>
      <c r="F9116" s="1" t="s">
        <v>13</v>
      </c>
    </row>
    <row r="9117" spans="1:6" ht="30" customHeight="1" x14ac:dyDescent="0.25">
      <c r="A9117" s="1" t="s">
        <v>18160</v>
      </c>
      <c r="B9117" s="1" t="str">
        <f>"9781612091914"</f>
        <v>9781612091914</v>
      </c>
      <c r="C9117" s="1" t="s">
        <v>17311</v>
      </c>
      <c r="D9117" s="2">
        <v>40807</v>
      </c>
      <c r="E9117" s="1" t="s">
        <v>18161</v>
      </c>
      <c r="F9117" s="1" t="s">
        <v>158</v>
      </c>
    </row>
    <row r="9118" spans="1:6" ht="30" customHeight="1" x14ac:dyDescent="0.25">
      <c r="A9118" s="1" t="s">
        <v>18162</v>
      </c>
      <c r="B9118" s="1" t="str">
        <f>"9781612098555"</f>
        <v>9781612098555</v>
      </c>
      <c r="C9118" s="1" t="s">
        <v>17311</v>
      </c>
      <c r="D9118" s="2">
        <v>40299</v>
      </c>
      <c r="E9118" s="1" t="s">
        <v>18163</v>
      </c>
      <c r="F9118" s="1" t="s">
        <v>13</v>
      </c>
    </row>
    <row r="9119" spans="1:6" ht="30" customHeight="1" x14ac:dyDescent="0.25">
      <c r="A9119" s="1" t="s">
        <v>18164</v>
      </c>
      <c r="B9119" s="1" t="str">
        <f>"9781612094380"</f>
        <v>9781612094380</v>
      </c>
      <c r="C9119" s="1" t="s">
        <v>17311</v>
      </c>
      <c r="D9119" s="2">
        <v>40026</v>
      </c>
      <c r="E9119" s="1" t="s">
        <v>18165</v>
      </c>
      <c r="F9119" s="1" t="s">
        <v>95</v>
      </c>
    </row>
    <row r="9120" spans="1:6" ht="30" customHeight="1" x14ac:dyDescent="0.25">
      <c r="A9120" s="1" t="s">
        <v>18166</v>
      </c>
      <c r="B9120" s="1" t="str">
        <f>"9781612092928"</f>
        <v>9781612092928</v>
      </c>
      <c r="C9120" s="1" t="s">
        <v>17311</v>
      </c>
      <c r="D9120" s="2">
        <v>40422</v>
      </c>
      <c r="E9120" s="1" t="s">
        <v>18167</v>
      </c>
      <c r="F9120" s="1" t="s">
        <v>13</v>
      </c>
    </row>
    <row r="9121" spans="1:6" ht="30" customHeight="1" x14ac:dyDescent="0.25">
      <c r="A9121" s="1" t="s">
        <v>18168</v>
      </c>
      <c r="B9121" s="1" t="str">
        <f>"9781612094816"</f>
        <v>9781612094816</v>
      </c>
      <c r="C9121" s="1" t="s">
        <v>17311</v>
      </c>
      <c r="D9121" s="2">
        <v>40695</v>
      </c>
      <c r="E9121" s="1" t="s">
        <v>18169</v>
      </c>
      <c r="F9121" s="1" t="s">
        <v>13</v>
      </c>
    </row>
    <row r="9122" spans="1:6" ht="30" customHeight="1" x14ac:dyDescent="0.25">
      <c r="A9122" s="1" t="s">
        <v>18170</v>
      </c>
      <c r="B9122" s="1" t="str">
        <f>"9781612098074"</f>
        <v>9781612098074</v>
      </c>
      <c r="C9122" s="1" t="s">
        <v>17311</v>
      </c>
      <c r="D9122" s="2">
        <v>40299</v>
      </c>
      <c r="E9122" s="1" t="s">
        <v>18171</v>
      </c>
      <c r="F9122" s="1" t="s">
        <v>13</v>
      </c>
    </row>
    <row r="9123" spans="1:6" ht="30" customHeight="1" x14ac:dyDescent="0.25">
      <c r="A9123" s="1" t="s">
        <v>18172</v>
      </c>
      <c r="B9123" s="1" t="str">
        <f>"9781612097312"</f>
        <v>9781612097312</v>
      </c>
      <c r="C9123" s="1" t="s">
        <v>17311</v>
      </c>
      <c r="D9123" s="2">
        <v>39934</v>
      </c>
      <c r="E9123" s="1" t="s">
        <v>18173</v>
      </c>
      <c r="F9123" s="1" t="s">
        <v>30</v>
      </c>
    </row>
    <row r="9124" spans="1:6" ht="30" customHeight="1" x14ac:dyDescent="0.25">
      <c r="A9124" s="1" t="s">
        <v>18174</v>
      </c>
      <c r="B9124" s="1" t="str">
        <f>"9781612091983"</f>
        <v>9781612091983</v>
      </c>
      <c r="C9124" s="1" t="s">
        <v>17311</v>
      </c>
      <c r="D9124" s="2">
        <v>41054</v>
      </c>
      <c r="E9124" s="1" t="s">
        <v>18175</v>
      </c>
      <c r="F9124" s="1" t="s">
        <v>13</v>
      </c>
    </row>
    <row r="9125" spans="1:6" ht="30" customHeight="1" x14ac:dyDescent="0.25">
      <c r="A9125" s="1" t="s">
        <v>18176</v>
      </c>
      <c r="B9125" s="1" t="str">
        <f>"9781612094120"</f>
        <v>9781612094120</v>
      </c>
      <c r="C9125" s="1" t="s">
        <v>17311</v>
      </c>
      <c r="D9125" s="2">
        <v>40238</v>
      </c>
      <c r="E9125" s="1" t="s">
        <v>18177</v>
      </c>
      <c r="F9125" s="1" t="s">
        <v>13</v>
      </c>
    </row>
    <row r="9126" spans="1:6" ht="30" customHeight="1" x14ac:dyDescent="0.25">
      <c r="A9126" s="1" t="s">
        <v>18178</v>
      </c>
      <c r="B9126" s="1" t="str">
        <f>"9781612093543"</f>
        <v>9781612093543</v>
      </c>
      <c r="C9126" s="1" t="s">
        <v>17311</v>
      </c>
      <c r="D9126" s="2">
        <v>40238</v>
      </c>
      <c r="E9126" s="1" t="s">
        <v>18179</v>
      </c>
      <c r="F9126" s="1" t="s">
        <v>13</v>
      </c>
    </row>
    <row r="9127" spans="1:6" ht="30" customHeight="1" x14ac:dyDescent="0.25">
      <c r="A9127" s="1" t="s">
        <v>18180</v>
      </c>
      <c r="B9127" s="1" t="str">
        <f>"9781612090191"</f>
        <v>9781612090191</v>
      </c>
      <c r="C9127" s="1" t="s">
        <v>17311</v>
      </c>
      <c r="D9127" s="2">
        <v>40817</v>
      </c>
      <c r="E9127" s="1" t="s">
        <v>18181</v>
      </c>
      <c r="F9127" s="1" t="s">
        <v>13</v>
      </c>
    </row>
    <row r="9128" spans="1:6" ht="30" customHeight="1" x14ac:dyDescent="0.25">
      <c r="A9128" s="1" t="s">
        <v>18182</v>
      </c>
      <c r="B9128" s="1" t="str">
        <f>"9781612097534"</f>
        <v>9781612097534</v>
      </c>
      <c r="C9128" s="1" t="s">
        <v>17311</v>
      </c>
      <c r="D9128" s="2">
        <v>39934</v>
      </c>
      <c r="E9128" s="1" t="s">
        <v>18183</v>
      </c>
      <c r="F9128" s="1" t="s">
        <v>13</v>
      </c>
    </row>
    <row r="9129" spans="1:6" ht="30" customHeight="1" x14ac:dyDescent="0.25">
      <c r="A9129" s="1" t="s">
        <v>18184</v>
      </c>
      <c r="B9129" s="1" t="str">
        <f>"9781612098142"</f>
        <v>9781612098142</v>
      </c>
      <c r="C9129" s="1" t="s">
        <v>17311</v>
      </c>
      <c r="D9129" s="2">
        <v>40360</v>
      </c>
      <c r="E9129" s="1" t="s">
        <v>18185</v>
      </c>
      <c r="F9129" s="1" t="s">
        <v>13</v>
      </c>
    </row>
    <row r="9130" spans="1:6" ht="30" customHeight="1" x14ac:dyDescent="0.25">
      <c r="A9130" s="1" t="s">
        <v>18186</v>
      </c>
      <c r="B9130" s="1" t="str">
        <f>"9781612098173"</f>
        <v>9781612098173</v>
      </c>
      <c r="C9130" s="1" t="s">
        <v>17311</v>
      </c>
      <c r="D9130" s="2">
        <v>40238</v>
      </c>
      <c r="E9130" s="1" t="s">
        <v>18187</v>
      </c>
      <c r="F9130" s="1" t="s">
        <v>13</v>
      </c>
    </row>
    <row r="9131" spans="1:6" ht="30" customHeight="1" x14ac:dyDescent="0.25">
      <c r="A9131" s="1" t="s">
        <v>18188</v>
      </c>
      <c r="B9131" s="1" t="str">
        <f>"9781612091907"</f>
        <v>9781612091907</v>
      </c>
      <c r="C9131" s="1" t="s">
        <v>17311</v>
      </c>
      <c r="D9131" s="2">
        <v>40743</v>
      </c>
      <c r="E9131" s="1" t="s">
        <v>18189</v>
      </c>
      <c r="F9131" s="1" t="s">
        <v>30</v>
      </c>
    </row>
    <row r="9132" spans="1:6" ht="30" customHeight="1" x14ac:dyDescent="0.25">
      <c r="A9132" s="1" t="s">
        <v>18190</v>
      </c>
      <c r="B9132" s="1" t="str">
        <f>"9781612098845"</f>
        <v>9781612098845</v>
      </c>
      <c r="C9132" s="1" t="s">
        <v>17311</v>
      </c>
      <c r="D9132" s="2">
        <v>39995</v>
      </c>
      <c r="E9132" s="1" t="s">
        <v>18191</v>
      </c>
      <c r="F9132" s="1" t="s">
        <v>268</v>
      </c>
    </row>
    <row r="9133" spans="1:6" ht="30" customHeight="1" x14ac:dyDescent="0.25">
      <c r="A9133" s="1" t="s">
        <v>18192</v>
      </c>
      <c r="B9133" s="1" t="str">
        <f>"9781617613784"</f>
        <v>9781617613784</v>
      </c>
      <c r="C9133" s="1" t="s">
        <v>17311</v>
      </c>
      <c r="D9133" s="2">
        <v>40603</v>
      </c>
      <c r="E9133" s="1" t="s">
        <v>18193</v>
      </c>
      <c r="F9133" s="1" t="s">
        <v>13</v>
      </c>
    </row>
    <row r="9134" spans="1:6" ht="30" customHeight="1" x14ac:dyDescent="0.25">
      <c r="A9134" s="1" t="s">
        <v>18194</v>
      </c>
      <c r="B9134" s="1" t="str">
        <f>"9781612090146"</f>
        <v>9781612090146</v>
      </c>
      <c r="C9134" s="1" t="s">
        <v>17311</v>
      </c>
      <c r="D9134" s="2">
        <v>40603</v>
      </c>
      <c r="E9134" s="1" t="s">
        <v>18195</v>
      </c>
      <c r="F9134" s="1" t="s">
        <v>176</v>
      </c>
    </row>
    <row r="9135" spans="1:6" ht="30" customHeight="1" x14ac:dyDescent="0.25">
      <c r="A9135" s="1" t="s">
        <v>18196</v>
      </c>
      <c r="B9135" s="1" t="str">
        <f>"9781612098630"</f>
        <v>9781612098630</v>
      </c>
      <c r="C9135" s="1" t="s">
        <v>17311</v>
      </c>
      <c r="D9135" s="2">
        <v>40238</v>
      </c>
      <c r="E9135" s="1" t="s">
        <v>18197</v>
      </c>
      <c r="F9135" s="1" t="s">
        <v>13</v>
      </c>
    </row>
    <row r="9136" spans="1:6" ht="30" customHeight="1" x14ac:dyDescent="0.25">
      <c r="A9136" s="1" t="s">
        <v>18198</v>
      </c>
      <c r="B9136" s="1" t="str">
        <f>"9781612097381"</f>
        <v>9781612097381</v>
      </c>
      <c r="C9136" s="1" t="s">
        <v>17311</v>
      </c>
      <c r="D9136" s="2">
        <v>39904</v>
      </c>
      <c r="E9136" s="1" t="s">
        <v>18199</v>
      </c>
      <c r="F9136" s="1" t="s">
        <v>30</v>
      </c>
    </row>
    <row r="9137" spans="1:6" ht="30" customHeight="1" x14ac:dyDescent="0.25">
      <c r="A9137" s="1" t="s">
        <v>18164</v>
      </c>
      <c r="B9137" s="1" t="str">
        <f>"9781612093857"</f>
        <v>9781612093857</v>
      </c>
      <c r="C9137" s="1" t="s">
        <v>17311</v>
      </c>
      <c r="D9137" s="2">
        <v>40087</v>
      </c>
      <c r="E9137" s="1" t="s">
        <v>18165</v>
      </c>
      <c r="F9137" s="1" t="s">
        <v>30</v>
      </c>
    </row>
    <row r="9138" spans="1:6" ht="30" customHeight="1" x14ac:dyDescent="0.25">
      <c r="A9138" s="1" t="s">
        <v>18200</v>
      </c>
      <c r="B9138" s="1" t="str">
        <f>"9781613246276"</f>
        <v>9781613246276</v>
      </c>
      <c r="C9138" s="1" t="s">
        <v>17311</v>
      </c>
      <c r="D9138" s="2">
        <v>40360</v>
      </c>
      <c r="E9138" s="1" t="s">
        <v>18201</v>
      </c>
      <c r="F9138" s="1" t="s">
        <v>205</v>
      </c>
    </row>
    <row r="9139" spans="1:6" ht="30" customHeight="1" x14ac:dyDescent="0.25">
      <c r="A9139" s="1" t="s">
        <v>18202</v>
      </c>
      <c r="B9139" s="1" t="str">
        <f>"9781617614576"</f>
        <v>9781617614576</v>
      </c>
      <c r="C9139" s="1" t="s">
        <v>17311</v>
      </c>
      <c r="D9139" s="2">
        <v>40210</v>
      </c>
      <c r="E9139" s="1" t="s">
        <v>18203</v>
      </c>
      <c r="F9139" s="1" t="s">
        <v>13</v>
      </c>
    </row>
    <row r="9140" spans="1:6" ht="30" customHeight="1" x14ac:dyDescent="0.25">
      <c r="A9140" s="1" t="s">
        <v>18204</v>
      </c>
      <c r="B9140" s="1" t="str">
        <f>"9781614700586"</f>
        <v>9781614700586</v>
      </c>
      <c r="C9140" s="1" t="s">
        <v>17311</v>
      </c>
      <c r="D9140" s="2">
        <v>39965</v>
      </c>
      <c r="E9140" s="1" t="s">
        <v>18205</v>
      </c>
      <c r="F9140" s="1" t="s">
        <v>13</v>
      </c>
    </row>
    <row r="9141" spans="1:6" ht="30" customHeight="1" x14ac:dyDescent="0.25">
      <c r="A9141" s="1" t="s">
        <v>18206</v>
      </c>
      <c r="B9141" s="1" t="str">
        <f>"9781617614040"</f>
        <v>9781617614040</v>
      </c>
      <c r="C9141" s="1" t="s">
        <v>17311</v>
      </c>
      <c r="D9141" s="2">
        <v>40544</v>
      </c>
      <c r="E9141" s="1" t="s">
        <v>18207</v>
      </c>
      <c r="F9141" s="1" t="s">
        <v>268</v>
      </c>
    </row>
    <row r="9142" spans="1:6" ht="30" customHeight="1" x14ac:dyDescent="0.25">
      <c r="A9142" s="1" t="s">
        <v>18208</v>
      </c>
      <c r="B9142" s="1" t="str">
        <f>"9781617614279"</f>
        <v>9781617614279</v>
      </c>
      <c r="C9142" s="1" t="s">
        <v>17311</v>
      </c>
      <c r="D9142" s="2">
        <v>40575</v>
      </c>
      <c r="E9142" s="1" t="s">
        <v>18209</v>
      </c>
      <c r="F9142" s="1" t="s">
        <v>13</v>
      </c>
    </row>
    <row r="9143" spans="1:6" ht="30" customHeight="1" x14ac:dyDescent="0.25">
      <c r="A9143" s="1" t="s">
        <v>18210</v>
      </c>
      <c r="B9143" s="1" t="str">
        <f>"9781613240236"</f>
        <v>9781613240236</v>
      </c>
      <c r="C9143" s="1" t="s">
        <v>17311</v>
      </c>
      <c r="D9143" s="2">
        <v>40238</v>
      </c>
      <c r="E9143" s="1" t="s">
        <v>18211</v>
      </c>
      <c r="F9143" s="1" t="s">
        <v>13</v>
      </c>
    </row>
    <row r="9144" spans="1:6" ht="30" customHeight="1" x14ac:dyDescent="0.25">
      <c r="A9144" s="1" t="s">
        <v>18212</v>
      </c>
      <c r="B9144" s="1" t="str">
        <f>"9781613246269"</f>
        <v>9781613246269</v>
      </c>
      <c r="C9144" s="1" t="s">
        <v>17311</v>
      </c>
      <c r="D9144" s="2">
        <v>39965</v>
      </c>
      <c r="E9144" s="1" t="s">
        <v>18213</v>
      </c>
      <c r="F9144" s="1" t="s">
        <v>13</v>
      </c>
    </row>
    <row r="9145" spans="1:6" ht="30" customHeight="1" x14ac:dyDescent="0.25">
      <c r="A9145" s="1" t="s">
        <v>18214</v>
      </c>
      <c r="B9145" s="1" t="str">
        <f>"9781613243411"</f>
        <v>9781613243411</v>
      </c>
      <c r="C9145" s="1" t="s">
        <v>17311</v>
      </c>
      <c r="D9145" s="2">
        <v>40210</v>
      </c>
      <c r="E9145" s="1" t="s">
        <v>18215</v>
      </c>
      <c r="F9145" s="1" t="s">
        <v>137</v>
      </c>
    </row>
    <row r="9146" spans="1:6" ht="30" customHeight="1" x14ac:dyDescent="0.25">
      <c r="A9146" s="1" t="s">
        <v>18216</v>
      </c>
      <c r="B9146" s="1" t="str">
        <f>"9781613248713"</f>
        <v>9781613248713</v>
      </c>
      <c r="C9146" s="1" t="s">
        <v>17311</v>
      </c>
      <c r="D9146" s="2">
        <v>40575</v>
      </c>
      <c r="E9146" s="1" t="s">
        <v>18217</v>
      </c>
      <c r="F9146" s="1" t="s">
        <v>13</v>
      </c>
    </row>
    <row r="9147" spans="1:6" ht="30" customHeight="1" x14ac:dyDescent="0.25">
      <c r="A9147" s="1" t="s">
        <v>18218</v>
      </c>
      <c r="B9147" s="1" t="str">
        <f>"9781613244401"</f>
        <v>9781613244401</v>
      </c>
      <c r="C9147" s="1" t="s">
        <v>17311</v>
      </c>
      <c r="D9147" s="2">
        <v>39995</v>
      </c>
      <c r="E9147" s="1" t="s">
        <v>18219</v>
      </c>
      <c r="F9147" s="1" t="s">
        <v>13</v>
      </c>
    </row>
    <row r="9148" spans="1:6" ht="30" customHeight="1" x14ac:dyDescent="0.25">
      <c r="A9148" s="1" t="s">
        <v>18220</v>
      </c>
      <c r="B9148" s="1" t="str">
        <f>"9781614700975"</f>
        <v>9781614700975</v>
      </c>
      <c r="C9148" s="1" t="s">
        <v>17311</v>
      </c>
      <c r="D9148" s="2">
        <v>39995</v>
      </c>
      <c r="E9148" s="1" t="s">
        <v>18221</v>
      </c>
      <c r="F9148" s="1" t="s">
        <v>1948</v>
      </c>
    </row>
    <row r="9149" spans="1:6" ht="30" customHeight="1" x14ac:dyDescent="0.25">
      <c r="A9149" s="1" t="s">
        <v>18222</v>
      </c>
      <c r="B9149" s="1" t="str">
        <f>"9781614701613"</f>
        <v>9781614701613</v>
      </c>
      <c r="C9149" s="1" t="s">
        <v>17311</v>
      </c>
      <c r="D9149" s="2">
        <v>41030</v>
      </c>
      <c r="E9149" s="1" t="s">
        <v>18223</v>
      </c>
      <c r="F9149" s="1" t="s">
        <v>13</v>
      </c>
    </row>
    <row r="9150" spans="1:6" ht="30" customHeight="1" x14ac:dyDescent="0.25">
      <c r="A9150" s="1" t="s">
        <v>18224</v>
      </c>
      <c r="B9150" s="1" t="str">
        <f>"9781614702429"</f>
        <v>9781614702429</v>
      </c>
      <c r="C9150" s="1" t="s">
        <v>17311</v>
      </c>
      <c r="D9150" s="2">
        <v>40319</v>
      </c>
      <c r="E9150" s="1" t="s">
        <v>18225</v>
      </c>
      <c r="F9150" s="1" t="s">
        <v>148</v>
      </c>
    </row>
    <row r="9151" spans="1:6" ht="30" customHeight="1" x14ac:dyDescent="0.25">
      <c r="A9151" s="1" t="s">
        <v>18226</v>
      </c>
      <c r="B9151" s="1" t="str">
        <f>"9781614703570"</f>
        <v>9781614703570</v>
      </c>
      <c r="C9151" s="1" t="s">
        <v>17311</v>
      </c>
      <c r="D9151" s="2">
        <v>41773</v>
      </c>
      <c r="E9151" s="1" t="s">
        <v>18227</v>
      </c>
      <c r="F9151" s="1" t="s">
        <v>13</v>
      </c>
    </row>
    <row r="9152" spans="1:6" ht="30" customHeight="1" x14ac:dyDescent="0.25">
      <c r="A9152" s="1" t="s">
        <v>18228</v>
      </c>
      <c r="B9152" s="1" t="str">
        <f>"9781614702344"</f>
        <v>9781614702344</v>
      </c>
      <c r="C9152" s="1" t="s">
        <v>17311</v>
      </c>
      <c r="D9152" s="2">
        <v>40330</v>
      </c>
      <c r="E9152" s="1" t="s">
        <v>18229</v>
      </c>
      <c r="F9152" s="1" t="s">
        <v>13</v>
      </c>
    </row>
    <row r="9153" spans="1:6" ht="30" customHeight="1" x14ac:dyDescent="0.25">
      <c r="A9153" s="1" t="s">
        <v>18230</v>
      </c>
      <c r="B9153" s="1" t="str">
        <f>"9781613245262"</f>
        <v>9781613245262</v>
      </c>
      <c r="C9153" s="1" t="s">
        <v>17311</v>
      </c>
      <c r="D9153" s="2">
        <v>40360</v>
      </c>
      <c r="E9153" s="1" t="s">
        <v>18231</v>
      </c>
      <c r="F9153" s="1" t="s">
        <v>95</v>
      </c>
    </row>
    <row r="9154" spans="1:6" ht="30" customHeight="1" x14ac:dyDescent="0.25">
      <c r="A9154" s="1" t="s">
        <v>18232</v>
      </c>
      <c r="B9154" s="1" t="str">
        <f>"9781614702405"</f>
        <v>9781614702405</v>
      </c>
      <c r="C9154" s="1" t="s">
        <v>17311</v>
      </c>
      <c r="D9154" s="2">
        <v>41773</v>
      </c>
      <c r="E9154" s="1" t="s">
        <v>18110</v>
      </c>
      <c r="F9154" s="1" t="s">
        <v>304</v>
      </c>
    </row>
    <row r="9155" spans="1:6" ht="30" customHeight="1" x14ac:dyDescent="0.25">
      <c r="A9155" s="1" t="s">
        <v>18233</v>
      </c>
      <c r="B9155" s="1" t="str">
        <f>"9781613244319"</f>
        <v>9781613244319</v>
      </c>
      <c r="C9155" s="1" t="s">
        <v>17311</v>
      </c>
      <c r="D9155" s="2">
        <v>40179</v>
      </c>
      <c r="E9155" s="1" t="s">
        <v>18234</v>
      </c>
      <c r="F9155" s="1" t="s">
        <v>13</v>
      </c>
    </row>
    <row r="9156" spans="1:6" ht="30" customHeight="1" x14ac:dyDescent="0.25">
      <c r="A9156" s="1" t="s">
        <v>18235</v>
      </c>
      <c r="B9156" s="1" t="str">
        <f>"9781613240328"</f>
        <v>9781613240328</v>
      </c>
      <c r="C9156" s="1" t="s">
        <v>17311</v>
      </c>
      <c r="D9156" s="2">
        <v>40330</v>
      </c>
      <c r="E9156" s="1" t="s">
        <v>18236</v>
      </c>
      <c r="F9156" s="1" t="s">
        <v>13</v>
      </c>
    </row>
    <row r="9157" spans="1:6" ht="30" customHeight="1" x14ac:dyDescent="0.25">
      <c r="A9157" s="1" t="s">
        <v>18237</v>
      </c>
      <c r="B9157" s="1" t="str">
        <f>"9781613243725"</f>
        <v>9781613243725</v>
      </c>
      <c r="C9157" s="1" t="s">
        <v>17311</v>
      </c>
      <c r="D9157" s="2">
        <v>40118</v>
      </c>
      <c r="E9157" s="1" t="s">
        <v>18238</v>
      </c>
      <c r="F9157" s="1" t="s">
        <v>1218</v>
      </c>
    </row>
    <row r="9158" spans="1:6" ht="30" customHeight="1" x14ac:dyDescent="0.25">
      <c r="A9158" s="1" t="s">
        <v>18239</v>
      </c>
      <c r="B9158" s="1" t="str">
        <f>"9781614700654"</f>
        <v>9781614700654</v>
      </c>
      <c r="C9158" s="1" t="s">
        <v>17311</v>
      </c>
      <c r="D9158" s="2">
        <v>41773</v>
      </c>
      <c r="E9158" s="1" t="s">
        <v>18240</v>
      </c>
      <c r="F9158" s="1" t="s">
        <v>13</v>
      </c>
    </row>
    <row r="9159" spans="1:6" ht="30" customHeight="1" x14ac:dyDescent="0.25">
      <c r="A9159" s="1" t="s">
        <v>18241</v>
      </c>
      <c r="B9159" s="1" t="str">
        <f>"9781614702047"</f>
        <v>9781614702047</v>
      </c>
      <c r="C9159" s="1" t="s">
        <v>17311</v>
      </c>
      <c r="D9159" s="2">
        <v>39994</v>
      </c>
      <c r="E9159" s="1" t="s">
        <v>18242</v>
      </c>
      <c r="F9159" s="1" t="s">
        <v>1948</v>
      </c>
    </row>
    <row r="9160" spans="1:6" ht="30" customHeight="1" x14ac:dyDescent="0.25">
      <c r="A9160" s="1" t="s">
        <v>18243</v>
      </c>
      <c r="B9160" s="1" t="str">
        <f>"9781613240397"</f>
        <v>9781613240397</v>
      </c>
      <c r="C9160" s="1" t="s">
        <v>17311</v>
      </c>
      <c r="D9160" s="2">
        <v>41773</v>
      </c>
      <c r="E9160" s="1" t="s">
        <v>18244</v>
      </c>
      <c r="F9160" s="1" t="s">
        <v>95</v>
      </c>
    </row>
    <row r="9161" spans="1:6" ht="30" customHeight="1" x14ac:dyDescent="0.25">
      <c r="A9161" s="1" t="s">
        <v>18245</v>
      </c>
      <c r="B9161" s="1" t="str">
        <f>"9781614702603"</f>
        <v>9781614702603</v>
      </c>
      <c r="C9161" s="1" t="s">
        <v>17311</v>
      </c>
      <c r="D9161" s="2">
        <v>40990</v>
      </c>
      <c r="E9161" s="1" t="s">
        <v>18246</v>
      </c>
      <c r="F9161" s="1" t="s">
        <v>13</v>
      </c>
    </row>
    <row r="9162" spans="1:6" ht="30" customHeight="1" x14ac:dyDescent="0.25">
      <c r="A9162" s="1" t="s">
        <v>18247</v>
      </c>
      <c r="B9162" s="1" t="str">
        <f>"9781613244371"</f>
        <v>9781613244371</v>
      </c>
      <c r="C9162" s="1" t="s">
        <v>17311</v>
      </c>
      <c r="D9162" s="2">
        <v>39934</v>
      </c>
      <c r="E9162" s="1" t="s">
        <v>18248</v>
      </c>
      <c r="F9162" s="1" t="s">
        <v>1372</v>
      </c>
    </row>
    <row r="9163" spans="1:6" ht="30" customHeight="1" x14ac:dyDescent="0.25">
      <c r="A9163" s="1" t="s">
        <v>18249</v>
      </c>
      <c r="B9163" s="1" t="str">
        <f>"9781617614262"</f>
        <v>9781617614262</v>
      </c>
      <c r="C9163" s="1" t="s">
        <v>17311</v>
      </c>
      <c r="D9163" s="2">
        <v>40664</v>
      </c>
      <c r="E9163" s="1" t="s">
        <v>18250</v>
      </c>
      <c r="F9163" s="1" t="s">
        <v>13</v>
      </c>
    </row>
    <row r="9164" spans="1:6" ht="30" customHeight="1" x14ac:dyDescent="0.25">
      <c r="A9164" s="1" t="s">
        <v>18251</v>
      </c>
      <c r="B9164" s="1" t="str">
        <f>"9781613242261"</f>
        <v>9781613242261</v>
      </c>
      <c r="C9164" s="1" t="s">
        <v>17311</v>
      </c>
      <c r="D9164" s="2">
        <v>40269</v>
      </c>
      <c r="E9164" s="1" t="s">
        <v>18252</v>
      </c>
      <c r="F9164" s="1" t="s">
        <v>13</v>
      </c>
    </row>
    <row r="9165" spans="1:6" ht="30" customHeight="1" x14ac:dyDescent="0.25">
      <c r="A9165" s="1" t="s">
        <v>18253</v>
      </c>
      <c r="B9165" s="1" t="str">
        <f>"9781614703488"</f>
        <v>9781614703488</v>
      </c>
      <c r="C9165" s="1" t="s">
        <v>17311</v>
      </c>
      <c r="D9165" s="2">
        <v>39817</v>
      </c>
      <c r="E9165" s="1" t="s">
        <v>18254</v>
      </c>
      <c r="F9165" s="1" t="s">
        <v>214</v>
      </c>
    </row>
    <row r="9166" spans="1:6" ht="30" customHeight="1" x14ac:dyDescent="0.25">
      <c r="A9166" s="1" t="s">
        <v>18255</v>
      </c>
      <c r="B9166" s="1" t="str">
        <f>"9781613244432"</f>
        <v>9781613244432</v>
      </c>
      <c r="C9166" s="1" t="s">
        <v>17311</v>
      </c>
      <c r="D9166" s="2">
        <v>39904</v>
      </c>
      <c r="E9166" s="1" t="s">
        <v>18256</v>
      </c>
      <c r="F9166" s="1" t="s">
        <v>200</v>
      </c>
    </row>
    <row r="9167" spans="1:6" ht="30" customHeight="1" x14ac:dyDescent="0.25">
      <c r="A9167" s="1" t="s">
        <v>18257</v>
      </c>
      <c r="B9167" s="1" t="str">
        <f>"9781614702399"</f>
        <v>9781614702399</v>
      </c>
      <c r="C9167" s="1" t="s">
        <v>17311</v>
      </c>
      <c r="D9167" s="2">
        <v>39927</v>
      </c>
      <c r="E9167" s="1" t="s">
        <v>18258</v>
      </c>
      <c r="F9167" s="1" t="s">
        <v>30</v>
      </c>
    </row>
    <row r="9168" spans="1:6" ht="30" customHeight="1" x14ac:dyDescent="0.25">
      <c r="A9168" s="1" t="s">
        <v>18259</v>
      </c>
      <c r="B9168" s="1" t="str">
        <f>"9781613244586"</f>
        <v>9781613244586</v>
      </c>
      <c r="C9168" s="1" t="s">
        <v>17311</v>
      </c>
      <c r="D9168" s="2">
        <v>40452</v>
      </c>
      <c r="E9168" s="1" t="s">
        <v>18260</v>
      </c>
      <c r="F9168" s="1" t="s">
        <v>13</v>
      </c>
    </row>
    <row r="9169" spans="1:6" ht="30" customHeight="1" x14ac:dyDescent="0.25">
      <c r="A9169" s="1" t="s">
        <v>18261</v>
      </c>
      <c r="B9169" s="1" t="str">
        <f>"9781614700289"</f>
        <v>9781614700289</v>
      </c>
      <c r="C9169" s="1" t="s">
        <v>17311</v>
      </c>
      <c r="D9169" s="2">
        <v>40990</v>
      </c>
      <c r="E9169" s="1" t="s">
        <v>18262</v>
      </c>
      <c r="F9169" s="1" t="s">
        <v>13</v>
      </c>
    </row>
    <row r="9170" spans="1:6" ht="30" customHeight="1" x14ac:dyDescent="0.25">
      <c r="A9170" s="1" t="s">
        <v>18263</v>
      </c>
      <c r="B9170" s="1" t="str">
        <f>"9781614703686"</f>
        <v>9781614703686</v>
      </c>
      <c r="C9170" s="1" t="s">
        <v>17311</v>
      </c>
      <c r="D9170" s="2">
        <v>40269</v>
      </c>
      <c r="E9170" s="1" t="s">
        <v>18264</v>
      </c>
      <c r="F9170" s="1" t="s">
        <v>137</v>
      </c>
    </row>
    <row r="9171" spans="1:6" ht="30" customHeight="1" x14ac:dyDescent="0.25">
      <c r="A9171" s="1" t="s">
        <v>18265</v>
      </c>
      <c r="B9171" s="1" t="str">
        <f>"9781613243336"</f>
        <v>9781613243336</v>
      </c>
      <c r="C9171" s="1" t="s">
        <v>17311</v>
      </c>
      <c r="D9171" s="2">
        <v>40330</v>
      </c>
      <c r="E9171" s="1" t="s">
        <v>18266</v>
      </c>
      <c r="F9171" s="1" t="s">
        <v>13</v>
      </c>
    </row>
    <row r="9172" spans="1:6" ht="30" customHeight="1" x14ac:dyDescent="0.25">
      <c r="A9172" s="1" t="s">
        <v>18267</v>
      </c>
      <c r="B9172" s="1" t="str">
        <f>"9781613244760"</f>
        <v>9781613244760</v>
      </c>
      <c r="C9172" s="1" t="s">
        <v>17311</v>
      </c>
      <c r="D9172" s="2">
        <v>40452</v>
      </c>
      <c r="E9172" s="1" t="s">
        <v>18268</v>
      </c>
      <c r="F9172" s="1" t="s">
        <v>95</v>
      </c>
    </row>
    <row r="9173" spans="1:6" ht="30" customHeight="1" x14ac:dyDescent="0.25">
      <c r="A9173" s="1" t="s">
        <v>18269</v>
      </c>
      <c r="B9173" s="1" t="str">
        <f>"9781614700548"</f>
        <v>9781614700548</v>
      </c>
      <c r="C9173" s="1" t="s">
        <v>17311</v>
      </c>
      <c r="D9173" s="2">
        <v>41773</v>
      </c>
      <c r="E9173" s="1" t="s">
        <v>18270</v>
      </c>
      <c r="F9173" s="1" t="s">
        <v>176</v>
      </c>
    </row>
    <row r="9174" spans="1:6" ht="30" customHeight="1" x14ac:dyDescent="0.25">
      <c r="A9174" s="1" t="s">
        <v>18271</v>
      </c>
      <c r="B9174" s="1" t="str">
        <f>"9781614701903"</f>
        <v>9781614701903</v>
      </c>
      <c r="C9174" s="1" t="s">
        <v>17311</v>
      </c>
      <c r="D9174" s="2">
        <v>39904</v>
      </c>
      <c r="E9174" s="1" t="s">
        <v>18272</v>
      </c>
      <c r="F9174" s="1" t="s">
        <v>13</v>
      </c>
    </row>
    <row r="9175" spans="1:6" ht="30" customHeight="1" x14ac:dyDescent="0.25">
      <c r="A9175" s="1" t="s">
        <v>18273</v>
      </c>
      <c r="B9175" s="1" t="str">
        <f>"9781617614002"</f>
        <v>9781617614002</v>
      </c>
      <c r="C9175" s="1" t="s">
        <v>17311</v>
      </c>
      <c r="D9175" s="2">
        <v>40575</v>
      </c>
      <c r="E9175" s="1" t="s">
        <v>18151</v>
      </c>
      <c r="F9175" s="1" t="s">
        <v>13</v>
      </c>
    </row>
    <row r="9176" spans="1:6" ht="30" customHeight="1" x14ac:dyDescent="0.25">
      <c r="A9176" s="1" t="s">
        <v>18274</v>
      </c>
      <c r="B9176" s="1" t="str">
        <f>"9781613247396"</f>
        <v>9781613247396</v>
      </c>
      <c r="C9176" s="1" t="s">
        <v>17311</v>
      </c>
      <c r="D9176" s="2">
        <v>40634</v>
      </c>
      <c r="E9176" s="1" t="s">
        <v>18275</v>
      </c>
      <c r="F9176" s="1" t="s">
        <v>54</v>
      </c>
    </row>
    <row r="9177" spans="1:6" ht="30" customHeight="1" x14ac:dyDescent="0.25">
      <c r="A9177" s="1" t="s">
        <v>18276</v>
      </c>
      <c r="B9177" s="1" t="str">
        <f>"9781614703723"</f>
        <v>9781614703723</v>
      </c>
      <c r="C9177" s="1" t="s">
        <v>17311</v>
      </c>
      <c r="D9177" s="2">
        <v>39904</v>
      </c>
      <c r="E9177" s="1" t="s">
        <v>18277</v>
      </c>
      <c r="F9177" s="1" t="s">
        <v>13</v>
      </c>
    </row>
    <row r="9178" spans="1:6" ht="30" customHeight="1" x14ac:dyDescent="0.25">
      <c r="A9178" s="1" t="s">
        <v>18278</v>
      </c>
      <c r="B9178" s="1" t="str">
        <f>"9781614704300"</f>
        <v>9781614704300</v>
      </c>
      <c r="C9178" s="1" t="s">
        <v>17311</v>
      </c>
      <c r="D9178" s="2">
        <v>40990</v>
      </c>
      <c r="E9178" s="1" t="s">
        <v>18279</v>
      </c>
      <c r="F9178" s="1" t="s">
        <v>268</v>
      </c>
    </row>
    <row r="9179" spans="1:6" ht="30" customHeight="1" x14ac:dyDescent="0.25">
      <c r="A9179" s="1" t="s">
        <v>18280</v>
      </c>
      <c r="B9179" s="1" t="str">
        <f>"9781613249840"</f>
        <v>9781613249840</v>
      </c>
      <c r="C9179" s="1" t="s">
        <v>17311</v>
      </c>
      <c r="D9179" s="2">
        <v>40035</v>
      </c>
      <c r="E9179" s="1" t="s">
        <v>18281</v>
      </c>
      <c r="F9179" s="1" t="s">
        <v>6795</v>
      </c>
    </row>
    <row r="9180" spans="1:6" ht="30" customHeight="1" x14ac:dyDescent="0.25">
      <c r="A9180" s="1" t="s">
        <v>18282</v>
      </c>
      <c r="B9180" s="1" t="str">
        <f>"9781613240267"</f>
        <v>9781613240267</v>
      </c>
      <c r="C9180" s="1" t="s">
        <v>17311</v>
      </c>
      <c r="D9180" s="2">
        <v>40118</v>
      </c>
      <c r="E9180" s="1" t="s">
        <v>18283</v>
      </c>
      <c r="F9180" s="1" t="s">
        <v>158</v>
      </c>
    </row>
    <row r="9181" spans="1:6" ht="30" customHeight="1" x14ac:dyDescent="0.25">
      <c r="A9181" s="1" t="s">
        <v>18284</v>
      </c>
      <c r="B9181" s="1" t="str">
        <f>"9781613247501"</f>
        <v>9781613247501</v>
      </c>
      <c r="C9181" s="1" t="s">
        <v>17311</v>
      </c>
      <c r="D9181" s="2">
        <v>40634</v>
      </c>
      <c r="E9181" s="1" t="s">
        <v>18285</v>
      </c>
      <c r="F9181" s="1" t="s">
        <v>13</v>
      </c>
    </row>
    <row r="9182" spans="1:6" ht="30" customHeight="1" x14ac:dyDescent="0.25">
      <c r="A9182" s="1" t="s">
        <v>18286</v>
      </c>
      <c r="B9182" s="1" t="str">
        <f>"9781614701255"</f>
        <v>9781614701255</v>
      </c>
      <c r="C9182" s="1" t="s">
        <v>17311</v>
      </c>
      <c r="D9182" s="2">
        <v>40170</v>
      </c>
      <c r="E9182" s="1" t="s">
        <v>18287</v>
      </c>
      <c r="F9182" s="1" t="s">
        <v>13</v>
      </c>
    </row>
    <row r="9183" spans="1:6" ht="30" customHeight="1" x14ac:dyDescent="0.25">
      <c r="A9183" s="1" t="s">
        <v>18288</v>
      </c>
      <c r="B9183" s="1" t="str">
        <f>"9781613244746"</f>
        <v>9781613244746</v>
      </c>
      <c r="C9183" s="1" t="s">
        <v>17311</v>
      </c>
      <c r="D9183" s="2">
        <v>40118</v>
      </c>
      <c r="E9183" s="1" t="s">
        <v>18289</v>
      </c>
      <c r="F9183" s="1" t="s">
        <v>13</v>
      </c>
    </row>
    <row r="9184" spans="1:6" ht="30" customHeight="1" x14ac:dyDescent="0.25">
      <c r="A9184" s="1" t="s">
        <v>18290</v>
      </c>
      <c r="B9184" s="1" t="str">
        <f>"9781614701521"</f>
        <v>9781614701521</v>
      </c>
      <c r="C9184" s="1" t="s">
        <v>17311</v>
      </c>
      <c r="D9184" s="2">
        <v>40878</v>
      </c>
      <c r="E9184" s="1" t="s">
        <v>18291</v>
      </c>
      <c r="F9184" s="1" t="s">
        <v>13</v>
      </c>
    </row>
    <row r="9185" spans="1:6" ht="30" customHeight="1" x14ac:dyDescent="0.25">
      <c r="A9185" s="1" t="s">
        <v>18292</v>
      </c>
      <c r="B9185" s="1" t="str">
        <f>"9781614702337"</f>
        <v>9781614702337</v>
      </c>
      <c r="C9185" s="1" t="s">
        <v>17311</v>
      </c>
      <c r="D9185" s="2">
        <v>40238</v>
      </c>
      <c r="E9185" s="1" t="s">
        <v>18293</v>
      </c>
      <c r="F9185" s="1" t="s">
        <v>148</v>
      </c>
    </row>
    <row r="9186" spans="1:6" ht="30" customHeight="1" x14ac:dyDescent="0.25">
      <c r="A9186" s="1" t="s">
        <v>18294</v>
      </c>
      <c r="B9186" s="1" t="str">
        <f>"9781614703709"</f>
        <v>9781614703709</v>
      </c>
      <c r="C9186" s="1" t="s">
        <v>17311</v>
      </c>
      <c r="D9186" s="2">
        <v>41773</v>
      </c>
      <c r="E9186" s="1" t="s">
        <v>18295</v>
      </c>
      <c r="F9186" s="1" t="s">
        <v>13</v>
      </c>
    </row>
    <row r="9187" spans="1:6" ht="30" customHeight="1" x14ac:dyDescent="0.25">
      <c r="A9187" s="1" t="s">
        <v>18296</v>
      </c>
      <c r="B9187" s="1" t="str">
        <f>"9781613244661"</f>
        <v>9781613244661</v>
      </c>
      <c r="C9187" s="1" t="s">
        <v>17311</v>
      </c>
      <c r="D9187" s="2">
        <v>40452</v>
      </c>
      <c r="E9187" s="1" t="s">
        <v>18297</v>
      </c>
      <c r="F9187" s="1" t="s">
        <v>13</v>
      </c>
    </row>
    <row r="9188" spans="1:6" ht="30" customHeight="1" x14ac:dyDescent="0.25">
      <c r="A9188" s="1" t="s">
        <v>18298</v>
      </c>
      <c r="B9188" s="1" t="str">
        <f>"9781613245033"</f>
        <v>9781613245033</v>
      </c>
      <c r="C9188" s="1" t="s">
        <v>17311</v>
      </c>
      <c r="D9188" s="2">
        <v>40087</v>
      </c>
      <c r="E9188" s="1" t="s">
        <v>18299</v>
      </c>
      <c r="F9188" s="1" t="s">
        <v>30</v>
      </c>
    </row>
    <row r="9189" spans="1:6" ht="30" customHeight="1" x14ac:dyDescent="0.25">
      <c r="A9189" s="1" t="s">
        <v>15736</v>
      </c>
      <c r="B9189" s="1" t="str">
        <f>"9781613248010"</f>
        <v>9781613248010</v>
      </c>
      <c r="C9189" s="1" t="s">
        <v>17311</v>
      </c>
      <c r="D9189" s="2">
        <v>40969</v>
      </c>
      <c r="E9189" s="1" t="s">
        <v>18300</v>
      </c>
      <c r="F9189" s="1" t="s">
        <v>13</v>
      </c>
    </row>
    <row r="9190" spans="1:6" ht="30" customHeight="1" x14ac:dyDescent="0.25">
      <c r="A9190" s="1" t="s">
        <v>18301</v>
      </c>
      <c r="B9190" s="1" t="str">
        <f>"9781613244722"</f>
        <v>9781613244722</v>
      </c>
      <c r="C9190" s="1" t="s">
        <v>17311</v>
      </c>
      <c r="D9190" s="2">
        <v>40269</v>
      </c>
      <c r="E9190" s="1" t="s">
        <v>18302</v>
      </c>
      <c r="F9190" s="1" t="s">
        <v>137</v>
      </c>
    </row>
    <row r="9191" spans="1:6" ht="30" customHeight="1" x14ac:dyDescent="0.25">
      <c r="A9191" s="1" t="s">
        <v>18303</v>
      </c>
      <c r="B9191" s="1" t="str">
        <f>"9781613245538"</f>
        <v>9781613245538</v>
      </c>
      <c r="C9191" s="1" t="s">
        <v>17311</v>
      </c>
      <c r="D9191" s="2">
        <v>40238</v>
      </c>
      <c r="E9191" s="1" t="s">
        <v>17931</v>
      </c>
      <c r="F9191" s="1" t="s">
        <v>95</v>
      </c>
    </row>
    <row r="9192" spans="1:6" ht="30" customHeight="1" x14ac:dyDescent="0.25">
      <c r="A9192" s="1" t="s">
        <v>18304</v>
      </c>
      <c r="B9192" s="1" t="str">
        <f>"9781613242612"</f>
        <v>9781613242612</v>
      </c>
      <c r="C9192" s="1" t="s">
        <v>17311</v>
      </c>
      <c r="D9192" s="2">
        <v>40179</v>
      </c>
      <c r="E9192" s="1" t="s">
        <v>18305</v>
      </c>
      <c r="F9192" s="1" t="s">
        <v>963</v>
      </c>
    </row>
    <row r="9193" spans="1:6" ht="30" customHeight="1" x14ac:dyDescent="0.25">
      <c r="A9193" s="1" t="s">
        <v>18306</v>
      </c>
      <c r="B9193" s="1" t="str">
        <f>"9781614703600"</f>
        <v>9781614703600</v>
      </c>
      <c r="C9193" s="1" t="s">
        <v>17311</v>
      </c>
      <c r="D9193" s="2">
        <v>40262</v>
      </c>
      <c r="E9193" s="1" t="s">
        <v>18307</v>
      </c>
      <c r="F9193" s="1" t="s">
        <v>13</v>
      </c>
    </row>
    <row r="9194" spans="1:6" ht="30" customHeight="1" x14ac:dyDescent="0.25">
      <c r="A9194" s="1" t="s">
        <v>18308</v>
      </c>
      <c r="B9194" s="1" t="str">
        <f>"9781613249802"</f>
        <v>9781613249802</v>
      </c>
      <c r="C9194" s="1" t="s">
        <v>17311</v>
      </c>
      <c r="D9194" s="2">
        <v>40360</v>
      </c>
      <c r="E9194" s="1" t="s">
        <v>18309</v>
      </c>
      <c r="F9194" s="1" t="s">
        <v>13</v>
      </c>
    </row>
    <row r="9195" spans="1:6" ht="30" customHeight="1" x14ac:dyDescent="0.25">
      <c r="A9195" s="1" t="s">
        <v>18310</v>
      </c>
      <c r="B9195" s="1" t="str">
        <f>"9781617614484"</f>
        <v>9781617614484</v>
      </c>
      <c r="C9195" s="1" t="s">
        <v>17311</v>
      </c>
      <c r="D9195" s="2">
        <v>40238</v>
      </c>
      <c r="E9195" s="1" t="s">
        <v>18311</v>
      </c>
      <c r="F9195" s="1" t="s">
        <v>13</v>
      </c>
    </row>
    <row r="9196" spans="1:6" ht="30" customHeight="1" x14ac:dyDescent="0.25">
      <c r="A9196" s="1" t="s">
        <v>18312</v>
      </c>
      <c r="B9196" s="1" t="str">
        <f>"9781614702382"</f>
        <v>9781614702382</v>
      </c>
      <c r="C9196" s="1" t="s">
        <v>17311</v>
      </c>
      <c r="D9196" s="2">
        <v>40360</v>
      </c>
      <c r="E9196" s="1" t="s">
        <v>18313</v>
      </c>
      <c r="F9196" s="1" t="s">
        <v>95</v>
      </c>
    </row>
    <row r="9197" spans="1:6" ht="30" customHeight="1" x14ac:dyDescent="0.25">
      <c r="A9197" s="1" t="s">
        <v>18314</v>
      </c>
      <c r="B9197" s="1" t="str">
        <f>"9781614700272"</f>
        <v>9781614700272</v>
      </c>
      <c r="C9197" s="1" t="s">
        <v>17311</v>
      </c>
      <c r="D9197" s="2">
        <v>40909</v>
      </c>
      <c r="E9197" s="1" t="s">
        <v>18315</v>
      </c>
      <c r="F9197" s="1" t="s">
        <v>13</v>
      </c>
    </row>
    <row r="9198" spans="1:6" ht="30" customHeight="1" x14ac:dyDescent="0.25">
      <c r="A9198" s="1" t="s">
        <v>18316</v>
      </c>
      <c r="B9198" s="1" t="str">
        <f>"9781613240861"</f>
        <v>9781613240861</v>
      </c>
      <c r="C9198" s="1" t="s">
        <v>17311</v>
      </c>
      <c r="D9198" s="2">
        <v>39873</v>
      </c>
      <c r="E9198" s="1" t="s">
        <v>18317</v>
      </c>
      <c r="F9198" s="1" t="s">
        <v>214</v>
      </c>
    </row>
    <row r="9199" spans="1:6" ht="30" customHeight="1" x14ac:dyDescent="0.25">
      <c r="A9199" s="1" t="s">
        <v>18318</v>
      </c>
      <c r="B9199" s="1" t="str">
        <f>"9781613247556"</f>
        <v>9781613247556</v>
      </c>
      <c r="C9199" s="1" t="s">
        <v>17311</v>
      </c>
      <c r="D9199" s="2">
        <v>40634</v>
      </c>
      <c r="E9199" s="1" t="s">
        <v>18319</v>
      </c>
      <c r="F9199" s="1" t="s">
        <v>13</v>
      </c>
    </row>
    <row r="9200" spans="1:6" ht="30" customHeight="1" x14ac:dyDescent="0.25">
      <c r="A9200" s="1" t="s">
        <v>18320</v>
      </c>
      <c r="B9200" s="1" t="str">
        <f>"9781613247983"</f>
        <v>9781613247983</v>
      </c>
      <c r="C9200" s="1" t="s">
        <v>17311</v>
      </c>
      <c r="D9200" s="2">
        <v>41000</v>
      </c>
      <c r="E9200" s="1" t="s">
        <v>18321</v>
      </c>
      <c r="F9200" s="1" t="s">
        <v>13</v>
      </c>
    </row>
    <row r="9201" spans="1:6" ht="30" customHeight="1" x14ac:dyDescent="0.25">
      <c r="A9201" s="1" t="s">
        <v>18322</v>
      </c>
      <c r="B9201" s="1" t="str">
        <f>"9781613249437"</f>
        <v>9781613249437</v>
      </c>
      <c r="C9201" s="1" t="s">
        <v>17311</v>
      </c>
      <c r="D9201" s="2">
        <v>40452</v>
      </c>
      <c r="E9201" s="1" t="s">
        <v>18323</v>
      </c>
      <c r="F9201" s="1" t="s">
        <v>13</v>
      </c>
    </row>
    <row r="9202" spans="1:6" ht="30" customHeight="1" x14ac:dyDescent="0.25">
      <c r="A9202" s="1" t="s">
        <v>18324</v>
      </c>
      <c r="B9202" s="1" t="str">
        <f>"9781613240991"</f>
        <v>9781613240991</v>
      </c>
      <c r="C9202" s="1" t="s">
        <v>17311</v>
      </c>
      <c r="D9202" s="2">
        <v>39904</v>
      </c>
      <c r="E9202" s="1" t="s">
        <v>18325</v>
      </c>
      <c r="F9202" s="1" t="s">
        <v>13</v>
      </c>
    </row>
    <row r="9203" spans="1:6" ht="30" customHeight="1" x14ac:dyDescent="0.25">
      <c r="A9203" s="1" t="s">
        <v>18326</v>
      </c>
      <c r="B9203" s="1" t="str">
        <f>"9781613245644"</f>
        <v>9781613245644</v>
      </c>
      <c r="C9203" s="1" t="s">
        <v>17311</v>
      </c>
      <c r="D9203" s="2">
        <v>40179</v>
      </c>
      <c r="E9203" s="1" t="s">
        <v>18327</v>
      </c>
      <c r="F9203" s="1" t="s">
        <v>13</v>
      </c>
    </row>
    <row r="9204" spans="1:6" ht="30" customHeight="1" x14ac:dyDescent="0.25">
      <c r="A9204" s="1" t="s">
        <v>18328</v>
      </c>
      <c r="B9204" s="1" t="str">
        <f>"9781614703082"</f>
        <v>9781614703082</v>
      </c>
      <c r="C9204" s="1" t="s">
        <v>17311</v>
      </c>
      <c r="D9204" s="2">
        <v>39946</v>
      </c>
      <c r="E9204" s="1" t="s">
        <v>18329</v>
      </c>
      <c r="F9204" s="1" t="s">
        <v>13</v>
      </c>
    </row>
    <row r="9205" spans="1:6" ht="30" customHeight="1" x14ac:dyDescent="0.25">
      <c r="A9205" s="1" t="s">
        <v>18330</v>
      </c>
      <c r="B9205" s="1" t="str">
        <f>"9781613241783"</f>
        <v>9781613241783</v>
      </c>
      <c r="C9205" s="1" t="s">
        <v>17311</v>
      </c>
      <c r="D9205" s="2">
        <v>41773</v>
      </c>
      <c r="E9205" s="1" t="s">
        <v>18331</v>
      </c>
      <c r="F9205" s="1" t="s">
        <v>13</v>
      </c>
    </row>
    <row r="9206" spans="1:6" ht="30" customHeight="1" x14ac:dyDescent="0.25">
      <c r="A9206" s="1" t="s">
        <v>18332</v>
      </c>
      <c r="B9206" s="1" t="str">
        <f>"9781613244609"</f>
        <v>9781613244609</v>
      </c>
      <c r="C9206" s="1" t="s">
        <v>17311</v>
      </c>
      <c r="D9206" s="2">
        <v>40391</v>
      </c>
      <c r="E9206" s="1" t="s">
        <v>18333</v>
      </c>
      <c r="F9206" s="1" t="s">
        <v>304</v>
      </c>
    </row>
    <row r="9207" spans="1:6" ht="30" customHeight="1" x14ac:dyDescent="0.25">
      <c r="A9207" s="1" t="s">
        <v>18334</v>
      </c>
      <c r="B9207" s="1" t="str">
        <f>"9781613241110"</f>
        <v>9781613241110</v>
      </c>
      <c r="C9207" s="1" t="s">
        <v>17311</v>
      </c>
      <c r="D9207" s="2">
        <v>39904</v>
      </c>
      <c r="E9207" s="1" t="s">
        <v>18335</v>
      </c>
      <c r="F9207" s="1" t="s">
        <v>95</v>
      </c>
    </row>
    <row r="9208" spans="1:6" ht="30" customHeight="1" x14ac:dyDescent="0.25">
      <c r="A9208" s="1" t="s">
        <v>18336</v>
      </c>
      <c r="B9208" s="1" t="str">
        <f>"9781613244395"</f>
        <v>9781613244395</v>
      </c>
      <c r="C9208" s="1" t="s">
        <v>17311</v>
      </c>
      <c r="D9208" s="2">
        <v>40210</v>
      </c>
      <c r="E9208" s="1" t="s">
        <v>18337</v>
      </c>
      <c r="F9208" s="1" t="s">
        <v>13</v>
      </c>
    </row>
    <row r="9209" spans="1:6" ht="30" customHeight="1" x14ac:dyDescent="0.25">
      <c r="A9209" s="1" t="s">
        <v>18338</v>
      </c>
      <c r="B9209" s="1" t="str">
        <f>"9781613241127"</f>
        <v>9781613241127</v>
      </c>
      <c r="C9209" s="1" t="s">
        <v>17311</v>
      </c>
      <c r="D9209" s="2">
        <v>39934</v>
      </c>
      <c r="E9209" s="1" t="s">
        <v>18234</v>
      </c>
      <c r="F9209" s="1" t="s">
        <v>176</v>
      </c>
    </row>
    <row r="9210" spans="1:6" ht="30" customHeight="1" x14ac:dyDescent="0.25">
      <c r="A9210" s="1" t="s">
        <v>18339</v>
      </c>
      <c r="B9210" s="1" t="str">
        <f>"9781617281938"</f>
        <v>9781617281938</v>
      </c>
      <c r="C9210" s="1" t="s">
        <v>17311</v>
      </c>
      <c r="D9210" s="2">
        <v>39965</v>
      </c>
      <c r="E9210" s="1" t="s">
        <v>18340</v>
      </c>
      <c r="F9210" s="1" t="s">
        <v>268</v>
      </c>
    </row>
    <row r="9211" spans="1:6" ht="30" customHeight="1" x14ac:dyDescent="0.25">
      <c r="A9211" s="1" t="s">
        <v>18341</v>
      </c>
      <c r="B9211" s="1" t="str">
        <f>"9781616684785"</f>
        <v>9781616684785</v>
      </c>
      <c r="C9211" s="1" t="s">
        <v>17311</v>
      </c>
      <c r="D9211" s="2">
        <v>40422</v>
      </c>
      <c r="E9211" s="1" t="s">
        <v>18342</v>
      </c>
      <c r="F9211" s="1" t="s">
        <v>137</v>
      </c>
    </row>
    <row r="9212" spans="1:6" ht="30" customHeight="1" x14ac:dyDescent="0.25">
      <c r="A9212" s="1" t="s">
        <v>18343</v>
      </c>
      <c r="B9212" s="1" t="str">
        <f>"9781616688530"</f>
        <v>9781616688530</v>
      </c>
      <c r="C9212" s="1" t="s">
        <v>17311</v>
      </c>
      <c r="D9212" s="2">
        <v>40176</v>
      </c>
      <c r="E9212" s="1" t="s">
        <v>18344</v>
      </c>
      <c r="F9212" s="1" t="s">
        <v>30</v>
      </c>
    </row>
    <row r="9213" spans="1:6" ht="30" customHeight="1" x14ac:dyDescent="0.25">
      <c r="A9213" s="1" t="s">
        <v>18345</v>
      </c>
      <c r="B9213" s="1" t="str">
        <f>"9781617615207"</f>
        <v>9781617615207</v>
      </c>
      <c r="C9213" s="1" t="s">
        <v>17311</v>
      </c>
      <c r="D9213" s="2">
        <v>40513</v>
      </c>
      <c r="E9213" s="1" t="s">
        <v>18346</v>
      </c>
      <c r="F9213" s="1" t="s">
        <v>1351</v>
      </c>
    </row>
    <row r="9214" spans="1:6" ht="30" customHeight="1" x14ac:dyDescent="0.25">
      <c r="A9214" s="1" t="s">
        <v>18347</v>
      </c>
      <c r="B9214" s="1" t="str">
        <f>"9781617283611"</f>
        <v>9781617283611</v>
      </c>
      <c r="C9214" s="1" t="s">
        <v>17311</v>
      </c>
      <c r="D9214" s="2">
        <v>40087</v>
      </c>
      <c r="E9214" s="1" t="s">
        <v>18348</v>
      </c>
      <c r="F9214" s="1" t="s">
        <v>13</v>
      </c>
    </row>
    <row r="9215" spans="1:6" ht="30" customHeight="1" x14ac:dyDescent="0.25">
      <c r="A9215" s="1" t="s">
        <v>18349</v>
      </c>
      <c r="B9215" s="1" t="str">
        <f>"9781616687984"</f>
        <v>9781616687984</v>
      </c>
      <c r="C9215" s="1" t="s">
        <v>17311</v>
      </c>
      <c r="D9215" s="2">
        <v>40483</v>
      </c>
      <c r="E9215" s="1" t="s">
        <v>18350</v>
      </c>
      <c r="F9215" s="1" t="s">
        <v>13</v>
      </c>
    </row>
    <row r="9216" spans="1:6" ht="30" customHeight="1" x14ac:dyDescent="0.25">
      <c r="A9216" s="1" t="s">
        <v>18351</v>
      </c>
      <c r="B9216" s="1" t="str">
        <f>"9781617281488"</f>
        <v>9781617281488</v>
      </c>
      <c r="C9216" s="1" t="s">
        <v>17311</v>
      </c>
      <c r="D9216" s="2">
        <v>40087</v>
      </c>
      <c r="E9216" s="1" t="s">
        <v>18352</v>
      </c>
      <c r="F9216" s="1" t="s">
        <v>13</v>
      </c>
    </row>
    <row r="9217" spans="1:6" ht="30" customHeight="1" x14ac:dyDescent="0.25">
      <c r="A9217" s="1" t="s">
        <v>18353</v>
      </c>
      <c r="B9217" s="1" t="str">
        <f>"9781616688028"</f>
        <v>9781616688028</v>
      </c>
      <c r="C9217" s="1" t="s">
        <v>17311</v>
      </c>
      <c r="D9217" s="2">
        <v>40238</v>
      </c>
      <c r="E9217" s="1" t="s">
        <v>18354</v>
      </c>
      <c r="F9217" s="1" t="s">
        <v>13</v>
      </c>
    </row>
    <row r="9218" spans="1:6" ht="30" customHeight="1" x14ac:dyDescent="0.25">
      <c r="A9218" s="1" t="s">
        <v>18355</v>
      </c>
      <c r="B9218" s="1" t="str">
        <f>"9781617283161"</f>
        <v>9781617283161</v>
      </c>
      <c r="C9218" s="1" t="s">
        <v>17311</v>
      </c>
      <c r="D9218" s="2">
        <v>40513</v>
      </c>
      <c r="E9218" s="1" t="s">
        <v>18356</v>
      </c>
      <c r="F9218" s="1" t="s">
        <v>13</v>
      </c>
    </row>
    <row r="9219" spans="1:6" ht="30" customHeight="1" x14ac:dyDescent="0.25">
      <c r="A9219" s="1" t="s">
        <v>18357</v>
      </c>
      <c r="B9219" s="1" t="str">
        <f>"9781617281709"</f>
        <v>9781617281709</v>
      </c>
      <c r="C9219" s="1" t="s">
        <v>17311</v>
      </c>
      <c r="D9219" s="2">
        <v>40179</v>
      </c>
      <c r="E9219" s="1" t="s">
        <v>18358</v>
      </c>
      <c r="F9219" s="1" t="s">
        <v>87</v>
      </c>
    </row>
    <row r="9220" spans="1:6" ht="30" customHeight="1" x14ac:dyDescent="0.25">
      <c r="A9220" s="1" t="s">
        <v>18359</v>
      </c>
      <c r="B9220" s="1" t="str">
        <f>"9781616686659"</f>
        <v>9781616686659</v>
      </c>
      <c r="C9220" s="1" t="s">
        <v>17311</v>
      </c>
      <c r="D9220" s="2">
        <v>40098</v>
      </c>
      <c r="E9220" s="1" t="s">
        <v>18360</v>
      </c>
      <c r="F9220" s="1" t="s">
        <v>13</v>
      </c>
    </row>
    <row r="9221" spans="1:6" ht="30" customHeight="1" x14ac:dyDescent="0.25">
      <c r="A9221" s="1" t="s">
        <v>18361</v>
      </c>
      <c r="B9221" s="1" t="str">
        <f>"9781616685805"</f>
        <v>9781616685805</v>
      </c>
      <c r="C9221" s="1" t="s">
        <v>17311</v>
      </c>
      <c r="D9221" s="2">
        <v>39630</v>
      </c>
      <c r="E9221" s="1" t="s">
        <v>18362</v>
      </c>
      <c r="F9221" s="1" t="s">
        <v>1948</v>
      </c>
    </row>
    <row r="9222" spans="1:6" ht="30" customHeight="1" x14ac:dyDescent="0.25">
      <c r="A9222" s="1" t="s">
        <v>18363</v>
      </c>
      <c r="B9222" s="1" t="str">
        <f>"9781616686116"</f>
        <v>9781616686116</v>
      </c>
      <c r="C9222" s="1" t="s">
        <v>17311</v>
      </c>
      <c r="D9222" s="2">
        <v>40330</v>
      </c>
      <c r="E9222" s="1" t="s">
        <v>18364</v>
      </c>
      <c r="F9222" s="1" t="s">
        <v>13</v>
      </c>
    </row>
    <row r="9223" spans="1:6" ht="30" customHeight="1" x14ac:dyDescent="0.25">
      <c r="A9223" s="1" t="s">
        <v>18365</v>
      </c>
      <c r="B9223" s="1" t="str">
        <f>"9781617281822"</f>
        <v>9781617281822</v>
      </c>
      <c r="C9223" s="1" t="s">
        <v>17311</v>
      </c>
      <c r="D9223" s="2">
        <v>41773</v>
      </c>
      <c r="E9223" s="1" t="s">
        <v>18366</v>
      </c>
      <c r="F9223" s="1" t="s">
        <v>13</v>
      </c>
    </row>
    <row r="9224" spans="1:6" ht="30" customHeight="1" x14ac:dyDescent="0.25">
      <c r="A9224" s="1" t="s">
        <v>18367</v>
      </c>
      <c r="B9224" s="1" t="str">
        <f>"9781617283659"</f>
        <v>9781617283659</v>
      </c>
      <c r="C9224" s="1" t="s">
        <v>17311</v>
      </c>
      <c r="D9224" s="2">
        <v>39934</v>
      </c>
      <c r="E9224" s="1" t="s">
        <v>18368</v>
      </c>
      <c r="F9224" s="1" t="s">
        <v>13</v>
      </c>
    </row>
    <row r="9225" spans="1:6" ht="30" customHeight="1" x14ac:dyDescent="0.25">
      <c r="A9225" s="1" t="s">
        <v>18369</v>
      </c>
      <c r="B9225" s="1" t="str">
        <f>"9781617280733"</f>
        <v>9781617280733</v>
      </c>
      <c r="C9225" s="1" t="s">
        <v>17311</v>
      </c>
      <c r="D9225" s="2">
        <v>40238</v>
      </c>
      <c r="E9225" s="1" t="s">
        <v>18370</v>
      </c>
      <c r="F9225" s="1" t="s">
        <v>13</v>
      </c>
    </row>
    <row r="9226" spans="1:6" ht="30" customHeight="1" x14ac:dyDescent="0.25">
      <c r="A9226" s="1" t="s">
        <v>18371</v>
      </c>
      <c r="B9226" s="1" t="str">
        <f>"9781617282539"</f>
        <v>9781617282539</v>
      </c>
      <c r="C9226" s="1" t="s">
        <v>17311</v>
      </c>
      <c r="D9226" s="2">
        <v>40322</v>
      </c>
      <c r="E9226" s="1" t="s">
        <v>18372</v>
      </c>
      <c r="F9226" s="1" t="s">
        <v>13</v>
      </c>
    </row>
    <row r="9227" spans="1:6" ht="30" customHeight="1" x14ac:dyDescent="0.25">
      <c r="A9227" s="1" t="s">
        <v>18373</v>
      </c>
      <c r="B9227" s="1" t="str">
        <f>"9781617281341"</f>
        <v>9781617281341</v>
      </c>
      <c r="C9227" s="1" t="s">
        <v>17311</v>
      </c>
      <c r="D9227" s="2">
        <v>40057</v>
      </c>
      <c r="E9227" s="1" t="s">
        <v>18374</v>
      </c>
      <c r="F9227" s="1" t="s">
        <v>2185</v>
      </c>
    </row>
    <row r="9228" spans="1:6" ht="30" customHeight="1" x14ac:dyDescent="0.25">
      <c r="A9228" s="1" t="s">
        <v>18375</v>
      </c>
      <c r="B9228" s="1" t="str">
        <f>"9781616685140"</f>
        <v>9781616685140</v>
      </c>
      <c r="C9228" s="1" t="s">
        <v>17311</v>
      </c>
      <c r="D9228" s="2">
        <v>40575</v>
      </c>
      <c r="E9228" s="1" t="s">
        <v>18376</v>
      </c>
      <c r="F9228" s="1" t="s">
        <v>158</v>
      </c>
    </row>
    <row r="9229" spans="1:6" ht="30" customHeight="1" x14ac:dyDescent="0.25">
      <c r="A9229" s="1" t="s">
        <v>18377</v>
      </c>
      <c r="B9229" s="1" t="str">
        <f>"9781617281372"</f>
        <v>9781617281372</v>
      </c>
      <c r="C9229" s="1" t="s">
        <v>17311</v>
      </c>
      <c r="D9229" s="2">
        <v>39904</v>
      </c>
      <c r="E9229" s="1" t="s">
        <v>18378</v>
      </c>
      <c r="F9229" s="1" t="s">
        <v>17963</v>
      </c>
    </row>
    <row r="9230" spans="1:6" ht="30" customHeight="1" x14ac:dyDescent="0.25">
      <c r="A9230" s="1" t="s">
        <v>18379</v>
      </c>
      <c r="B9230" s="1" t="str">
        <f>"9781616686994"</f>
        <v>9781616686994</v>
      </c>
      <c r="C9230" s="1" t="s">
        <v>17311</v>
      </c>
      <c r="D9230" s="2">
        <v>40360</v>
      </c>
      <c r="E9230" s="1" t="s">
        <v>18380</v>
      </c>
      <c r="F9230" s="1" t="s">
        <v>13</v>
      </c>
    </row>
    <row r="9231" spans="1:6" ht="30" customHeight="1" x14ac:dyDescent="0.25">
      <c r="A9231" s="1" t="s">
        <v>18381</v>
      </c>
      <c r="B9231" s="1" t="str">
        <f>"9781616688882"</f>
        <v>9781616688882</v>
      </c>
      <c r="C9231" s="1" t="s">
        <v>17311</v>
      </c>
      <c r="D9231" s="2">
        <v>40360</v>
      </c>
      <c r="E9231" s="1" t="s">
        <v>18382</v>
      </c>
      <c r="F9231" s="1" t="s">
        <v>13</v>
      </c>
    </row>
    <row r="9232" spans="1:6" ht="30" customHeight="1" x14ac:dyDescent="0.25">
      <c r="A9232" s="1" t="s">
        <v>18383</v>
      </c>
      <c r="B9232" s="1" t="str">
        <f>"9781616687977"</f>
        <v>9781616687977</v>
      </c>
      <c r="C9232" s="1" t="s">
        <v>17311</v>
      </c>
      <c r="D9232" s="2">
        <v>40360</v>
      </c>
      <c r="E9232" s="1" t="s">
        <v>18384</v>
      </c>
      <c r="F9232" s="1" t="s">
        <v>13</v>
      </c>
    </row>
    <row r="9233" spans="1:6" ht="30" customHeight="1" x14ac:dyDescent="0.25">
      <c r="A9233" s="1" t="s">
        <v>18385</v>
      </c>
      <c r="B9233" s="1" t="str">
        <f>"9781617282386"</f>
        <v>9781617282386</v>
      </c>
      <c r="C9233" s="1" t="s">
        <v>17311</v>
      </c>
      <c r="D9233" s="2">
        <v>40422</v>
      </c>
      <c r="E9233" s="1" t="s">
        <v>18386</v>
      </c>
      <c r="F9233" s="1" t="s">
        <v>650</v>
      </c>
    </row>
    <row r="9234" spans="1:6" ht="30" customHeight="1" x14ac:dyDescent="0.25">
      <c r="A9234" s="1" t="s">
        <v>18387</v>
      </c>
      <c r="B9234" s="1" t="str">
        <f>"9781617283666"</f>
        <v>9781617283666</v>
      </c>
      <c r="C9234" s="1" t="s">
        <v>17311</v>
      </c>
      <c r="D9234" s="2">
        <v>39904</v>
      </c>
      <c r="E9234" s="1" t="s">
        <v>18388</v>
      </c>
      <c r="F9234" s="1" t="s">
        <v>13</v>
      </c>
    </row>
    <row r="9235" spans="1:6" ht="30" customHeight="1" x14ac:dyDescent="0.25">
      <c r="A9235" s="1" t="s">
        <v>18389</v>
      </c>
      <c r="B9235" s="1" t="str">
        <f>"9781616687229"</f>
        <v>9781616687229</v>
      </c>
      <c r="C9235" s="1" t="s">
        <v>17311</v>
      </c>
      <c r="D9235" s="2">
        <v>40299</v>
      </c>
      <c r="E9235" s="1" t="s">
        <v>18390</v>
      </c>
      <c r="F9235" s="1" t="s">
        <v>13</v>
      </c>
    </row>
    <row r="9236" spans="1:6" ht="30" customHeight="1" x14ac:dyDescent="0.25">
      <c r="A9236" s="1" t="s">
        <v>18391</v>
      </c>
      <c r="B9236" s="1" t="str">
        <f>"9781616686987"</f>
        <v>9781616686987</v>
      </c>
      <c r="C9236" s="1" t="s">
        <v>17311</v>
      </c>
      <c r="D9236" s="2">
        <v>40238</v>
      </c>
      <c r="E9236" s="1" t="s">
        <v>18392</v>
      </c>
      <c r="F9236" s="1" t="s">
        <v>650</v>
      </c>
    </row>
    <row r="9237" spans="1:6" ht="30" customHeight="1" x14ac:dyDescent="0.25">
      <c r="A9237" s="1" t="s">
        <v>18393</v>
      </c>
      <c r="B9237" s="1" t="str">
        <f>"9781616686024"</f>
        <v>9781616686024</v>
      </c>
      <c r="C9237" s="1" t="s">
        <v>17311</v>
      </c>
      <c r="D9237" s="2">
        <v>40330</v>
      </c>
      <c r="E9237" s="1" t="s">
        <v>18394</v>
      </c>
      <c r="F9237" s="1" t="s">
        <v>33</v>
      </c>
    </row>
    <row r="9238" spans="1:6" ht="30" customHeight="1" x14ac:dyDescent="0.25">
      <c r="A9238" s="1" t="s">
        <v>18395</v>
      </c>
      <c r="B9238" s="1" t="str">
        <f>"9781617616105"</f>
        <v>9781617616105</v>
      </c>
      <c r="C9238" s="1" t="s">
        <v>17311</v>
      </c>
      <c r="D9238" s="2">
        <v>40584</v>
      </c>
      <c r="E9238" s="1" t="s">
        <v>18396</v>
      </c>
      <c r="F9238" s="1" t="s">
        <v>13</v>
      </c>
    </row>
    <row r="9239" spans="1:6" ht="30" customHeight="1" x14ac:dyDescent="0.25">
      <c r="A9239" s="1" t="s">
        <v>18397</v>
      </c>
      <c r="B9239" s="1" t="str">
        <f>"9781617281839"</f>
        <v>9781617281839</v>
      </c>
      <c r="C9239" s="1" t="s">
        <v>17311</v>
      </c>
      <c r="D9239" s="2">
        <v>40087</v>
      </c>
      <c r="E9239" s="1" t="s">
        <v>18398</v>
      </c>
      <c r="F9239" s="1" t="s">
        <v>13</v>
      </c>
    </row>
    <row r="9240" spans="1:6" ht="30" customHeight="1" x14ac:dyDescent="0.25">
      <c r="A9240" s="1" t="s">
        <v>18399</v>
      </c>
      <c r="B9240" s="1" t="str">
        <f>"9781616685782"</f>
        <v>9781616685782</v>
      </c>
      <c r="C9240" s="1" t="s">
        <v>17311</v>
      </c>
      <c r="D9240" s="2">
        <v>39630</v>
      </c>
      <c r="E9240" s="1" t="s">
        <v>18400</v>
      </c>
      <c r="F9240" s="1" t="s">
        <v>349</v>
      </c>
    </row>
    <row r="9241" spans="1:6" ht="30" customHeight="1" x14ac:dyDescent="0.25">
      <c r="A9241" s="1" t="s">
        <v>18401</v>
      </c>
      <c r="B9241" s="1" t="str">
        <f>"9781617281389"</f>
        <v>9781617281389</v>
      </c>
      <c r="C9241" s="1" t="s">
        <v>17311</v>
      </c>
      <c r="D9241" s="2">
        <v>40087</v>
      </c>
      <c r="E9241" s="1" t="s">
        <v>18402</v>
      </c>
      <c r="F9241" s="1" t="s">
        <v>480</v>
      </c>
    </row>
    <row r="9242" spans="1:6" ht="30" customHeight="1" x14ac:dyDescent="0.25">
      <c r="A9242" s="1" t="s">
        <v>18403</v>
      </c>
      <c r="B9242" s="1" t="str">
        <f>"9781617280863"</f>
        <v>9781617280863</v>
      </c>
      <c r="C9242" s="1" t="s">
        <v>17311</v>
      </c>
      <c r="D9242" s="2">
        <v>40544</v>
      </c>
      <c r="E9242" s="1" t="s">
        <v>18404</v>
      </c>
      <c r="F9242" s="1" t="s">
        <v>356</v>
      </c>
    </row>
    <row r="9243" spans="1:6" ht="30" customHeight="1" x14ac:dyDescent="0.25">
      <c r="A9243" s="1" t="s">
        <v>18405</v>
      </c>
      <c r="B9243" s="1" t="str">
        <f>"9781616685737"</f>
        <v>9781616685737</v>
      </c>
      <c r="C9243" s="1" t="s">
        <v>17311</v>
      </c>
      <c r="D9243" s="2">
        <v>39995</v>
      </c>
      <c r="E9243" s="1" t="s">
        <v>18406</v>
      </c>
      <c r="F9243" s="1" t="s">
        <v>13</v>
      </c>
    </row>
    <row r="9244" spans="1:6" ht="30" customHeight="1" x14ac:dyDescent="0.25">
      <c r="A9244" s="1" t="s">
        <v>18407</v>
      </c>
      <c r="B9244" s="1" t="str">
        <f>"9781616688936"</f>
        <v>9781616688936</v>
      </c>
      <c r="C9244" s="1" t="s">
        <v>17311</v>
      </c>
      <c r="D9244" s="2">
        <v>40452</v>
      </c>
      <c r="E9244" s="1" t="s">
        <v>18408</v>
      </c>
      <c r="F9244" s="1" t="s">
        <v>137</v>
      </c>
    </row>
    <row r="9245" spans="1:6" ht="30" customHeight="1" x14ac:dyDescent="0.25">
      <c r="A9245" s="1" t="s">
        <v>18409</v>
      </c>
      <c r="B9245" s="1" t="str">
        <f>"9781616688240"</f>
        <v>9781616688240</v>
      </c>
      <c r="C9245" s="1" t="s">
        <v>17311</v>
      </c>
      <c r="D9245" s="2">
        <v>40360</v>
      </c>
      <c r="E9245" s="1" t="s">
        <v>18410</v>
      </c>
      <c r="F9245" s="1" t="s">
        <v>13</v>
      </c>
    </row>
    <row r="9246" spans="1:6" ht="30" customHeight="1" x14ac:dyDescent="0.25">
      <c r="A9246" s="1" t="s">
        <v>18411</v>
      </c>
      <c r="B9246" s="1" t="str">
        <f>"9781617281464"</f>
        <v>9781617281464</v>
      </c>
      <c r="C9246" s="1" t="s">
        <v>17311</v>
      </c>
      <c r="D9246" s="2">
        <v>39873</v>
      </c>
      <c r="E9246" s="1" t="s">
        <v>18412</v>
      </c>
      <c r="F9246" s="1" t="s">
        <v>13</v>
      </c>
    </row>
    <row r="9247" spans="1:6" ht="30" customHeight="1" x14ac:dyDescent="0.25">
      <c r="A9247" s="1" t="s">
        <v>18413</v>
      </c>
      <c r="B9247" s="1" t="str">
        <f>"9781616687991"</f>
        <v>9781616687991</v>
      </c>
      <c r="C9247" s="1" t="s">
        <v>17311</v>
      </c>
      <c r="D9247" s="2">
        <v>40179</v>
      </c>
      <c r="E9247" s="1" t="s">
        <v>18414</v>
      </c>
      <c r="F9247" s="1" t="s">
        <v>359</v>
      </c>
    </row>
    <row r="9248" spans="1:6" ht="30" customHeight="1" x14ac:dyDescent="0.25">
      <c r="A9248" s="1" t="s">
        <v>18415</v>
      </c>
      <c r="B9248" s="1" t="str">
        <f>"9781616684983"</f>
        <v>9781616684983</v>
      </c>
      <c r="C9248" s="1" t="s">
        <v>17311</v>
      </c>
      <c r="D9248" s="2">
        <v>40269</v>
      </c>
      <c r="E9248" s="1" t="s">
        <v>18416</v>
      </c>
      <c r="F9248" s="1" t="s">
        <v>13</v>
      </c>
    </row>
    <row r="9249" spans="1:6" ht="30" customHeight="1" x14ac:dyDescent="0.25">
      <c r="A9249" s="1" t="s">
        <v>18417</v>
      </c>
      <c r="B9249" s="1" t="str">
        <f>"9781616687397"</f>
        <v>9781616687397</v>
      </c>
      <c r="C9249" s="1" t="s">
        <v>17311</v>
      </c>
      <c r="D9249" s="2">
        <v>40269</v>
      </c>
      <c r="E9249" s="1" t="s">
        <v>18418</v>
      </c>
      <c r="F9249" s="1" t="s">
        <v>95</v>
      </c>
    </row>
    <row r="9250" spans="1:6" ht="30" customHeight="1" x14ac:dyDescent="0.25">
      <c r="A9250" s="1" t="s">
        <v>18419</v>
      </c>
      <c r="B9250" s="1" t="str">
        <f>"9781616684747"</f>
        <v>9781616684747</v>
      </c>
      <c r="C9250" s="1" t="s">
        <v>17311</v>
      </c>
      <c r="D9250" s="2">
        <v>40210</v>
      </c>
      <c r="E9250" s="1" t="s">
        <v>18420</v>
      </c>
      <c r="F9250" s="1" t="s">
        <v>70</v>
      </c>
    </row>
    <row r="9251" spans="1:6" ht="30" customHeight="1" x14ac:dyDescent="0.25">
      <c r="A9251" s="1" t="s">
        <v>18421</v>
      </c>
      <c r="B9251" s="1" t="str">
        <f>"9781616687212"</f>
        <v>9781616687212</v>
      </c>
      <c r="C9251" s="1" t="s">
        <v>17311</v>
      </c>
      <c r="D9251" s="2">
        <v>40330</v>
      </c>
      <c r="E9251" s="1" t="s">
        <v>18422</v>
      </c>
      <c r="F9251" s="1" t="s">
        <v>158</v>
      </c>
    </row>
    <row r="9252" spans="1:6" ht="30" customHeight="1" x14ac:dyDescent="0.25">
      <c r="A9252" s="1" t="s">
        <v>18423</v>
      </c>
      <c r="B9252" s="1" t="str">
        <f>"9781616684938"</f>
        <v>9781616684938</v>
      </c>
      <c r="C9252" s="1" t="s">
        <v>17311</v>
      </c>
      <c r="D9252" s="2">
        <v>40269</v>
      </c>
      <c r="E9252" s="1" t="s">
        <v>18424</v>
      </c>
      <c r="F9252" s="1" t="s">
        <v>200</v>
      </c>
    </row>
    <row r="9253" spans="1:6" ht="30" customHeight="1" x14ac:dyDescent="0.25">
      <c r="A9253" s="1" t="s">
        <v>18425</v>
      </c>
      <c r="B9253" s="1" t="str">
        <f>"9781616688011"</f>
        <v>9781616688011</v>
      </c>
      <c r="C9253" s="1" t="s">
        <v>17311</v>
      </c>
      <c r="D9253" s="2">
        <v>40452</v>
      </c>
      <c r="E9253" s="1" t="s">
        <v>18426</v>
      </c>
      <c r="F9253" s="1" t="s">
        <v>13</v>
      </c>
    </row>
    <row r="9254" spans="1:6" ht="30" customHeight="1" x14ac:dyDescent="0.25">
      <c r="A9254" s="1" t="s">
        <v>18427</v>
      </c>
      <c r="B9254" s="1" t="str">
        <f>"9781616688929"</f>
        <v>9781616688929</v>
      </c>
      <c r="C9254" s="1" t="s">
        <v>17311</v>
      </c>
      <c r="D9254" s="2">
        <v>40360</v>
      </c>
      <c r="E9254" s="1" t="s">
        <v>18428</v>
      </c>
      <c r="F9254" s="1" t="s">
        <v>268</v>
      </c>
    </row>
    <row r="9255" spans="1:6" ht="30" customHeight="1" x14ac:dyDescent="0.25">
      <c r="A9255" s="1" t="s">
        <v>18429</v>
      </c>
      <c r="B9255" s="1" t="str">
        <f>"9781617281235"</f>
        <v>9781617281235</v>
      </c>
      <c r="C9255" s="1" t="s">
        <v>17311</v>
      </c>
      <c r="D9255" s="2">
        <v>39904</v>
      </c>
      <c r="E9255" s="1" t="s">
        <v>18430</v>
      </c>
      <c r="F9255" s="1" t="s">
        <v>13</v>
      </c>
    </row>
    <row r="9256" spans="1:6" ht="30" customHeight="1" x14ac:dyDescent="0.25">
      <c r="A9256" s="1" t="s">
        <v>18431</v>
      </c>
      <c r="B9256" s="1" t="str">
        <f>"9781616685331"</f>
        <v>9781616685331</v>
      </c>
      <c r="C9256" s="1" t="s">
        <v>17311</v>
      </c>
      <c r="D9256" s="2">
        <v>40330</v>
      </c>
      <c r="E9256" s="1" t="s">
        <v>18432</v>
      </c>
      <c r="F9256" s="1" t="s">
        <v>127</v>
      </c>
    </row>
    <row r="9257" spans="1:6" ht="30" customHeight="1" x14ac:dyDescent="0.25">
      <c r="A9257" s="1" t="s">
        <v>18433</v>
      </c>
      <c r="B9257" s="1" t="str">
        <f>"9781616687137"</f>
        <v>9781616687137</v>
      </c>
      <c r="C9257" s="1" t="s">
        <v>17311</v>
      </c>
      <c r="D9257" s="2">
        <v>40277</v>
      </c>
      <c r="E9257" s="1" t="s">
        <v>18434</v>
      </c>
      <c r="F9257" s="1" t="s">
        <v>13</v>
      </c>
    </row>
    <row r="9258" spans="1:6" ht="30" customHeight="1" x14ac:dyDescent="0.25">
      <c r="A9258" s="1" t="s">
        <v>18435</v>
      </c>
      <c r="B9258" s="1" t="str">
        <f>"9781614705185"</f>
        <v>9781614705185</v>
      </c>
      <c r="C9258" s="1" t="s">
        <v>17311</v>
      </c>
      <c r="D9258" s="2">
        <v>40980</v>
      </c>
      <c r="E9258" s="1" t="s">
        <v>18436</v>
      </c>
      <c r="F9258" s="1" t="s">
        <v>18437</v>
      </c>
    </row>
    <row r="9259" spans="1:6" ht="30" customHeight="1" x14ac:dyDescent="0.25">
      <c r="A9259" s="1" t="s">
        <v>18438</v>
      </c>
      <c r="B9259" s="1" t="str">
        <f>"9781616684709"</f>
        <v>9781616684709</v>
      </c>
      <c r="C9259" s="1" t="s">
        <v>17311</v>
      </c>
      <c r="D9259" s="2">
        <v>40452</v>
      </c>
      <c r="E9259" s="1" t="s">
        <v>18439</v>
      </c>
      <c r="F9259" s="1" t="s">
        <v>268</v>
      </c>
    </row>
    <row r="9260" spans="1:6" ht="30" customHeight="1" x14ac:dyDescent="0.25">
      <c r="A9260" s="1" t="s">
        <v>18440</v>
      </c>
      <c r="B9260" s="1" t="str">
        <f>"9781616681142"</f>
        <v>9781616681142</v>
      </c>
      <c r="C9260" s="1" t="s">
        <v>17311</v>
      </c>
      <c r="D9260" s="2">
        <v>39078</v>
      </c>
      <c r="E9260" s="1" t="s">
        <v>18441</v>
      </c>
      <c r="F9260" s="1" t="s">
        <v>137</v>
      </c>
    </row>
    <row r="9261" spans="1:6" ht="30" customHeight="1" x14ac:dyDescent="0.25">
      <c r="A9261" s="1" t="s">
        <v>18442</v>
      </c>
      <c r="B9261" s="1" t="str">
        <f>"9781616681814"</f>
        <v>9781616681814</v>
      </c>
      <c r="C9261" s="1" t="s">
        <v>17311</v>
      </c>
      <c r="D9261" s="2">
        <v>40098</v>
      </c>
      <c r="E9261" s="1" t="s">
        <v>18443</v>
      </c>
      <c r="F9261" s="1" t="s">
        <v>13</v>
      </c>
    </row>
    <row r="9262" spans="1:6" ht="30" customHeight="1" x14ac:dyDescent="0.25">
      <c r="A9262" s="1" t="s">
        <v>18444</v>
      </c>
      <c r="B9262" s="1" t="str">
        <f>"9781614705406"</f>
        <v>9781614705406</v>
      </c>
      <c r="C9262" s="1" t="s">
        <v>17311</v>
      </c>
      <c r="D9262" s="2">
        <v>40942</v>
      </c>
      <c r="E9262" s="1" t="s">
        <v>18445</v>
      </c>
      <c r="F9262" s="1" t="s">
        <v>13</v>
      </c>
    </row>
    <row r="9263" spans="1:6" ht="30" customHeight="1" x14ac:dyDescent="0.25">
      <c r="A9263" s="1" t="s">
        <v>18446</v>
      </c>
      <c r="B9263" s="1" t="str">
        <f>"9781614704829"</f>
        <v>9781614704829</v>
      </c>
      <c r="C9263" s="1" t="s">
        <v>17311</v>
      </c>
      <c r="D9263" s="2">
        <v>41773</v>
      </c>
      <c r="E9263" s="1" t="s">
        <v>18447</v>
      </c>
      <c r="F9263" s="1" t="s">
        <v>13</v>
      </c>
    </row>
    <row r="9264" spans="1:6" ht="30" customHeight="1" x14ac:dyDescent="0.25">
      <c r="A9264" s="1" t="s">
        <v>18448</v>
      </c>
      <c r="B9264" s="1" t="str">
        <f>"9781614709961"</f>
        <v>9781614709961</v>
      </c>
      <c r="C9264" s="1" t="s">
        <v>17311</v>
      </c>
      <c r="D9264" s="2">
        <v>40990</v>
      </c>
      <c r="E9264" s="1" t="s">
        <v>18449</v>
      </c>
      <c r="F9264" s="1" t="s">
        <v>13</v>
      </c>
    </row>
    <row r="9265" spans="1:6" ht="30" customHeight="1" x14ac:dyDescent="0.25">
      <c r="A9265" s="1" t="s">
        <v>18450</v>
      </c>
      <c r="B9265" s="1" t="str">
        <f>"9781616683702"</f>
        <v>9781616683702</v>
      </c>
      <c r="C9265" s="1" t="s">
        <v>17311</v>
      </c>
      <c r="D9265" s="2">
        <v>40544</v>
      </c>
      <c r="E9265" s="1" t="s">
        <v>18451</v>
      </c>
      <c r="F9265" s="1" t="s">
        <v>1338</v>
      </c>
    </row>
    <row r="9266" spans="1:6" ht="30" customHeight="1" x14ac:dyDescent="0.25">
      <c r="A9266" s="1" t="s">
        <v>18452</v>
      </c>
      <c r="B9266" s="1" t="str">
        <f>"9781614704676"</f>
        <v>9781614704676</v>
      </c>
      <c r="C9266" s="1" t="s">
        <v>17311</v>
      </c>
      <c r="D9266" s="2">
        <v>40360</v>
      </c>
      <c r="E9266" s="1" t="s">
        <v>18453</v>
      </c>
      <c r="F9266" s="1" t="s">
        <v>13</v>
      </c>
    </row>
    <row r="9267" spans="1:6" ht="30" customHeight="1" x14ac:dyDescent="0.25">
      <c r="A9267" s="1" t="s">
        <v>18454</v>
      </c>
      <c r="B9267" s="1" t="str">
        <f>"9781614705925"</f>
        <v>9781614705925</v>
      </c>
      <c r="C9267" s="1" t="s">
        <v>17311</v>
      </c>
      <c r="D9267" s="2">
        <v>40210</v>
      </c>
      <c r="E9267" s="1" t="s">
        <v>18455</v>
      </c>
      <c r="F9267" s="1" t="s">
        <v>158</v>
      </c>
    </row>
    <row r="9268" spans="1:6" ht="30" customHeight="1" x14ac:dyDescent="0.25">
      <c r="A9268" s="1" t="s">
        <v>18456</v>
      </c>
      <c r="B9268" s="1" t="str">
        <f>"9781616682408"</f>
        <v>9781616682408</v>
      </c>
      <c r="C9268" s="1" t="s">
        <v>17311</v>
      </c>
      <c r="D9268" s="2">
        <v>40057</v>
      </c>
      <c r="E9268" s="1" t="s">
        <v>18457</v>
      </c>
      <c r="F9268" s="1" t="s">
        <v>356</v>
      </c>
    </row>
    <row r="9269" spans="1:6" ht="30" customHeight="1" x14ac:dyDescent="0.25">
      <c r="A9269" s="1" t="s">
        <v>18458</v>
      </c>
      <c r="B9269" s="1" t="str">
        <f>"9781616680527"</f>
        <v>9781616680527</v>
      </c>
      <c r="C9269" s="1" t="s">
        <v>17311</v>
      </c>
      <c r="D9269" s="2">
        <v>39904</v>
      </c>
      <c r="E9269" s="1" t="s">
        <v>18459</v>
      </c>
      <c r="F9269" s="1" t="s">
        <v>13</v>
      </c>
    </row>
    <row r="9270" spans="1:6" ht="30" customHeight="1" x14ac:dyDescent="0.25">
      <c r="A9270" s="1" t="s">
        <v>18460</v>
      </c>
      <c r="B9270" s="1" t="str">
        <f>"9781614705994"</f>
        <v>9781614705994</v>
      </c>
      <c r="C9270" s="1" t="s">
        <v>17311</v>
      </c>
      <c r="D9270" s="2">
        <v>40137</v>
      </c>
      <c r="E9270" s="1" t="s">
        <v>18461</v>
      </c>
      <c r="F9270" s="1" t="s">
        <v>13</v>
      </c>
    </row>
    <row r="9271" spans="1:6" ht="30" customHeight="1" x14ac:dyDescent="0.25">
      <c r="A9271" s="1" t="s">
        <v>18462</v>
      </c>
      <c r="B9271" s="1" t="str">
        <f>"9781616684600"</f>
        <v>9781616684600</v>
      </c>
      <c r="C9271" s="1" t="s">
        <v>17311</v>
      </c>
      <c r="D9271" s="2">
        <v>40360</v>
      </c>
      <c r="E9271" s="1" t="s">
        <v>18463</v>
      </c>
      <c r="F9271" s="1" t="s">
        <v>13</v>
      </c>
    </row>
    <row r="9272" spans="1:6" ht="30" customHeight="1" x14ac:dyDescent="0.25">
      <c r="A9272" s="1" t="s">
        <v>18464</v>
      </c>
      <c r="B9272" s="1" t="str">
        <f>"9781617614958"</f>
        <v>9781617614958</v>
      </c>
      <c r="C9272" s="1" t="s">
        <v>17311</v>
      </c>
      <c r="D9272" s="2">
        <v>40238</v>
      </c>
      <c r="E9272" s="1" t="s">
        <v>18465</v>
      </c>
      <c r="F9272" s="1" t="s">
        <v>13</v>
      </c>
    </row>
    <row r="9273" spans="1:6" ht="30" customHeight="1" x14ac:dyDescent="0.25">
      <c r="A9273" s="1" t="s">
        <v>18466</v>
      </c>
      <c r="B9273" s="1" t="str">
        <f>"9781614709206"</f>
        <v>9781614709206</v>
      </c>
      <c r="C9273" s="1" t="s">
        <v>17311</v>
      </c>
      <c r="D9273" s="2">
        <v>40909</v>
      </c>
      <c r="E9273" s="1" t="s">
        <v>18467</v>
      </c>
      <c r="F9273" s="1" t="s">
        <v>137</v>
      </c>
    </row>
    <row r="9274" spans="1:6" ht="30" customHeight="1" x14ac:dyDescent="0.25">
      <c r="A9274" s="1" t="s">
        <v>18468</v>
      </c>
      <c r="B9274" s="1" t="str">
        <f>"9781614704669"</f>
        <v>9781614704669</v>
      </c>
      <c r="C9274" s="1" t="s">
        <v>17311</v>
      </c>
      <c r="D9274" s="2">
        <v>39867</v>
      </c>
      <c r="E9274" s="1" t="s">
        <v>18469</v>
      </c>
      <c r="F9274" s="1" t="s">
        <v>13</v>
      </c>
    </row>
    <row r="9275" spans="1:6" ht="30" customHeight="1" x14ac:dyDescent="0.25">
      <c r="A9275" s="1" t="s">
        <v>18470</v>
      </c>
      <c r="B9275" s="1" t="str">
        <f>"9781614709053"</f>
        <v>9781614709053</v>
      </c>
      <c r="C9275" s="1" t="s">
        <v>17311</v>
      </c>
      <c r="D9275" s="2">
        <v>40975</v>
      </c>
      <c r="E9275" s="1" t="s">
        <v>18471</v>
      </c>
      <c r="F9275" s="1" t="s">
        <v>13</v>
      </c>
    </row>
    <row r="9276" spans="1:6" ht="30" customHeight="1" x14ac:dyDescent="0.25">
      <c r="A9276" s="1" t="s">
        <v>18472</v>
      </c>
      <c r="B9276" s="1" t="str">
        <f>"9781614708148"</f>
        <v>9781614708148</v>
      </c>
      <c r="C9276" s="1" t="s">
        <v>17311</v>
      </c>
      <c r="D9276" s="2">
        <v>40634</v>
      </c>
      <c r="E9276" s="1" t="s">
        <v>18473</v>
      </c>
      <c r="F9276" s="1" t="s">
        <v>13</v>
      </c>
    </row>
    <row r="9277" spans="1:6" ht="30" customHeight="1" x14ac:dyDescent="0.25">
      <c r="A9277" s="1" t="s">
        <v>18474</v>
      </c>
      <c r="B9277" s="1" t="str">
        <f>"9781616680848"</f>
        <v>9781616680848</v>
      </c>
      <c r="C9277" s="1" t="s">
        <v>17311</v>
      </c>
      <c r="D9277" s="2">
        <v>39798</v>
      </c>
      <c r="E9277" s="1" t="s">
        <v>18475</v>
      </c>
      <c r="F9277" s="1" t="s">
        <v>13</v>
      </c>
    </row>
    <row r="9278" spans="1:6" ht="30" customHeight="1" x14ac:dyDescent="0.25">
      <c r="A9278" s="1" t="s">
        <v>18476</v>
      </c>
      <c r="B9278" s="1" t="str">
        <f>"9781616681210"</f>
        <v>9781616681210</v>
      </c>
      <c r="C9278" s="1" t="s">
        <v>17311</v>
      </c>
      <c r="D9278" s="2">
        <v>39785</v>
      </c>
      <c r="E9278" s="1" t="s">
        <v>18477</v>
      </c>
      <c r="F9278" s="1" t="s">
        <v>13</v>
      </c>
    </row>
    <row r="9279" spans="1:6" ht="30" customHeight="1" x14ac:dyDescent="0.25">
      <c r="A9279" s="1" t="s">
        <v>18478</v>
      </c>
      <c r="B9279" s="1" t="str">
        <f>"9781614705802"</f>
        <v>9781614705802</v>
      </c>
      <c r="C9279" s="1" t="s">
        <v>17311</v>
      </c>
      <c r="D9279" s="2">
        <v>41773</v>
      </c>
      <c r="E9279" s="1" t="s">
        <v>18479</v>
      </c>
      <c r="F9279" s="1" t="s">
        <v>13</v>
      </c>
    </row>
    <row r="9280" spans="1:6" ht="30" customHeight="1" x14ac:dyDescent="0.25">
      <c r="A9280" s="1" t="s">
        <v>18480</v>
      </c>
      <c r="B9280" s="1" t="str">
        <f>"9781614707608"</f>
        <v>9781614707608</v>
      </c>
      <c r="C9280" s="1" t="s">
        <v>17311</v>
      </c>
      <c r="D9280" s="2">
        <v>41122</v>
      </c>
      <c r="E9280" s="1" t="s">
        <v>18481</v>
      </c>
      <c r="F9280" s="1" t="s">
        <v>30</v>
      </c>
    </row>
    <row r="9281" spans="1:6" ht="30" customHeight="1" x14ac:dyDescent="0.25">
      <c r="A9281" s="1" t="s">
        <v>18482</v>
      </c>
      <c r="B9281" s="1" t="str">
        <f>"9781614707936"</f>
        <v>9781614707936</v>
      </c>
      <c r="C9281" s="1" t="s">
        <v>17311</v>
      </c>
      <c r="D9281" s="2">
        <v>40544</v>
      </c>
      <c r="E9281" s="1" t="s">
        <v>18483</v>
      </c>
      <c r="F9281" s="1" t="s">
        <v>13</v>
      </c>
    </row>
    <row r="9282" spans="1:6" ht="30" customHeight="1" x14ac:dyDescent="0.25">
      <c r="A9282" s="1" t="s">
        <v>18484</v>
      </c>
      <c r="B9282" s="1" t="str">
        <f>"9781614709091"</f>
        <v>9781614709091</v>
      </c>
      <c r="C9282" s="1" t="s">
        <v>17311</v>
      </c>
      <c r="D9282" s="2">
        <v>40969</v>
      </c>
      <c r="E9282" s="1" t="s">
        <v>18485</v>
      </c>
      <c r="F9282" s="1" t="s">
        <v>12302</v>
      </c>
    </row>
    <row r="9283" spans="1:6" ht="30" customHeight="1" x14ac:dyDescent="0.25">
      <c r="A9283" s="1" t="s">
        <v>18486</v>
      </c>
      <c r="B9283" s="1" t="str">
        <f>"9781614707639"</f>
        <v>9781614707639</v>
      </c>
      <c r="C9283" s="1" t="s">
        <v>17311</v>
      </c>
      <c r="D9283" s="2">
        <v>40995</v>
      </c>
      <c r="E9283" s="1" t="s">
        <v>18487</v>
      </c>
      <c r="F9283" s="1" t="s">
        <v>33</v>
      </c>
    </row>
    <row r="9284" spans="1:6" ht="30" customHeight="1" x14ac:dyDescent="0.25">
      <c r="A9284" s="1" t="s">
        <v>18488</v>
      </c>
      <c r="B9284" s="1" t="str">
        <f>"9781616682255"</f>
        <v>9781616682255</v>
      </c>
      <c r="C9284" s="1" t="s">
        <v>17311</v>
      </c>
      <c r="D9284" s="2">
        <v>40128</v>
      </c>
      <c r="E9284" s="1" t="s">
        <v>18489</v>
      </c>
      <c r="F9284" s="1" t="s">
        <v>13</v>
      </c>
    </row>
    <row r="9285" spans="1:6" ht="30" customHeight="1" x14ac:dyDescent="0.25">
      <c r="A9285" s="1" t="s">
        <v>18490</v>
      </c>
      <c r="B9285" s="1" t="str">
        <f>"9781614704959"</f>
        <v>9781614704959</v>
      </c>
      <c r="C9285" s="1" t="s">
        <v>17311</v>
      </c>
      <c r="D9285" s="2">
        <v>40299</v>
      </c>
      <c r="E9285" s="1" t="s">
        <v>18491</v>
      </c>
      <c r="F9285" s="1" t="s">
        <v>13</v>
      </c>
    </row>
    <row r="9286" spans="1:6" ht="30" customHeight="1" x14ac:dyDescent="0.25">
      <c r="A9286" s="1" t="s">
        <v>18492</v>
      </c>
      <c r="B9286" s="1" t="str">
        <f>"9781616680916"</f>
        <v>9781616680916</v>
      </c>
      <c r="C9286" s="1" t="s">
        <v>17311</v>
      </c>
      <c r="D9286" s="2">
        <v>39833</v>
      </c>
      <c r="E9286" s="1" t="s">
        <v>18493</v>
      </c>
      <c r="F9286" s="1" t="s">
        <v>18494</v>
      </c>
    </row>
    <row r="9287" spans="1:6" ht="30" customHeight="1" x14ac:dyDescent="0.25">
      <c r="A9287" s="1" t="s">
        <v>18495</v>
      </c>
      <c r="B9287" s="1" t="str">
        <f>"9781616683597"</f>
        <v>9781616683597</v>
      </c>
      <c r="C9287" s="1" t="s">
        <v>17311</v>
      </c>
      <c r="D9287" s="2">
        <v>40452</v>
      </c>
      <c r="E9287" s="1" t="s">
        <v>11374</v>
      </c>
      <c r="F9287" s="1" t="s">
        <v>13</v>
      </c>
    </row>
    <row r="9288" spans="1:6" ht="30" customHeight="1" x14ac:dyDescent="0.25">
      <c r="A9288" s="1" t="s">
        <v>18496</v>
      </c>
      <c r="B9288" s="1" t="str">
        <f>"9781614706663"</f>
        <v>9781614706663</v>
      </c>
      <c r="C9288" s="1" t="s">
        <v>17311</v>
      </c>
      <c r="D9288" s="2">
        <v>41039</v>
      </c>
      <c r="E9288" s="1" t="s">
        <v>18497</v>
      </c>
      <c r="F9288" s="1" t="s">
        <v>13</v>
      </c>
    </row>
    <row r="9289" spans="1:6" ht="30" customHeight="1" x14ac:dyDescent="0.25">
      <c r="A9289" s="1" t="s">
        <v>18498</v>
      </c>
      <c r="B9289" s="1" t="str">
        <f>"9781616684631"</f>
        <v>9781616684631</v>
      </c>
      <c r="C9289" s="1" t="s">
        <v>17311</v>
      </c>
      <c r="D9289" s="2">
        <v>40452</v>
      </c>
      <c r="E9289" s="1" t="s">
        <v>18499</v>
      </c>
      <c r="F9289" s="1" t="s">
        <v>33</v>
      </c>
    </row>
    <row r="9290" spans="1:6" ht="30" customHeight="1" x14ac:dyDescent="0.25">
      <c r="A9290" s="1" t="s">
        <v>18500</v>
      </c>
      <c r="B9290" s="1" t="str">
        <f>"9781614705840"</f>
        <v>9781614705840</v>
      </c>
      <c r="C9290" s="1" t="s">
        <v>17311</v>
      </c>
      <c r="D9290" s="2">
        <v>40330</v>
      </c>
      <c r="E9290" s="1" t="s">
        <v>18501</v>
      </c>
      <c r="F9290" s="1" t="s">
        <v>4351</v>
      </c>
    </row>
    <row r="9291" spans="1:6" ht="30" customHeight="1" x14ac:dyDescent="0.25">
      <c r="A9291" s="1" t="s">
        <v>18502</v>
      </c>
      <c r="B9291" s="1" t="str">
        <f>"9781614704515"</f>
        <v>9781614704515</v>
      </c>
      <c r="C9291" s="1" t="s">
        <v>17311</v>
      </c>
      <c r="D9291" s="2">
        <v>41773</v>
      </c>
      <c r="E9291" s="1" t="s">
        <v>18503</v>
      </c>
      <c r="F9291" s="1" t="s">
        <v>30</v>
      </c>
    </row>
    <row r="9292" spans="1:6" ht="30" customHeight="1" x14ac:dyDescent="0.25">
      <c r="A9292" s="1" t="s">
        <v>18504</v>
      </c>
      <c r="B9292" s="1" t="str">
        <f>"9781616680954"</f>
        <v>9781616680954</v>
      </c>
      <c r="C9292" s="1" t="s">
        <v>17311</v>
      </c>
      <c r="D9292" s="2">
        <v>39757</v>
      </c>
      <c r="E9292" s="1" t="s">
        <v>17931</v>
      </c>
      <c r="F9292" s="1" t="s">
        <v>13</v>
      </c>
    </row>
    <row r="9293" spans="1:6" ht="30" customHeight="1" x14ac:dyDescent="0.25">
      <c r="A9293" s="1" t="s">
        <v>18505</v>
      </c>
      <c r="B9293" s="1" t="str">
        <f>"9781616680442"</f>
        <v>9781616680442</v>
      </c>
      <c r="C9293" s="1" t="s">
        <v>17311</v>
      </c>
      <c r="D9293" s="2">
        <v>39786</v>
      </c>
      <c r="E9293" s="1" t="s">
        <v>18506</v>
      </c>
      <c r="F9293" s="1" t="s">
        <v>13</v>
      </c>
    </row>
    <row r="9294" spans="1:6" ht="30" customHeight="1" x14ac:dyDescent="0.25">
      <c r="A9294" s="1" t="s">
        <v>18507</v>
      </c>
      <c r="B9294" s="1" t="str">
        <f>"9781616681050"</f>
        <v>9781616681050</v>
      </c>
      <c r="C9294" s="1" t="s">
        <v>17311</v>
      </c>
      <c r="D9294" s="2">
        <v>41773</v>
      </c>
      <c r="E9294" s="1" t="s">
        <v>18508</v>
      </c>
      <c r="F9294" s="1" t="s">
        <v>18509</v>
      </c>
    </row>
    <row r="9295" spans="1:6" ht="30" customHeight="1" x14ac:dyDescent="0.25">
      <c r="A9295" s="1" t="s">
        <v>18510</v>
      </c>
      <c r="B9295" s="1" t="str">
        <f>"9781616684433"</f>
        <v>9781616684433</v>
      </c>
      <c r="C9295" s="1" t="s">
        <v>17311</v>
      </c>
      <c r="D9295" s="2">
        <v>40483</v>
      </c>
      <c r="E9295" s="1" t="s">
        <v>18511</v>
      </c>
      <c r="F9295" s="1" t="s">
        <v>13</v>
      </c>
    </row>
    <row r="9296" spans="1:6" ht="30" customHeight="1" x14ac:dyDescent="0.25">
      <c r="A9296" s="1" t="s">
        <v>18512</v>
      </c>
      <c r="B9296" s="1" t="str">
        <f>"9781614709848"</f>
        <v>9781614709848</v>
      </c>
      <c r="C9296" s="1" t="s">
        <v>17311</v>
      </c>
      <c r="D9296" s="2">
        <v>41075</v>
      </c>
      <c r="E9296" s="1" t="s">
        <v>18513</v>
      </c>
      <c r="F9296" s="1" t="s">
        <v>18514</v>
      </c>
    </row>
    <row r="9297" spans="1:6" ht="30" customHeight="1" x14ac:dyDescent="0.25">
      <c r="A9297" s="1" t="s">
        <v>18515</v>
      </c>
      <c r="B9297" s="1" t="str">
        <f>"9781616681036"</f>
        <v>9781616681036</v>
      </c>
      <c r="C9297" s="1" t="s">
        <v>17311</v>
      </c>
      <c r="D9297" s="2">
        <v>39765</v>
      </c>
      <c r="E9297" s="1" t="s">
        <v>18516</v>
      </c>
      <c r="F9297" s="1" t="s">
        <v>13</v>
      </c>
    </row>
    <row r="9298" spans="1:6" ht="30" customHeight="1" x14ac:dyDescent="0.25">
      <c r="A9298" s="1" t="s">
        <v>18517</v>
      </c>
      <c r="B9298" s="1" t="str">
        <f>"9781616684204"</f>
        <v>9781616684204</v>
      </c>
      <c r="C9298" s="1" t="s">
        <v>17311</v>
      </c>
      <c r="D9298" s="2">
        <v>40123</v>
      </c>
      <c r="E9298" s="1" t="s">
        <v>18518</v>
      </c>
      <c r="F9298" s="1" t="s">
        <v>30</v>
      </c>
    </row>
    <row r="9299" spans="1:6" ht="30" customHeight="1" x14ac:dyDescent="0.25">
      <c r="A9299" s="1" t="s">
        <v>18519</v>
      </c>
      <c r="B9299" s="1" t="str">
        <f>"9781619422520"</f>
        <v>9781619422520</v>
      </c>
      <c r="C9299" s="1" t="s">
        <v>17311</v>
      </c>
      <c r="D9299" s="2">
        <v>41030</v>
      </c>
      <c r="E9299" s="1" t="s">
        <v>18520</v>
      </c>
      <c r="F9299" s="1" t="s">
        <v>13</v>
      </c>
    </row>
    <row r="9300" spans="1:6" ht="30" customHeight="1" x14ac:dyDescent="0.25">
      <c r="A9300" s="1" t="s">
        <v>18521</v>
      </c>
      <c r="B9300" s="1" t="str">
        <f>"9781624173936"</f>
        <v>9781624173936</v>
      </c>
      <c r="C9300" s="1" t="s">
        <v>17311</v>
      </c>
      <c r="D9300" s="2">
        <v>41309</v>
      </c>
      <c r="E9300" s="1" t="s">
        <v>18522</v>
      </c>
      <c r="F9300" s="1" t="s">
        <v>13</v>
      </c>
    </row>
    <row r="9301" spans="1:6" ht="30" customHeight="1" x14ac:dyDescent="0.25">
      <c r="A9301" s="1" t="s">
        <v>18523</v>
      </c>
      <c r="B9301" s="1" t="str">
        <f>"9781622579105"</f>
        <v>9781622579105</v>
      </c>
      <c r="C9301" s="1" t="s">
        <v>17311</v>
      </c>
      <c r="D9301" s="2">
        <v>41306</v>
      </c>
      <c r="E9301" s="1" t="s">
        <v>18524</v>
      </c>
      <c r="F9301" s="1" t="s">
        <v>13</v>
      </c>
    </row>
    <row r="9302" spans="1:6" ht="30" customHeight="1" x14ac:dyDescent="0.25">
      <c r="A9302" s="1" t="s">
        <v>18525</v>
      </c>
      <c r="B9302" s="1" t="str">
        <f>"9781622575527"</f>
        <v>9781622575527</v>
      </c>
      <c r="C9302" s="1" t="s">
        <v>17311</v>
      </c>
      <c r="D9302" s="2">
        <v>41291</v>
      </c>
      <c r="E9302" s="1" t="s">
        <v>18526</v>
      </c>
      <c r="F9302" s="1" t="s">
        <v>30</v>
      </c>
    </row>
    <row r="9303" spans="1:6" ht="30" customHeight="1" x14ac:dyDescent="0.25">
      <c r="A9303" s="1" t="s">
        <v>18527</v>
      </c>
      <c r="B9303" s="1" t="str">
        <f>"9781626183407"</f>
        <v>9781626183407</v>
      </c>
      <c r="C9303" s="1" t="s">
        <v>17311</v>
      </c>
      <c r="D9303" s="2">
        <v>40679</v>
      </c>
      <c r="E9303" s="1" t="s">
        <v>18528</v>
      </c>
      <c r="F9303" s="1" t="s">
        <v>13</v>
      </c>
    </row>
    <row r="9304" spans="1:6" ht="30" customHeight="1" x14ac:dyDescent="0.25">
      <c r="A9304" s="1" t="s">
        <v>18529</v>
      </c>
      <c r="B9304" s="1" t="str">
        <f>"9781624176807"</f>
        <v>9781624176807</v>
      </c>
      <c r="C9304" s="1" t="s">
        <v>17311</v>
      </c>
      <c r="D9304" s="2">
        <v>39770</v>
      </c>
      <c r="E9304" s="1" t="s">
        <v>18530</v>
      </c>
      <c r="F9304" s="1" t="s">
        <v>13</v>
      </c>
    </row>
    <row r="9305" spans="1:6" ht="30" customHeight="1" x14ac:dyDescent="0.25">
      <c r="A9305" s="1" t="s">
        <v>18531</v>
      </c>
      <c r="B9305" s="1" t="str">
        <f>"9781622578160"</f>
        <v>9781622578160</v>
      </c>
      <c r="C9305" s="1" t="s">
        <v>17311</v>
      </c>
      <c r="D9305" s="2">
        <v>41275</v>
      </c>
      <c r="E9305" s="1" t="s">
        <v>17812</v>
      </c>
      <c r="F9305" s="1" t="s">
        <v>13</v>
      </c>
    </row>
    <row r="9306" spans="1:6" ht="30" customHeight="1" x14ac:dyDescent="0.25">
      <c r="A9306" s="1" t="s">
        <v>18532</v>
      </c>
      <c r="B9306" s="1" t="str">
        <f>"9781621000945"</f>
        <v>9781621000945</v>
      </c>
      <c r="C9306" s="1" t="s">
        <v>17311</v>
      </c>
      <c r="D9306" s="2">
        <v>41000</v>
      </c>
      <c r="E9306" s="1" t="s">
        <v>18533</v>
      </c>
      <c r="F9306" s="1" t="s">
        <v>13</v>
      </c>
    </row>
    <row r="9307" spans="1:6" ht="30" customHeight="1" x14ac:dyDescent="0.25">
      <c r="A9307" s="1" t="s">
        <v>18534</v>
      </c>
      <c r="B9307" s="1" t="str">
        <f>"9781620815175"</f>
        <v>9781620815175</v>
      </c>
      <c r="C9307" s="1" t="s">
        <v>17311</v>
      </c>
      <c r="D9307" s="2">
        <v>41183</v>
      </c>
      <c r="E9307" s="1" t="s">
        <v>17812</v>
      </c>
      <c r="F9307" s="1" t="s">
        <v>13</v>
      </c>
    </row>
    <row r="9308" spans="1:6" ht="30" customHeight="1" x14ac:dyDescent="0.25">
      <c r="A9308" s="1" t="s">
        <v>18535</v>
      </c>
      <c r="B9308" s="1" t="str">
        <f>"9781621008057"</f>
        <v>9781621008057</v>
      </c>
      <c r="C9308" s="1" t="s">
        <v>17311</v>
      </c>
      <c r="D9308" s="2">
        <v>41031</v>
      </c>
      <c r="E9308" s="1" t="s">
        <v>18536</v>
      </c>
      <c r="F9308" s="1" t="s">
        <v>362</v>
      </c>
    </row>
    <row r="9309" spans="1:6" ht="30" customHeight="1" x14ac:dyDescent="0.25">
      <c r="A9309" s="1" t="s">
        <v>18537</v>
      </c>
      <c r="B9309" s="1" t="str">
        <f>"9781619422773"</f>
        <v>9781619422773</v>
      </c>
      <c r="C9309" s="1" t="s">
        <v>17311</v>
      </c>
      <c r="D9309" s="2">
        <v>41244</v>
      </c>
      <c r="E9309" s="1" t="s">
        <v>17812</v>
      </c>
      <c r="F9309" s="1" t="s">
        <v>13</v>
      </c>
    </row>
    <row r="9310" spans="1:6" ht="30" customHeight="1" x14ac:dyDescent="0.25">
      <c r="A9310" s="1" t="s">
        <v>18538</v>
      </c>
      <c r="B9310" s="1" t="str">
        <f>"9781622578443"</f>
        <v>9781622578443</v>
      </c>
      <c r="C9310" s="1" t="s">
        <v>17311</v>
      </c>
      <c r="D9310" s="2">
        <v>41275</v>
      </c>
      <c r="E9310" s="1" t="s">
        <v>18539</v>
      </c>
      <c r="F9310" s="1" t="s">
        <v>137</v>
      </c>
    </row>
    <row r="9311" spans="1:6" ht="30" customHeight="1" x14ac:dyDescent="0.25">
      <c r="A9311" s="1" t="s">
        <v>18540</v>
      </c>
      <c r="B9311" s="1" t="str">
        <f>"9781622577750"</f>
        <v>9781622577750</v>
      </c>
      <c r="C9311" s="1" t="s">
        <v>17311</v>
      </c>
      <c r="D9311" s="2">
        <v>41275</v>
      </c>
      <c r="E9311" s="1" t="s">
        <v>17812</v>
      </c>
      <c r="F9311" s="1" t="s">
        <v>30</v>
      </c>
    </row>
    <row r="9312" spans="1:6" ht="30" customHeight="1" x14ac:dyDescent="0.25">
      <c r="A9312" s="1" t="s">
        <v>18541</v>
      </c>
      <c r="B9312" s="1" t="str">
        <f>"9781614704386"</f>
        <v>9781614704386</v>
      </c>
      <c r="C9312" s="1" t="s">
        <v>17311</v>
      </c>
      <c r="D9312" s="2">
        <v>40200</v>
      </c>
      <c r="E9312" s="1" t="s">
        <v>18542</v>
      </c>
      <c r="F9312" s="1" t="s">
        <v>137</v>
      </c>
    </row>
    <row r="9313" spans="1:6" ht="30" customHeight="1" x14ac:dyDescent="0.25">
      <c r="A9313" s="1" t="s">
        <v>18543</v>
      </c>
      <c r="B9313" s="1" t="str">
        <f>"9781616684570"</f>
        <v>9781616684570</v>
      </c>
      <c r="C9313" s="1" t="s">
        <v>17311</v>
      </c>
      <c r="D9313" s="2">
        <v>40360</v>
      </c>
      <c r="E9313" s="1" t="s">
        <v>18544</v>
      </c>
      <c r="F9313" s="1" t="s">
        <v>13</v>
      </c>
    </row>
    <row r="9314" spans="1:6" ht="30" customHeight="1" x14ac:dyDescent="0.25">
      <c r="A9314" s="1" t="s">
        <v>18545</v>
      </c>
      <c r="B9314" s="1" t="str">
        <f>"9781614707769"</f>
        <v>9781614707769</v>
      </c>
      <c r="C9314" s="1" t="s">
        <v>17311</v>
      </c>
      <c r="D9314" s="2">
        <v>41116</v>
      </c>
      <c r="E9314" s="1" t="s">
        <v>18546</v>
      </c>
      <c r="F9314" s="1" t="s">
        <v>13</v>
      </c>
    </row>
    <row r="9315" spans="1:6" ht="30" customHeight="1" x14ac:dyDescent="0.25">
      <c r="A9315" s="1" t="s">
        <v>18547</v>
      </c>
      <c r="B9315" s="1" t="str">
        <f>"9781614705017"</f>
        <v>9781614705017</v>
      </c>
      <c r="C9315" s="1" t="s">
        <v>17311</v>
      </c>
      <c r="D9315" s="2">
        <v>40330</v>
      </c>
      <c r="E9315" s="1" t="s">
        <v>18548</v>
      </c>
      <c r="F9315" s="1" t="s">
        <v>13</v>
      </c>
    </row>
    <row r="9316" spans="1:6" ht="30" customHeight="1" x14ac:dyDescent="0.25">
      <c r="A9316" s="1" t="s">
        <v>18549</v>
      </c>
      <c r="B9316" s="1" t="str">
        <f>"9781614704836"</f>
        <v>9781614704836</v>
      </c>
      <c r="C9316" s="1" t="s">
        <v>17311</v>
      </c>
      <c r="D9316" s="2">
        <v>41773</v>
      </c>
      <c r="E9316" s="1" t="s">
        <v>18550</v>
      </c>
      <c r="F9316" s="1" t="s">
        <v>33</v>
      </c>
    </row>
    <row r="9317" spans="1:6" ht="30" customHeight="1" x14ac:dyDescent="0.25">
      <c r="A9317" s="1" t="s">
        <v>18551</v>
      </c>
      <c r="B9317" s="1" t="str">
        <f>"9781614707615"</f>
        <v>9781614707615</v>
      </c>
      <c r="C9317" s="1" t="s">
        <v>17311</v>
      </c>
      <c r="D9317" s="2">
        <v>41000</v>
      </c>
      <c r="E9317" s="1" t="s">
        <v>18552</v>
      </c>
      <c r="F9317" s="1" t="s">
        <v>13</v>
      </c>
    </row>
    <row r="9318" spans="1:6" ht="30" customHeight="1" x14ac:dyDescent="0.25">
      <c r="A9318" s="1" t="s">
        <v>18553</v>
      </c>
      <c r="B9318" s="1" t="str">
        <f>"9781616683580"</f>
        <v>9781616683580</v>
      </c>
      <c r="C9318" s="1" t="s">
        <v>17311</v>
      </c>
      <c r="D9318" s="2">
        <v>40452</v>
      </c>
      <c r="E9318" s="1" t="s">
        <v>18554</v>
      </c>
      <c r="F9318" s="1" t="s">
        <v>13</v>
      </c>
    </row>
    <row r="9319" spans="1:6" ht="30" customHeight="1" x14ac:dyDescent="0.25">
      <c r="A9319" s="1" t="s">
        <v>18555</v>
      </c>
      <c r="B9319" s="1" t="str">
        <f>"9781616683474"</f>
        <v>9781616683474</v>
      </c>
      <c r="C9319" s="1" t="s">
        <v>17311</v>
      </c>
      <c r="D9319" s="2">
        <v>40452</v>
      </c>
      <c r="E9319" s="1" t="s">
        <v>18556</v>
      </c>
      <c r="F9319" s="1" t="s">
        <v>13</v>
      </c>
    </row>
    <row r="9320" spans="1:6" ht="30" customHeight="1" x14ac:dyDescent="0.25">
      <c r="A9320" s="1" t="s">
        <v>18557</v>
      </c>
      <c r="B9320" s="1" t="str">
        <f>"9781617614804"</f>
        <v>9781617614804</v>
      </c>
      <c r="C9320" s="1" t="s">
        <v>17311</v>
      </c>
      <c r="D9320" s="2">
        <v>40210</v>
      </c>
      <c r="E9320" s="1" t="s">
        <v>18157</v>
      </c>
      <c r="F9320" s="1" t="s">
        <v>13</v>
      </c>
    </row>
    <row r="9321" spans="1:6" ht="30" customHeight="1" x14ac:dyDescent="0.25">
      <c r="A9321" s="1" t="s">
        <v>18558</v>
      </c>
      <c r="B9321" s="1" t="str">
        <f>"9781624178078"</f>
        <v>9781624178078</v>
      </c>
      <c r="C9321" s="1" t="s">
        <v>17311</v>
      </c>
      <c r="D9321" s="2">
        <v>41334</v>
      </c>
      <c r="E9321" s="1" t="s">
        <v>18559</v>
      </c>
      <c r="F9321" s="1" t="s">
        <v>13</v>
      </c>
    </row>
    <row r="9322" spans="1:6" ht="30" customHeight="1" x14ac:dyDescent="0.25">
      <c r="A9322" s="1" t="s">
        <v>18560</v>
      </c>
      <c r="B9322" s="1" t="str">
        <f>"9781614707073"</f>
        <v>9781614707073</v>
      </c>
      <c r="C9322" s="1" t="s">
        <v>17311</v>
      </c>
      <c r="D9322" s="2">
        <v>40378</v>
      </c>
      <c r="E9322" s="1" t="s">
        <v>8421</v>
      </c>
      <c r="F9322" s="1" t="s">
        <v>13</v>
      </c>
    </row>
    <row r="9323" spans="1:6" ht="30" customHeight="1" x14ac:dyDescent="0.25">
      <c r="A9323" s="1" t="s">
        <v>18561</v>
      </c>
      <c r="B9323" s="1" t="str">
        <f>"9781614704652"</f>
        <v>9781614704652</v>
      </c>
      <c r="C9323" s="1" t="s">
        <v>17311</v>
      </c>
      <c r="D9323" s="2">
        <v>39873</v>
      </c>
      <c r="E9323" s="1" t="s">
        <v>18562</v>
      </c>
      <c r="F9323" s="1" t="s">
        <v>13</v>
      </c>
    </row>
    <row r="9324" spans="1:6" ht="30" customHeight="1" x14ac:dyDescent="0.25">
      <c r="A9324" s="1" t="s">
        <v>18563</v>
      </c>
      <c r="B9324" s="1" t="str">
        <f>"9781616684006"</f>
        <v>9781616684006</v>
      </c>
      <c r="C9324" s="1" t="s">
        <v>17311</v>
      </c>
      <c r="D9324" s="2">
        <v>40452</v>
      </c>
      <c r="E9324" s="1" t="s">
        <v>18564</v>
      </c>
      <c r="F9324" s="1" t="s">
        <v>13</v>
      </c>
    </row>
    <row r="9325" spans="1:6" ht="30" customHeight="1" x14ac:dyDescent="0.25">
      <c r="A9325" s="1" t="s">
        <v>18565</v>
      </c>
      <c r="B9325" s="1" t="str">
        <f>"9781616684549"</f>
        <v>9781616684549</v>
      </c>
      <c r="C9325" s="1" t="s">
        <v>17311</v>
      </c>
      <c r="D9325" s="2">
        <v>40360</v>
      </c>
      <c r="E9325" s="1" t="s">
        <v>18566</v>
      </c>
      <c r="F9325" s="1" t="s">
        <v>70</v>
      </c>
    </row>
    <row r="9326" spans="1:6" ht="30" customHeight="1" x14ac:dyDescent="0.25">
      <c r="A9326" s="1" t="s">
        <v>18567</v>
      </c>
      <c r="B9326" s="1" t="str">
        <f>"9781616682163"</f>
        <v>9781616682163</v>
      </c>
      <c r="C9326" s="1" t="s">
        <v>17311</v>
      </c>
      <c r="D9326" s="2">
        <v>40176</v>
      </c>
      <c r="E9326" s="1" t="s">
        <v>18568</v>
      </c>
      <c r="F9326" s="1" t="s">
        <v>13</v>
      </c>
    </row>
    <row r="9327" spans="1:6" ht="30" customHeight="1" x14ac:dyDescent="0.25">
      <c r="A9327" s="1" t="s">
        <v>18569</v>
      </c>
      <c r="B9327" s="1" t="str">
        <f>"9781616684051"</f>
        <v>9781616684051</v>
      </c>
      <c r="C9327" s="1" t="s">
        <v>17311</v>
      </c>
      <c r="D9327" s="2">
        <v>40392</v>
      </c>
      <c r="E9327" s="1" t="s">
        <v>18570</v>
      </c>
      <c r="F9327" s="1" t="s">
        <v>349</v>
      </c>
    </row>
    <row r="9328" spans="1:6" ht="30" customHeight="1" x14ac:dyDescent="0.25">
      <c r="A9328" s="1" t="s">
        <v>18571</v>
      </c>
      <c r="B9328" s="1" t="str">
        <f>"9781617285707"</f>
        <v>9781617285707</v>
      </c>
      <c r="C9328" s="1" t="s">
        <v>17311</v>
      </c>
      <c r="D9328" s="2">
        <v>40057</v>
      </c>
      <c r="E9328" s="1" t="s">
        <v>18572</v>
      </c>
      <c r="F9328" s="1" t="s">
        <v>13</v>
      </c>
    </row>
    <row r="9329" spans="1:6" ht="30" customHeight="1" x14ac:dyDescent="0.25">
      <c r="A9329" s="1" t="s">
        <v>18573</v>
      </c>
      <c r="B9329" s="1" t="str">
        <f>"9781617286315"</f>
        <v>9781617286315</v>
      </c>
      <c r="C9329" s="1" t="s">
        <v>17311</v>
      </c>
      <c r="D9329" s="2">
        <v>40544</v>
      </c>
      <c r="E9329" s="1" t="s">
        <v>18574</v>
      </c>
      <c r="F9329" s="1" t="s">
        <v>13</v>
      </c>
    </row>
    <row r="9330" spans="1:6" ht="30" customHeight="1" x14ac:dyDescent="0.25">
      <c r="A9330" s="1" t="s">
        <v>18575</v>
      </c>
      <c r="B9330" s="1" t="str">
        <f>"9781617284212"</f>
        <v>9781617284212</v>
      </c>
      <c r="C9330" s="1" t="s">
        <v>17311</v>
      </c>
      <c r="D9330" s="2">
        <v>39995</v>
      </c>
      <c r="E9330" s="1" t="s">
        <v>18000</v>
      </c>
      <c r="F9330" s="1" t="s">
        <v>30</v>
      </c>
    </row>
    <row r="9331" spans="1:6" ht="30" customHeight="1" x14ac:dyDescent="0.25">
      <c r="A9331" s="1" t="s">
        <v>18576</v>
      </c>
      <c r="B9331" s="1" t="str">
        <f>"9781617283932"</f>
        <v>9781617283932</v>
      </c>
      <c r="C9331" s="1" t="s">
        <v>17311</v>
      </c>
      <c r="D9331" s="2">
        <v>39904</v>
      </c>
      <c r="E9331" s="1" t="s">
        <v>18577</v>
      </c>
      <c r="F9331" s="1" t="s">
        <v>95</v>
      </c>
    </row>
    <row r="9332" spans="1:6" ht="30" customHeight="1" x14ac:dyDescent="0.25">
      <c r="A9332" s="1" t="s">
        <v>18578</v>
      </c>
      <c r="B9332" s="1" t="str">
        <f>"9781617611544"</f>
        <v>9781617611544</v>
      </c>
      <c r="C9332" s="1" t="s">
        <v>17311</v>
      </c>
      <c r="D9332" s="2">
        <v>40544</v>
      </c>
      <c r="E9332" s="1" t="s">
        <v>18579</v>
      </c>
      <c r="F9332" s="1" t="s">
        <v>95</v>
      </c>
    </row>
    <row r="9333" spans="1:6" ht="30" customHeight="1" x14ac:dyDescent="0.25">
      <c r="A9333" s="1" t="s">
        <v>18580</v>
      </c>
      <c r="B9333" s="1" t="str">
        <f>"9781617284496"</f>
        <v>9781617284496</v>
      </c>
      <c r="C9333" s="1" t="s">
        <v>17311</v>
      </c>
      <c r="D9333" s="2">
        <v>40513</v>
      </c>
      <c r="E9333" s="1" t="s">
        <v>18581</v>
      </c>
      <c r="F9333" s="1" t="s">
        <v>13</v>
      </c>
    </row>
    <row r="9334" spans="1:6" ht="30" customHeight="1" x14ac:dyDescent="0.25">
      <c r="A9334" s="1" t="s">
        <v>18582</v>
      </c>
      <c r="B9334" s="1" t="str">
        <f>"9781617284199"</f>
        <v>9781617284199</v>
      </c>
      <c r="C9334" s="1" t="s">
        <v>17311</v>
      </c>
      <c r="D9334" s="2">
        <v>40087</v>
      </c>
      <c r="E9334" s="1" t="s">
        <v>11589</v>
      </c>
      <c r="F9334" s="1" t="s">
        <v>13</v>
      </c>
    </row>
    <row r="9335" spans="1:6" ht="30" customHeight="1" x14ac:dyDescent="0.25">
      <c r="A9335" s="1" t="s">
        <v>18583</v>
      </c>
      <c r="B9335" s="1" t="str">
        <f>"9781617287664"</f>
        <v>9781617287664</v>
      </c>
      <c r="C9335" s="1" t="s">
        <v>17311</v>
      </c>
      <c r="D9335" s="2">
        <v>40105</v>
      </c>
      <c r="E9335" s="1" t="s">
        <v>18584</v>
      </c>
      <c r="F9335" s="1" t="s">
        <v>70</v>
      </c>
    </row>
    <row r="9336" spans="1:6" ht="30" customHeight="1" x14ac:dyDescent="0.25">
      <c r="A9336" s="1" t="s">
        <v>18585</v>
      </c>
      <c r="B9336" s="1" t="str">
        <f>"9781617611520"</f>
        <v>9781617611520</v>
      </c>
      <c r="C9336" s="1" t="s">
        <v>17311</v>
      </c>
      <c r="D9336" s="2">
        <v>40848</v>
      </c>
      <c r="E9336" s="1" t="s">
        <v>18586</v>
      </c>
      <c r="F9336" s="1" t="s">
        <v>13</v>
      </c>
    </row>
    <row r="9337" spans="1:6" ht="30" customHeight="1" x14ac:dyDescent="0.25">
      <c r="A9337" s="1" t="s">
        <v>18587</v>
      </c>
      <c r="B9337" s="1" t="str">
        <f>"9781617286308"</f>
        <v>9781617286308</v>
      </c>
      <c r="C9337" s="1" t="s">
        <v>17311</v>
      </c>
      <c r="D9337" s="2">
        <v>40422</v>
      </c>
      <c r="E9337" s="1" t="s">
        <v>18588</v>
      </c>
      <c r="F9337" s="1" t="s">
        <v>137</v>
      </c>
    </row>
    <row r="9338" spans="1:6" ht="30" customHeight="1" x14ac:dyDescent="0.25">
      <c r="A9338" s="1" t="s">
        <v>18589</v>
      </c>
      <c r="B9338" s="1" t="str">
        <f>"9781617287916"</f>
        <v>9781617287916</v>
      </c>
      <c r="C9338" s="1" t="s">
        <v>17311</v>
      </c>
      <c r="D9338" s="2">
        <v>40452</v>
      </c>
      <c r="E9338" s="1" t="s">
        <v>18590</v>
      </c>
      <c r="F9338" s="1" t="s">
        <v>268</v>
      </c>
    </row>
    <row r="9339" spans="1:6" ht="30" customHeight="1" x14ac:dyDescent="0.25">
      <c r="A9339" s="1" t="s">
        <v>18591</v>
      </c>
      <c r="B9339" s="1" t="str">
        <f>"9781617284267"</f>
        <v>9781617284267</v>
      </c>
      <c r="C9339" s="1" t="s">
        <v>17311</v>
      </c>
      <c r="D9339" s="2">
        <v>40118</v>
      </c>
      <c r="E9339" s="1" t="s">
        <v>18592</v>
      </c>
      <c r="F9339" s="1" t="s">
        <v>158</v>
      </c>
    </row>
    <row r="9340" spans="1:6" ht="30" customHeight="1" x14ac:dyDescent="0.25">
      <c r="A9340" s="1" t="s">
        <v>18593</v>
      </c>
      <c r="B9340" s="1" t="str">
        <f>"9781617283741"</f>
        <v>9781617283741</v>
      </c>
      <c r="C9340" s="1" t="s">
        <v>17311</v>
      </c>
      <c r="D9340" s="2">
        <v>40179</v>
      </c>
      <c r="E9340" s="1" t="s">
        <v>18594</v>
      </c>
      <c r="F9340" s="1" t="s">
        <v>13</v>
      </c>
    </row>
    <row r="9341" spans="1:6" ht="30" customHeight="1" x14ac:dyDescent="0.25">
      <c r="A9341" s="1" t="s">
        <v>18595</v>
      </c>
      <c r="B9341" s="1" t="str">
        <f>"9781617287404"</f>
        <v>9781617287404</v>
      </c>
      <c r="C9341" s="1" t="s">
        <v>17311</v>
      </c>
      <c r="D9341" s="2">
        <v>40483</v>
      </c>
      <c r="E9341" s="1" t="s">
        <v>18165</v>
      </c>
      <c r="F9341" s="1" t="s">
        <v>126</v>
      </c>
    </row>
    <row r="9342" spans="1:6" ht="30" customHeight="1" x14ac:dyDescent="0.25">
      <c r="A9342" s="1" t="s">
        <v>18596</v>
      </c>
      <c r="B9342" s="1" t="str">
        <f>"9781617285578"</f>
        <v>9781617285578</v>
      </c>
      <c r="C9342" s="1" t="s">
        <v>17311</v>
      </c>
      <c r="D9342" s="2">
        <v>40137</v>
      </c>
      <c r="E9342" s="1" t="s">
        <v>18597</v>
      </c>
      <c r="F9342" s="1" t="s">
        <v>13</v>
      </c>
    </row>
    <row r="9343" spans="1:6" ht="30" customHeight="1" x14ac:dyDescent="0.25">
      <c r="A9343" s="1" t="s">
        <v>18598</v>
      </c>
      <c r="B9343" s="1" t="str">
        <f>"9781617285332"</f>
        <v>9781617285332</v>
      </c>
      <c r="C9343" s="1" t="s">
        <v>17311</v>
      </c>
      <c r="D9343" s="2">
        <v>40087</v>
      </c>
      <c r="E9343" s="1" t="s">
        <v>18599</v>
      </c>
      <c r="F9343" s="1" t="s">
        <v>480</v>
      </c>
    </row>
    <row r="9344" spans="1:6" ht="30" customHeight="1" x14ac:dyDescent="0.25">
      <c r="A9344" s="1" t="s">
        <v>18600</v>
      </c>
      <c r="B9344" s="1" t="str">
        <f>"9781617610776"</f>
        <v>9781617610776</v>
      </c>
      <c r="C9344" s="1" t="s">
        <v>17311</v>
      </c>
      <c r="D9344" s="2">
        <v>40452</v>
      </c>
      <c r="E9344" s="1" t="s">
        <v>18601</v>
      </c>
      <c r="F9344" s="1" t="s">
        <v>13</v>
      </c>
    </row>
    <row r="9345" spans="1:6" ht="30" customHeight="1" x14ac:dyDescent="0.25">
      <c r="A9345" s="1" t="s">
        <v>18602</v>
      </c>
      <c r="B9345" s="1" t="str">
        <f>"9781617285400"</f>
        <v>9781617285400</v>
      </c>
      <c r="C9345" s="1" t="s">
        <v>17311</v>
      </c>
      <c r="D9345" s="2">
        <v>40105</v>
      </c>
      <c r="E9345" s="1" t="s">
        <v>18603</v>
      </c>
      <c r="F9345" s="1" t="s">
        <v>12302</v>
      </c>
    </row>
    <row r="9346" spans="1:6" ht="30" customHeight="1" x14ac:dyDescent="0.25">
      <c r="A9346" s="1" t="s">
        <v>18604</v>
      </c>
      <c r="B9346" s="1" t="str">
        <f>"9781617285370"</f>
        <v>9781617285370</v>
      </c>
      <c r="C9346" s="1" t="s">
        <v>17311</v>
      </c>
      <c r="D9346" s="2">
        <v>40133</v>
      </c>
      <c r="E9346" s="1" t="s">
        <v>18605</v>
      </c>
      <c r="F9346" s="1" t="s">
        <v>13</v>
      </c>
    </row>
    <row r="9347" spans="1:6" ht="30" customHeight="1" x14ac:dyDescent="0.25">
      <c r="A9347" s="1" t="s">
        <v>18606</v>
      </c>
      <c r="B9347" s="1" t="str">
        <f>"9781617284526"</f>
        <v>9781617284526</v>
      </c>
      <c r="C9347" s="1" t="s">
        <v>17311</v>
      </c>
      <c r="D9347" s="2">
        <v>40452</v>
      </c>
      <c r="E9347" s="1" t="s">
        <v>17902</v>
      </c>
      <c r="F9347" s="1" t="s">
        <v>13</v>
      </c>
    </row>
    <row r="9348" spans="1:6" ht="30" customHeight="1" x14ac:dyDescent="0.25">
      <c r="A9348" s="1" t="s">
        <v>18607</v>
      </c>
      <c r="B9348" s="1" t="str">
        <f>"9781617283949"</f>
        <v>9781617283949</v>
      </c>
      <c r="C9348" s="1" t="s">
        <v>17311</v>
      </c>
      <c r="D9348" s="2">
        <v>40179</v>
      </c>
      <c r="E9348" s="1" t="s">
        <v>18608</v>
      </c>
      <c r="F9348" s="1" t="s">
        <v>95</v>
      </c>
    </row>
    <row r="9349" spans="1:6" ht="30" customHeight="1" x14ac:dyDescent="0.25">
      <c r="A9349" s="1" t="s">
        <v>18609</v>
      </c>
      <c r="B9349" s="1" t="str">
        <f>"9781617285165"</f>
        <v>9781617285165</v>
      </c>
      <c r="C9349" s="1" t="s">
        <v>17311</v>
      </c>
      <c r="D9349" s="2">
        <v>40057</v>
      </c>
      <c r="E9349" s="1" t="s">
        <v>18610</v>
      </c>
      <c r="F9349" s="1" t="s">
        <v>6806</v>
      </c>
    </row>
    <row r="9350" spans="1:6" ht="30" customHeight="1" x14ac:dyDescent="0.25">
      <c r="A9350" s="1" t="s">
        <v>18611</v>
      </c>
      <c r="B9350" s="1" t="str">
        <f>"9781617284588"</f>
        <v>9781617284588</v>
      </c>
      <c r="C9350" s="1" t="s">
        <v>17311</v>
      </c>
      <c r="D9350" s="2">
        <v>40513</v>
      </c>
      <c r="E9350" s="1" t="s">
        <v>18612</v>
      </c>
      <c r="F9350" s="1" t="s">
        <v>13</v>
      </c>
    </row>
    <row r="9351" spans="1:6" ht="30" customHeight="1" x14ac:dyDescent="0.25">
      <c r="A9351" s="1" t="s">
        <v>18613</v>
      </c>
      <c r="B9351" s="1" t="str">
        <f>"9781617283734"</f>
        <v>9781617283734</v>
      </c>
      <c r="C9351" s="1" t="s">
        <v>17311</v>
      </c>
      <c r="D9351" s="2">
        <v>40210</v>
      </c>
      <c r="E9351" s="1" t="s">
        <v>18614</v>
      </c>
      <c r="F9351" s="1" t="s">
        <v>13</v>
      </c>
    </row>
    <row r="9352" spans="1:6" ht="30" customHeight="1" x14ac:dyDescent="0.25">
      <c r="A9352" s="1" t="s">
        <v>18615</v>
      </c>
      <c r="B9352" s="1" t="str">
        <f>"9781617285868"</f>
        <v>9781617285868</v>
      </c>
      <c r="C9352" s="1" t="s">
        <v>17311</v>
      </c>
      <c r="D9352" s="2">
        <v>40087</v>
      </c>
      <c r="E9352" s="1" t="s">
        <v>18616</v>
      </c>
      <c r="F9352" s="1" t="s">
        <v>137</v>
      </c>
    </row>
    <row r="9353" spans="1:6" ht="30" customHeight="1" x14ac:dyDescent="0.25">
      <c r="A9353" s="1" t="s">
        <v>18617</v>
      </c>
      <c r="B9353" s="1" t="str">
        <f>"9781617288036"</f>
        <v>9781617288036</v>
      </c>
      <c r="C9353" s="1" t="s">
        <v>17311</v>
      </c>
      <c r="D9353" s="2">
        <v>40452</v>
      </c>
      <c r="E9353" s="1" t="s">
        <v>18618</v>
      </c>
      <c r="F9353" s="1" t="s">
        <v>158</v>
      </c>
    </row>
    <row r="9354" spans="1:6" ht="30" customHeight="1" x14ac:dyDescent="0.25">
      <c r="A9354" s="1" t="s">
        <v>18619</v>
      </c>
      <c r="B9354" s="1" t="str">
        <f>"9781617610332"</f>
        <v>9781617610332</v>
      </c>
      <c r="C9354" s="1" t="s">
        <v>17311</v>
      </c>
      <c r="D9354" s="2">
        <v>40422</v>
      </c>
      <c r="E9354" s="1" t="s">
        <v>18620</v>
      </c>
      <c r="F9354" s="1" t="s">
        <v>13</v>
      </c>
    </row>
    <row r="9355" spans="1:6" ht="30" customHeight="1" x14ac:dyDescent="0.25">
      <c r="A9355" s="1" t="s">
        <v>18621</v>
      </c>
      <c r="B9355" s="1" t="str">
        <f>"9781617285387"</f>
        <v>9781617285387</v>
      </c>
      <c r="C9355" s="1" t="s">
        <v>17311</v>
      </c>
      <c r="D9355" s="2">
        <v>40176</v>
      </c>
      <c r="E9355" s="1" t="s">
        <v>18622</v>
      </c>
      <c r="F9355" s="1" t="s">
        <v>30</v>
      </c>
    </row>
    <row r="9356" spans="1:6" ht="30" customHeight="1" x14ac:dyDescent="0.25">
      <c r="A9356" s="1" t="s">
        <v>18623</v>
      </c>
      <c r="B9356" s="1" t="str">
        <f>"9781617287008"</f>
        <v>9781617287008</v>
      </c>
      <c r="C9356" s="1" t="s">
        <v>17311</v>
      </c>
      <c r="D9356" s="2">
        <v>40544</v>
      </c>
      <c r="E9356" s="1" t="s">
        <v>18624</v>
      </c>
      <c r="F9356" s="1" t="s">
        <v>205</v>
      </c>
    </row>
    <row r="9357" spans="1:6" ht="30" customHeight="1" x14ac:dyDescent="0.25">
      <c r="A9357" s="1" t="s">
        <v>18625</v>
      </c>
      <c r="B9357" s="1" t="str">
        <f>"9781617285172"</f>
        <v>9781617285172</v>
      </c>
      <c r="C9357" s="1" t="s">
        <v>17311</v>
      </c>
      <c r="D9357" s="2">
        <v>40087</v>
      </c>
      <c r="E9357" s="1" t="s">
        <v>18084</v>
      </c>
      <c r="F9357" s="1" t="s">
        <v>30</v>
      </c>
    </row>
    <row r="9358" spans="1:6" ht="30" customHeight="1" x14ac:dyDescent="0.25">
      <c r="A9358" s="1" t="s">
        <v>18626</v>
      </c>
      <c r="B9358" s="1" t="str">
        <f>"9781617287794"</f>
        <v>9781617287794</v>
      </c>
      <c r="C9358" s="1" t="s">
        <v>17311</v>
      </c>
      <c r="D9358" s="2">
        <v>40452</v>
      </c>
      <c r="E9358" s="1" t="s">
        <v>18627</v>
      </c>
      <c r="F9358" s="1" t="s">
        <v>13</v>
      </c>
    </row>
    <row r="9359" spans="1:6" ht="30" customHeight="1" x14ac:dyDescent="0.25">
      <c r="A9359" s="1" t="s">
        <v>18628</v>
      </c>
      <c r="B9359" s="1" t="str">
        <f>"9781617285424"</f>
        <v>9781617285424</v>
      </c>
      <c r="C9359" s="1" t="s">
        <v>17311</v>
      </c>
      <c r="D9359" s="2">
        <v>40118</v>
      </c>
      <c r="E9359" s="1" t="s">
        <v>18629</v>
      </c>
      <c r="F9359" s="1" t="s">
        <v>13</v>
      </c>
    </row>
    <row r="9360" spans="1:6" ht="30" customHeight="1" x14ac:dyDescent="0.25">
      <c r="A9360" s="1" t="s">
        <v>18630</v>
      </c>
      <c r="B9360" s="1" t="str">
        <f>"9781617288111"</f>
        <v>9781617288111</v>
      </c>
      <c r="C9360" s="1" t="s">
        <v>17311</v>
      </c>
      <c r="D9360" s="2">
        <v>40625</v>
      </c>
      <c r="E9360" s="1" t="s">
        <v>18631</v>
      </c>
      <c r="F9360" s="1" t="s">
        <v>137</v>
      </c>
    </row>
    <row r="9361" spans="1:6" ht="30" customHeight="1" x14ac:dyDescent="0.25">
      <c r="A9361" s="1" t="s">
        <v>18632</v>
      </c>
      <c r="B9361" s="1" t="str">
        <f>"9781617285431"</f>
        <v>9781617285431</v>
      </c>
      <c r="C9361" s="1" t="s">
        <v>17311</v>
      </c>
      <c r="D9361" s="2">
        <v>40087</v>
      </c>
      <c r="E9361" s="1" t="s">
        <v>18633</v>
      </c>
      <c r="F9361" s="1" t="s">
        <v>13</v>
      </c>
    </row>
    <row r="9362" spans="1:6" ht="30" customHeight="1" x14ac:dyDescent="0.25">
      <c r="A9362" s="1" t="s">
        <v>18634</v>
      </c>
      <c r="B9362" s="1" t="str">
        <f>"9781617285462"</f>
        <v>9781617285462</v>
      </c>
      <c r="C9362" s="1" t="s">
        <v>17311</v>
      </c>
      <c r="D9362" s="2">
        <v>40057</v>
      </c>
      <c r="E9362" s="1" t="s">
        <v>18635</v>
      </c>
      <c r="F9362" s="1" t="s">
        <v>137</v>
      </c>
    </row>
    <row r="9363" spans="1:6" ht="30" customHeight="1" x14ac:dyDescent="0.25">
      <c r="A9363" s="1" t="s">
        <v>18636</v>
      </c>
      <c r="B9363" s="1" t="str">
        <f>"9781617286070"</f>
        <v>9781617286070</v>
      </c>
      <c r="C9363" s="1" t="s">
        <v>17311</v>
      </c>
      <c r="D9363" s="2">
        <v>40513</v>
      </c>
      <c r="E9363" s="1" t="s">
        <v>18637</v>
      </c>
      <c r="F9363" s="1" t="s">
        <v>13</v>
      </c>
    </row>
    <row r="9364" spans="1:6" ht="30" customHeight="1" x14ac:dyDescent="0.25">
      <c r="A9364" s="1" t="s">
        <v>18638</v>
      </c>
      <c r="B9364" s="1" t="str">
        <f>"9781617611421"</f>
        <v>9781617611421</v>
      </c>
      <c r="C9364" s="1" t="s">
        <v>17311</v>
      </c>
      <c r="D9364" s="2">
        <v>40513</v>
      </c>
      <c r="E9364" s="1" t="s">
        <v>17902</v>
      </c>
      <c r="F9364" s="1" t="s">
        <v>13</v>
      </c>
    </row>
    <row r="9365" spans="1:6" ht="30" customHeight="1" x14ac:dyDescent="0.25">
      <c r="A9365" s="1" t="s">
        <v>18639</v>
      </c>
      <c r="B9365" s="1" t="str">
        <f>"9781617284809"</f>
        <v>9781617284809</v>
      </c>
      <c r="C9365" s="1" t="s">
        <v>17311</v>
      </c>
      <c r="D9365" s="2">
        <v>40452</v>
      </c>
      <c r="E9365" s="1" t="s">
        <v>18640</v>
      </c>
      <c r="F9365" s="1" t="s">
        <v>13</v>
      </c>
    </row>
    <row r="9366" spans="1:6" ht="30" customHeight="1" x14ac:dyDescent="0.25">
      <c r="A9366" s="1" t="s">
        <v>18641</v>
      </c>
      <c r="B9366" s="1" t="str">
        <f>"9781617285202"</f>
        <v>9781617285202</v>
      </c>
      <c r="C9366" s="1" t="s">
        <v>17311</v>
      </c>
      <c r="D9366" s="2">
        <v>40118</v>
      </c>
      <c r="E9366" s="1" t="s">
        <v>18642</v>
      </c>
      <c r="F9366" s="1" t="s">
        <v>13</v>
      </c>
    </row>
    <row r="9367" spans="1:6" ht="30" customHeight="1" x14ac:dyDescent="0.25">
      <c r="A9367" s="1" t="s">
        <v>18643</v>
      </c>
      <c r="B9367" s="1" t="str">
        <f>"9781617285479"</f>
        <v>9781617285479</v>
      </c>
      <c r="C9367" s="1" t="s">
        <v>17311</v>
      </c>
      <c r="D9367" s="2">
        <v>40118</v>
      </c>
      <c r="E9367" s="1" t="s">
        <v>18644</v>
      </c>
      <c r="F9367" s="1" t="s">
        <v>13</v>
      </c>
    </row>
    <row r="9368" spans="1:6" ht="30" customHeight="1" x14ac:dyDescent="0.25">
      <c r="A9368" s="1" t="s">
        <v>18645</v>
      </c>
      <c r="B9368" s="1" t="str">
        <f>"9781617285530"</f>
        <v>9781617285530</v>
      </c>
      <c r="C9368" s="1" t="s">
        <v>17311</v>
      </c>
      <c r="D9368" s="2">
        <v>40077</v>
      </c>
      <c r="E9368" s="1" t="s">
        <v>18646</v>
      </c>
      <c r="F9368" s="1" t="s">
        <v>200</v>
      </c>
    </row>
    <row r="9369" spans="1:6" ht="30" customHeight="1" x14ac:dyDescent="0.25">
      <c r="A9369" s="1" t="s">
        <v>18647</v>
      </c>
      <c r="B9369" s="1" t="str">
        <f>"9781617285936"</f>
        <v>9781617285936</v>
      </c>
      <c r="C9369" s="1" t="s">
        <v>17311</v>
      </c>
      <c r="D9369" s="2">
        <v>40112</v>
      </c>
      <c r="E9369" s="1" t="s">
        <v>18648</v>
      </c>
      <c r="F9369" s="1" t="s">
        <v>13</v>
      </c>
    </row>
    <row r="9370" spans="1:6" ht="30" customHeight="1" x14ac:dyDescent="0.25">
      <c r="A9370" s="1" t="s">
        <v>18649</v>
      </c>
      <c r="B9370" s="1" t="str">
        <f>"9781617284175"</f>
        <v>9781617284175</v>
      </c>
      <c r="C9370" s="1" t="s">
        <v>17311</v>
      </c>
      <c r="D9370" s="2">
        <v>39995</v>
      </c>
      <c r="E9370" s="1" t="s">
        <v>18650</v>
      </c>
      <c r="F9370" s="1" t="s">
        <v>13</v>
      </c>
    </row>
    <row r="9371" spans="1:6" ht="30" customHeight="1" x14ac:dyDescent="0.25">
      <c r="A9371" s="1" t="s">
        <v>18651</v>
      </c>
      <c r="B9371" s="1" t="str">
        <f>"9781619429352"</f>
        <v>9781619429352</v>
      </c>
      <c r="C9371" s="1" t="s">
        <v>17311</v>
      </c>
      <c r="D9371" s="2">
        <v>41086</v>
      </c>
      <c r="E9371" s="1" t="s">
        <v>18652</v>
      </c>
      <c r="F9371" s="1" t="s">
        <v>30</v>
      </c>
    </row>
    <row r="9372" spans="1:6" ht="30" customHeight="1" x14ac:dyDescent="0.25">
      <c r="A9372" s="1" t="s">
        <v>18653</v>
      </c>
      <c r="B9372" s="1" t="str">
        <f>"9781620812358"</f>
        <v>9781620812358</v>
      </c>
      <c r="C9372" s="1" t="s">
        <v>17311</v>
      </c>
      <c r="D9372" s="2">
        <v>41086</v>
      </c>
      <c r="E9372" s="1" t="s">
        <v>18654</v>
      </c>
      <c r="F9372" s="1" t="s">
        <v>13</v>
      </c>
    </row>
    <row r="9373" spans="1:6" ht="30" customHeight="1" x14ac:dyDescent="0.25">
      <c r="A9373" s="1" t="s">
        <v>18655</v>
      </c>
      <c r="B9373" s="1" t="str">
        <f>"9781620810118"</f>
        <v>9781620810118</v>
      </c>
      <c r="C9373" s="1" t="s">
        <v>17311</v>
      </c>
      <c r="D9373" s="2">
        <v>41183</v>
      </c>
      <c r="E9373" s="1" t="s">
        <v>18656</v>
      </c>
      <c r="F9373" s="1" t="s">
        <v>13</v>
      </c>
    </row>
    <row r="9374" spans="1:6" ht="30" customHeight="1" x14ac:dyDescent="0.25">
      <c r="A9374" s="1" t="s">
        <v>18657</v>
      </c>
      <c r="B9374" s="1" t="str">
        <f>"9781620813607"</f>
        <v>9781620813607</v>
      </c>
      <c r="C9374" s="1" t="s">
        <v>17311</v>
      </c>
      <c r="D9374" s="2">
        <v>40817</v>
      </c>
      <c r="E9374" s="1" t="s">
        <v>18658</v>
      </c>
      <c r="F9374" s="1" t="s">
        <v>13</v>
      </c>
    </row>
    <row r="9375" spans="1:6" ht="30" customHeight="1" x14ac:dyDescent="0.25">
      <c r="A9375" s="1" t="s">
        <v>18659</v>
      </c>
      <c r="B9375" s="1" t="str">
        <f>"9781620810736"</f>
        <v>9781620810736</v>
      </c>
      <c r="C9375" s="1" t="s">
        <v>17311</v>
      </c>
      <c r="D9375" s="2">
        <v>40848</v>
      </c>
      <c r="E9375" s="1" t="s">
        <v>18660</v>
      </c>
      <c r="F9375" s="1" t="s">
        <v>1152</v>
      </c>
    </row>
    <row r="9376" spans="1:6" ht="30" customHeight="1" x14ac:dyDescent="0.25">
      <c r="A9376" s="1" t="s">
        <v>18661</v>
      </c>
      <c r="B9376" s="1" t="str">
        <f>"9781620813881"</f>
        <v>9781620813881</v>
      </c>
      <c r="C9376" s="1" t="s">
        <v>17311</v>
      </c>
      <c r="D9376" s="2">
        <v>41183</v>
      </c>
      <c r="E9376" s="1" t="s">
        <v>18662</v>
      </c>
      <c r="F9376" s="1" t="s">
        <v>95</v>
      </c>
    </row>
    <row r="9377" spans="1:6" ht="30" customHeight="1" x14ac:dyDescent="0.25">
      <c r="A9377" s="1" t="s">
        <v>18663</v>
      </c>
      <c r="B9377" s="1" t="str">
        <f>"9781620810453"</f>
        <v>9781620810453</v>
      </c>
      <c r="C9377" s="1" t="s">
        <v>17311</v>
      </c>
      <c r="D9377" s="2">
        <v>40848</v>
      </c>
      <c r="E9377" s="1" t="s">
        <v>18664</v>
      </c>
      <c r="F9377" s="1" t="s">
        <v>17963</v>
      </c>
    </row>
    <row r="9378" spans="1:6" ht="30" customHeight="1" x14ac:dyDescent="0.25">
      <c r="A9378" s="1" t="s">
        <v>18665</v>
      </c>
      <c r="B9378" s="1" t="str">
        <f>"9781620813904"</f>
        <v>9781620813904</v>
      </c>
      <c r="C9378" s="1" t="s">
        <v>17311</v>
      </c>
      <c r="D9378" s="2">
        <v>41214</v>
      </c>
      <c r="E9378" s="1" t="s">
        <v>18666</v>
      </c>
      <c r="F9378" s="1" t="s">
        <v>13</v>
      </c>
    </row>
    <row r="9379" spans="1:6" ht="30" customHeight="1" x14ac:dyDescent="0.25">
      <c r="A9379" s="1" t="s">
        <v>18667</v>
      </c>
      <c r="B9379" s="1" t="str">
        <f>"9781620811863"</f>
        <v>9781620811863</v>
      </c>
      <c r="C9379" s="1" t="s">
        <v>17311</v>
      </c>
      <c r="D9379" s="2">
        <v>41173</v>
      </c>
      <c r="E9379" s="1" t="s">
        <v>18668</v>
      </c>
      <c r="F9379" s="1" t="s">
        <v>63</v>
      </c>
    </row>
    <row r="9380" spans="1:6" ht="30" customHeight="1" x14ac:dyDescent="0.25">
      <c r="A9380" s="1" t="s">
        <v>18669</v>
      </c>
      <c r="B9380" s="1" t="str">
        <f>"9781620815533"</f>
        <v>9781620815533</v>
      </c>
      <c r="C9380" s="1" t="s">
        <v>17311</v>
      </c>
      <c r="D9380" s="2">
        <v>40756</v>
      </c>
      <c r="E9380" s="1" t="s">
        <v>18670</v>
      </c>
      <c r="F9380" s="1" t="s">
        <v>13</v>
      </c>
    </row>
    <row r="9381" spans="1:6" ht="30" customHeight="1" x14ac:dyDescent="0.25">
      <c r="A9381" s="1" t="s">
        <v>18671</v>
      </c>
      <c r="B9381" s="1" t="str">
        <f>"9781620813584"</f>
        <v>9781620813584</v>
      </c>
      <c r="C9381" s="1" t="s">
        <v>17311</v>
      </c>
      <c r="D9381" s="2">
        <v>39535</v>
      </c>
      <c r="E9381" s="1" t="s">
        <v>18672</v>
      </c>
      <c r="F9381" s="1" t="s">
        <v>13</v>
      </c>
    </row>
    <row r="9382" spans="1:6" ht="30" customHeight="1" x14ac:dyDescent="0.25">
      <c r="A9382" s="1" t="s">
        <v>18673</v>
      </c>
      <c r="B9382" s="1" t="str">
        <f>"9781620813447"</f>
        <v>9781620813447</v>
      </c>
      <c r="C9382" s="1" t="s">
        <v>17311</v>
      </c>
      <c r="D9382" s="2">
        <v>41134</v>
      </c>
      <c r="E9382" s="1" t="s">
        <v>18674</v>
      </c>
      <c r="F9382" s="1" t="s">
        <v>13</v>
      </c>
    </row>
    <row r="9383" spans="1:6" ht="30" customHeight="1" x14ac:dyDescent="0.25">
      <c r="A9383" s="1" t="s">
        <v>18675</v>
      </c>
      <c r="B9383" s="1" t="str">
        <f>"9781619429840"</f>
        <v>9781619429840</v>
      </c>
      <c r="C9383" s="1" t="s">
        <v>17311</v>
      </c>
      <c r="D9383" s="2">
        <v>41107</v>
      </c>
      <c r="E9383" s="1" t="s">
        <v>18676</v>
      </c>
      <c r="F9383" s="1" t="s">
        <v>137</v>
      </c>
    </row>
    <row r="9384" spans="1:6" ht="30" customHeight="1" x14ac:dyDescent="0.25">
      <c r="A9384" s="1" t="s">
        <v>18677</v>
      </c>
      <c r="B9384" s="1" t="str">
        <f>"9781620810323"</f>
        <v>9781620810323</v>
      </c>
      <c r="C9384" s="1" t="s">
        <v>17311</v>
      </c>
      <c r="D9384" s="2">
        <v>41153</v>
      </c>
      <c r="E9384" s="1" t="s">
        <v>18678</v>
      </c>
      <c r="F9384" s="1" t="s">
        <v>95</v>
      </c>
    </row>
    <row r="9385" spans="1:6" ht="30" customHeight="1" x14ac:dyDescent="0.25">
      <c r="A9385" s="1" t="s">
        <v>18679</v>
      </c>
      <c r="B9385" s="1" t="str">
        <f>"9781620811214"</f>
        <v>9781620811214</v>
      </c>
      <c r="C9385" s="1" t="s">
        <v>17311</v>
      </c>
      <c r="D9385" s="2">
        <v>40909</v>
      </c>
      <c r="E9385" s="1" t="s">
        <v>18400</v>
      </c>
      <c r="F9385" s="1" t="s">
        <v>359</v>
      </c>
    </row>
    <row r="9386" spans="1:6" ht="30" customHeight="1" x14ac:dyDescent="0.25">
      <c r="A9386" s="1" t="s">
        <v>18680</v>
      </c>
      <c r="B9386" s="1" t="str">
        <f>"9781620810613"</f>
        <v>9781620810613</v>
      </c>
      <c r="C9386" s="1" t="s">
        <v>17311</v>
      </c>
      <c r="D9386" s="2">
        <v>40848</v>
      </c>
      <c r="E9386" s="1" t="s">
        <v>18681</v>
      </c>
      <c r="F9386" s="1" t="s">
        <v>13</v>
      </c>
    </row>
    <row r="9387" spans="1:6" ht="30" customHeight="1" x14ac:dyDescent="0.25">
      <c r="A9387" s="1" t="s">
        <v>18682</v>
      </c>
      <c r="B9387" s="1" t="str">
        <f>"9781620816806"</f>
        <v>9781620816806</v>
      </c>
      <c r="C9387" s="1" t="s">
        <v>17311</v>
      </c>
      <c r="D9387" s="2">
        <v>40864</v>
      </c>
      <c r="E9387" s="1" t="s">
        <v>18683</v>
      </c>
      <c r="F9387" s="1" t="s">
        <v>13</v>
      </c>
    </row>
    <row r="9388" spans="1:6" ht="30" customHeight="1" x14ac:dyDescent="0.25">
      <c r="A9388" s="1" t="s">
        <v>18684</v>
      </c>
      <c r="B9388" s="1" t="str">
        <f>"9781620815502"</f>
        <v>9781620815502</v>
      </c>
      <c r="C9388" s="1" t="s">
        <v>17311</v>
      </c>
      <c r="D9388" s="2">
        <v>40817</v>
      </c>
      <c r="E9388" s="1" t="s">
        <v>18685</v>
      </c>
      <c r="F9388" s="1" t="s">
        <v>268</v>
      </c>
    </row>
    <row r="9389" spans="1:6" ht="30" customHeight="1" x14ac:dyDescent="0.25">
      <c r="A9389" s="1" t="s">
        <v>18686</v>
      </c>
      <c r="B9389" s="1" t="str">
        <f>"9781620810620"</f>
        <v>9781620810620</v>
      </c>
      <c r="C9389" s="1" t="s">
        <v>17311</v>
      </c>
      <c r="D9389" s="2">
        <v>41079</v>
      </c>
      <c r="E9389" s="1" t="s">
        <v>18687</v>
      </c>
      <c r="F9389" s="1" t="s">
        <v>30</v>
      </c>
    </row>
    <row r="9390" spans="1:6" ht="30" customHeight="1" x14ac:dyDescent="0.25">
      <c r="A9390" s="1" t="s">
        <v>18688</v>
      </c>
      <c r="B9390" s="1" t="str">
        <f>"9781620810538"</f>
        <v>9781620810538</v>
      </c>
      <c r="C9390" s="1" t="s">
        <v>17311</v>
      </c>
      <c r="D9390" s="2">
        <v>40848</v>
      </c>
      <c r="E9390" s="1" t="s">
        <v>18689</v>
      </c>
      <c r="F9390" s="1" t="s">
        <v>18690</v>
      </c>
    </row>
    <row r="9391" spans="1:6" ht="30" customHeight="1" x14ac:dyDescent="0.25">
      <c r="A9391" s="1" t="s">
        <v>18691</v>
      </c>
      <c r="B9391" s="1" t="str">
        <f>"9781620814154"</f>
        <v>9781620814154</v>
      </c>
      <c r="C9391" s="1" t="s">
        <v>17311</v>
      </c>
      <c r="D9391" s="2">
        <v>41153</v>
      </c>
      <c r="E9391" s="1" t="s">
        <v>18692</v>
      </c>
      <c r="F9391" s="1" t="s">
        <v>13</v>
      </c>
    </row>
    <row r="9392" spans="1:6" ht="30" customHeight="1" x14ac:dyDescent="0.25">
      <c r="A9392" s="1" t="s">
        <v>18693</v>
      </c>
      <c r="B9392" s="1" t="str">
        <f>"9781620815120"</f>
        <v>9781620815120</v>
      </c>
      <c r="C9392" s="1" t="s">
        <v>17311</v>
      </c>
      <c r="D9392" s="2">
        <v>40793</v>
      </c>
      <c r="E9392" s="1" t="s">
        <v>18694</v>
      </c>
      <c r="F9392" s="1" t="s">
        <v>650</v>
      </c>
    </row>
    <row r="9393" spans="1:6" ht="30" customHeight="1" x14ac:dyDescent="0.25">
      <c r="A9393" s="1" t="s">
        <v>18695</v>
      </c>
      <c r="B9393" s="1" t="str">
        <f>"9781624174087"</f>
        <v>9781624174087</v>
      </c>
      <c r="C9393" s="1" t="s">
        <v>17311</v>
      </c>
      <c r="D9393" s="2">
        <v>41325</v>
      </c>
      <c r="E9393" s="1" t="s">
        <v>18696</v>
      </c>
      <c r="F9393" s="1" t="s">
        <v>13</v>
      </c>
    </row>
    <row r="9394" spans="1:6" ht="30" customHeight="1" x14ac:dyDescent="0.25">
      <c r="A9394" s="1" t="s">
        <v>18697</v>
      </c>
      <c r="B9394" s="1" t="str">
        <f>"9781624171109"</f>
        <v>9781624171109</v>
      </c>
      <c r="C9394" s="1" t="s">
        <v>17311</v>
      </c>
      <c r="D9394" s="2">
        <v>41330</v>
      </c>
      <c r="E9394" s="1" t="s">
        <v>18698</v>
      </c>
      <c r="F9394" s="1" t="s">
        <v>104</v>
      </c>
    </row>
    <row r="9395" spans="1:6" ht="30" customHeight="1" x14ac:dyDescent="0.25">
      <c r="A9395" s="1" t="s">
        <v>18699</v>
      </c>
      <c r="B9395" s="1" t="str">
        <f>"9781621008552"</f>
        <v>9781621008552</v>
      </c>
      <c r="C9395" s="1" t="s">
        <v>17311</v>
      </c>
      <c r="D9395" s="2">
        <v>40689</v>
      </c>
      <c r="E9395" s="1" t="s">
        <v>18700</v>
      </c>
      <c r="F9395" s="1" t="s">
        <v>95</v>
      </c>
    </row>
    <row r="9396" spans="1:6" ht="30" customHeight="1" x14ac:dyDescent="0.25">
      <c r="A9396" s="1" t="s">
        <v>18701</v>
      </c>
      <c r="B9396" s="1" t="str">
        <f>"9781621005865"</f>
        <v>9781621005865</v>
      </c>
      <c r="C9396" s="1" t="s">
        <v>17311</v>
      </c>
      <c r="D9396" s="2">
        <v>40756</v>
      </c>
      <c r="E9396" s="1" t="s">
        <v>18702</v>
      </c>
      <c r="F9396" s="1" t="s">
        <v>13</v>
      </c>
    </row>
    <row r="9397" spans="1:6" ht="30" customHeight="1" x14ac:dyDescent="0.25">
      <c r="A9397" s="1" t="s">
        <v>18703</v>
      </c>
      <c r="B9397" s="1" t="str">
        <f>"9781621005216"</f>
        <v>9781621005216</v>
      </c>
      <c r="C9397" s="1" t="s">
        <v>17311</v>
      </c>
      <c r="D9397" s="2">
        <v>40238</v>
      </c>
      <c r="E9397" s="1" t="s">
        <v>18704</v>
      </c>
      <c r="F9397" s="1" t="s">
        <v>30</v>
      </c>
    </row>
    <row r="9398" spans="1:6" ht="30" customHeight="1" x14ac:dyDescent="0.25">
      <c r="A9398" s="1" t="s">
        <v>18705</v>
      </c>
      <c r="B9398" s="1" t="str">
        <f>"9781621007173"</f>
        <v>9781621007173</v>
      </c>
      <c r="C9398" s="1" t="s">
        <v>17311</v>
      </c>
      <c r="D9398" s="2">
        <v>41108</v>
      </c>
      <c r="E9398" s="1" t="s">
        <v>18706</v>
      </c>
      <c r="F9398" s="1" t="s">
        <v>13</v>
      </c>
    </row>
    <row r="9399" spans="1:6" ht="30" customHeight="1" x14ac:dyDescent="0.25">
      <c r="A9399" s="1" t="s">
        <v>18707</v>
      </c>
      <c r="B9399" s="1" t="str">
        <f>"9781622571260"</f>
        <v>9781622571260</v>
      </c>
      <c r="C9399" s="1" t="s">
        <v>17311</v>
      </c>
      <c r="D9399" s="2">
        <v>40817</v>
      </c>
      <c r="E9399" s="1" t="s">
        <v>18708</v>
      </c>
      <c r="F9399" s="1" t="s">
        <v>30</v>
      </c>
    </row>
    <row r="9400" spans="1:6" ht="30" customHeight="1" x14ac:dyDescent="0.25">
      <c r="A9400" s="1" t="s">
        <v>18709</v>
      </c>
      <c r="B9400" s="1" t="str">
        <f>"9781621007395"</f>
        <v>9781621007395</v>
      </c>
      <c r="C9400" s="1" t="s">
        <v>17311</v>
      </c>
      <c r="D9400" s="2">
        <v>41030</v>
      </c>
      <c r="E9400" s="1" t="s">
        <v>18710</v>
      </c>
      <c r="F9400" s="1" t="s">
        <v>221</v>
      </c>
    </row>
    <row r="9401" spans="1:6" ht="30" customHeight="1" x14ac:dyDescent="0.25">
      <c r="A9401" s="1" t="s">
        <v>18711</v>
      </c>
      <c r="B9401" s="1" t="str">
        <f>"9781622571192"</f>
        <v>9781622571192</v>
      </c>
      <c r="C9401" s="1" t="s">
        <v>17311</v>
      </c>
      <c r="D9401" s="2">
        <v>40710</v>
      </c>
      <c r="E9401" s="1" t="s">
        <v>18712</v>
      </c>
      <c r="F9401" s="1" t="s">
        <v>13</v>
      </c>
    </row>
    <row r="9402" spans="1:6" ht="30" customHeight="1" x14ac:dyDescent="0.25">
      <c r="A9402" s="1" t="s">
        <v>18713</v>
      </c>
      <c r="B9402" s="1" t="str">
        <f>"9781621008811"</f>
        <v>9781621008811</v>
      </c>
      <c r="C9402" s="1" t="s">
        <v>17311</v>
      </c>
      <c r="D9402" s="2">
        <v>40980</v>
      </c>
      <c r="E9402" s="1" t="s">
        <v>18714</v>
      </c>
      <c r="F9402" s="1" t="s">
        <v>13</v>
      </c>
    </row>
    <row r="9403" spans="1:6" ht="30" customHeight="1" x14ac:dyDescent="0.25">
      <c r="A9403" s="1" t="s">
        <v>18715</v>
      </c>
      <c r="B9403" s="1" t="str">
        <f>"9781621008170"</f>
        <v>9781621008170</v>
      </c>
      <c r="C9403" s="1" t="s">
        <v>17311</v>
      </c>
      <c r="D9403" s="2">
        <v>41100</v>
      </c>
      <c r="E9403" s="1" t="s">
        <v>18716</v>
      </c>
      <c r="F9403" s="1" t="s">
        <v>13</v>
      </c>
    </row>
    <row r="9404" spans="1:6" ht="30" customHeight="1" x14ac:dyDescent="0.25">
      <c r="A9404" s="1" t="s">
        <v>18717</v>
      </c>
      <c r="B9404" s="1" t="str">
        <f>"9781622570164"</f>
        <v>9781622570164</v>
      </c>
      <c r="C9404" s="1" t="s">
        <v>17311</v>
      </c>
      <c r="D9404" s="2">
        <v>40864</v>
      </c>
      <c r="E9404" s="1" t="s">
        <v>18718</v>
      </c>
      <c r="F9404" s="1" t="s">
        <v>30</v>
      </c>
    </row>
    <row r="9405" spans="1:6" ht="30" customHeight="1" x14ac:dyDescent="0.25">
      <c r="A9405" s="1" t="s">
        <v>18719</v>
      </c>
      <c r="B9405" s="1" t="str">
        <f>"9781621004394"</f>
        <v>9781621004394</v>
      </c>
      <c r="C9405" s="1" t="s">
        <v>17311</v>
      </c>
      <c r="D9405" s="2">
        <v>40695</v>
      </c>
      <c r="E9405" s="1" t="s">
        <v>18720</v>
      </c>
      <c r="F9405" s="1" t="s">
        <v>137</v>
      </c>
    </row>
    <row r="9406" spans="1:6" ht="30" customHeight="1" x14ac:dyDescent="0.25">
      <c r="A9406" s="1" t="s">
        <v>18721</v>
      </c>
      <c r="B9406" s="1" t="str">
        <f>"9781621005766"</f>
        <v>9781621005766</v>
      </c>
      <c r="C9406" s="1" t="s">
        <v>17311</v>
      </c>
      <c r="D9406" s="2">
        <v>41109</v>
      </c>
      <c r="E9406" s="1" t="s">
        <v>18722</v>
      </c>
      <c r="F9406" s="1" t="s">
        <v>13</v>
      </c>
    </row>
    <row r="9407" spans="1:6" ht="30" customHeight="1" x14ac:dyDescent="0.25">
      <c r="A9407" s="1" t="s">
        <v>18723</v>
      </c>
      <c r="B9407" s="1" t="str">
        <f>"9781621008958"</f>
        <v>9781621008958</v>
      </c>
      <c r="C9407" s="1" t="s">
        <v>17311</v>
      </c>
      <c r="D9407" s="2">
        <v>40970</v>
      </c>
      <c r="E9407" s="1" t="s">
        <v>18724</v>
      </c>
      <c r="F9407" s="1" t="s">
        <v>95</v>
      </c>
    </row>
    <row r="9408" spans="1:6" ht="30" customHeight="1" x14ac:dyDescent="0.25">
      <c r="A9408" s="1" t="s">
        <v>18725</v>
      </c>
      <c r="B9408" s="1" t="str">
        <f>"9781621004806"</f>
        <v>9781621004806</v>
      </c>
      <c r="C9408" s="1" t="s">
        <v>17311</v>
      </c>
      <c r="D9408" s="2">
        <v>41067</v>
      </c>
      <c r="E9408" s="1" t="s">
        <v>18726</v>
      </c>
      <c r="F9408" s="1" t="s">
        <v>148</v>
      </c>
    </row>
    <row r="9409" spans="1:6" ht="30" customHeight="1" x14ac:dyDescent="0.25">
      <c r="A9409" s="1" t="s">
        <v>18727</v>
      </c>
      <c r="B9409" s="1" t="str">
        <f>"9781621004370"</f>
        <v>9781621004370</v>
      </c>
      <c r="C9409" s="1" t="s">
        <v>17311</v>
      </c>
      <c r="D9409" s="2">
        <v>41773</v>
      </c>
      <c r="E9409" s="1" t="s">
        <v>18728</v>
      </c>
      <c r="F9409" s="1" t="s">
        <v>13</v>
      </c>
    </row>
    <row r="9410" spans="1:6" ht="30" customHeight="1" x14ac:dyDescent="0.25">
      <c r="A9410" s="1" t="s">
        <v>18729</v>
      </c>
      <c r="B9410" s="1" t="str">
        <f>"9781621004165"</f>
        <v>9781621004165</v>
      </c>
      <c r="C9410" s="1" t="s">
        <v>17311</v>
      </c>
      <c r="D9410" s="2">
        <v>40725</v>
      </c>
      <c r="E9410" s="1" t="s">
        <v>18730</v>
      </c>
      <c r="F9410" s="1" t="s">
        <v>13</v>
      </c>
    </row>
    <row r="9411" spans="1:6" ht="30" customHeight="1" x14ac:dyDescent="0.25">
      <c r="A9411" s="1" t="s">
        <v>18731</v>
      </c>
      <c r="B9411" s="1" t="str">
        <f>"9781622570799"</f>
        <v>9781622570799</v>
      </c>
      <c r="C9411" s="1" t="s">
        <v>17311</v>
      </c>
      <c r="D9411" s="2">
        <v>40886</v>
      </c>
      <c r="E9411" s="1" t="s">
        <v>18732</v>
      </c>
      <c r="F9411" s="1" t="s">
        <v>13</v>
      </c>
    </row>
    <row r="9412" spans="1:6" ht="30" customHeight="1" x14ac:dyDescent="0.25">
      <c r="A9412" s="1" t="s">
        <v>18733</v>
      </c>
      <c r="B9412" s="1" t="str">
        <f>"9781621007845"</f>
        <v>9781621007845</v>
      </c>
      <c r="C9412" s="1" t="s">
        <v>17311</v>
      </c>
      <c r="D9412" s="2">
        <v>40575</v>
      </c>
      <c r="E9412" s="1" t="s">
        <v>18734</v>
      </c>
      <c r="F9412" s="1" t="s">
        <v>13</v>
      </c>
    </row>
    <row r="9413" spans="1:6" ht="30" customHeight="1" x14ac:dyDescent="0.25">
      <c r="A9413" s="1" t="s">
        <v>18735</v>
      </c>
      <c r="B9413" s="1" t="str">
        <f>"9781621007821"</f>
        <v>9781621007821</v>
      </c>
      <c r="C9413" s="1" t="s">
        <v>17311</v>
      </c>
      <c r="D9413" s="2">
        <v>40210</v>
      </c>
      <c r="E9413" s="1" t="s">
        <v>18736</v>
      </c>
      <c r="F9413" s="1" t="s">
        <v>158</v>
      </c>
    </row>
    <row r="9414" spans="1:6" ht="30" customHeight="1" x14ac:dyDescent="0.25">
      <c r="A9414" s="1" t="s">
        <v>18737</v>
      </c>
      <c r="B9414" s="1" t="str">
        <f>"9781621005582"</f>
        <v>9781621005582</v>
      </c>
      <c r="C9414" s="1" t="s">
        <v>17311</v>
      </c>
      <c r="D9414" s="2">
        <v>41142</v>
      </c>
      <c r="E9414" s="1" t="s">
        <v>18738</v>
      </c>
      <c r="F9414" s="1" t="s">
        <v>13</v>
      </c>
    </row>
    <row r="9415" spans="1:6" ht="30" customHeight="1" x14ac:dyDescent="0.25">
      <c r="A9415" s="1" t="s">
        <v>18739</v>
      </c>
      <c r="B9415" s="1" t="str">
        <f>"9781624174759"</f>
        <v>9781624174759</v>
      </c>
      <c r="C9415" s="1" t="s">
        <v>17311</v>
      </c>
      <c r="D9415" s="2">
        <v>40864</v>
      </c>
      <c r="E9415" s="1" t="s">
        <v>18740</v>
      </c>
      <c r="F9415" s="1" t="s">
        <v>13</v>
      </c>
    </row>
    <row r="9416" spans="1:6" ht="30" customHeight="1" x14ac:dyDescent="0.25">
      <c r="A9416" s="1" t="s">
        <v>17896</v>
      </c>
      <c r="B9416" s="1" t="str">
        <f>"9781624175251"</f>
        <v>9781624175251</v>
      </c>
      <c r="C9416" s="1" t="s">
        <v>17311</v>
      </c>
      <c r="D9416" s="2">
        <v>40848</v>
      </c>
      <c r="E9416" s="1" t="s">
        <v>17897</v>
      </c>
      <c r="F9416" s="1" t="s">
        <v>13</v>
      </c>
    </row>
    <row r="9417" spans="1:6" ht="30" customHeight="1" x14ac:dyDescent="0.25">
      <c r="A9417" s="1" t="s">
        <v>18741</v>
      </c>
      <c r="B9417" s="1" t="str">
        <f>"9781622575824"</f>
        <v>9781622575824</v>
      </c>
      <c r="C9417" s="1" t="s">
        <v>17311</v>
      </c>
      <c r="D9417" s="2">
        <v>39326</v>
      </c>
      <c r="E9417" s="1" t="s">
        <v>18742</v>
      </c>
      <c r="F9417" s="1" t="s">
        <v>70</v>
      </c>
    </row>
    <row r="9418" spans="1:6" ht="30" customHeight="1" x14ac:dyDescent="0.25">
      <c r="A9418" s="1" t="s">
        <v>18743</v>
      </c>
      <c r="B9418" s="1" t="str">
        <f>"9781624175268"</f>
        <v>9781624175268</v>
      </c>
      <c r="C9418" s="1" t="s">
        <v>17311</v>
      </c>
      <c r="D9418" s="2">
        <v>40842</v>
      </c>
      <c r="E9418" s="1" t="s">
        <v>18744</v>
      </c>
      <c r="F9418" s="1" t="s">
        <v>13</v>
      </c>
    </row>
    <row r="9419" spans="1:6" ht="30" customHeight="1" x14ac:dyDescent="0.25">
      <c r="A9419" s="1" t="s">
        <v>18745</v>
      </c>
      <c r="B9419" s="1" t="str">
        <f>"9781622578658"</f>
        <v>9781622578658</v>
      </c>
      <c r="C9419" s="1" t="s">
        <v>17311</v>
      </c>
      <c r="D9419" s="2">
        <v>41075</v>
      </c>
      <c r="E9419" s="1" t="s">
        <v>18746</v>
      </c>
      <c r="F9419" s="1" t="s">
        <v>13</v>
      </c>
    </row>
    <row r="9420" spans="1:6" ht="30" customHeight="1" x14ac:dyDescent="0.25">
      <c r="A9420" s="1" t="s">
        <v>18747</v>
      </c>
      <c r="B9420" s="1" t="str">
        <f>"9781622572250"</f>
        <v>9781622572250</v>
      </c>
      <c r="C9420" s="1" t="s">
        <v>17311</v>
      </c>
      <c r="D9420" s="2">
        <v>40967</v>
      </c>
      <c r="E9420" s="1" t="s">
        <v>18748</v>
      </c>
      <c r="F9420" s="1" t="s">
        <v>13</v>
      </c>
    </row>
    <row r="9421" spans="1:6" ht="30" customHeight="1" x14ac:dyDescent="0.25">
      <c r="A9421" s="1" t="s">
        <v>18749</v>
      </c>
      <c r="B9421" s="1" t="str">
        <f>"9781622578856"</f>
        <v>9781622578856</v>
      </c>
      <c r="C9421" s="1" t="s">
        <v>17311</v>
      </c>
      <c r="D9421" s="2">
        <v>41244</v>
      </c>
      <c r="E9421" s="1" t="s">
        <v>18750</v>
      </c>
      <c r="F9421" s="1" t="s">
        <v>13</v>
      </c>
    </row>
    <row r="9422" spans="1:6" ht="30" customHeight="1" x14ac:dyDescent="0.25">
      <c r="A9422" s="1" t="s">
        <v>18751</v>
      </c>
      <c r="B9422" s="1" t="str">
        <f>"9781622575220"</f>
        <v>9781622575220</v>
      </c>
      <c r="C9422" s="1" t="s">
        <v>17311</v>
      </c>
      <c r="D9422" s="2">
        <v>41244</v>
      </c>
      <c r="E9422" s="1" t="s">
        <v>18752</v>
      </c>
      <c r="F9422" s="1" t="s">
        <v>13</v>
      </c>
    </row>
    <row r="9423" spans="1:6" ht="30" customHeight="1" x14ac:dyDescent="0.25">
      <c r="A9423" s="1" t="s">
        <v>18753</v>
      </c>
      <c r="B9423" s="1" t="str">
        <f>"9781622572021"</f>
        <v>9781622572021</v>
      </c>
      <c r="C9423" s="1" t="s">
        <v>17311</v>
      </c>
      <c r="D9423" s="2">
        <v>39661</v>
      </c>
      <c r="E9423" s="1" t="s">
        <v>18754</v>
      </c>
      <c r="F9423" s="1" t="s">
        <v>13</v>
      </c>
    </row>
    <row r="9424" spans="1:6" ht="30" customHeight="1" x14ac:dyDescent="0.25">
      <c r="A9424" s="1" t="s">
        <v>18755</v>
      </c>
      <c r="B9424" s="1" t="str">
        <f>"9781622572090"</f>
        <v>9781622572090</v>
      </c>
      <c r="C9424" s="1" t="s">
        <v>17311</v>
      </c>
      <c r="D9424" s="2">
        <v>40735</v>
      </c>
      <c r="E9424" s="1" t="s">
        <v>18756</v>
      </c>
      <c r="F9424" s="1" t="s">
        <v>13</v>
      </c>
    </row>
    <row r="9425" spans="1:6" ht="30" customHeight="1" x14ac:dyDescent="0.25">
      <c r="A9425" s="1" t="s">
        <v>18757</v>
      </c>
      <c r="B9425" s="1" t="str">
        <f>"9781622574995"</f>
        <v>9781622574995</v>
      </c>
      <c r="C9425" s="1" t="s">
        <v>17311</v>
      </c>
      <c r="D9425" s="2">
        <v>41214</v>
      </c>
      <c r="E9425" s="1" t="s">
        <v>18758</v>
      </c>
      <c r="F9425" s="1" t="s">
        <v>13</v>
      </c>
    </row>
    <row r="9426" spans="1:6" ht="30" customHeight="1" x14ac:dyDescent="0.25">
      <c r="A9426" s="1" t="s">
        <v>18759</v>
      </c>
      <c r="B9426" s="1" t="str">
        <f>"9781624171086"</f>
        <v>9781624171086</v>
      </c>
      <c r="C9426" s="1" t="s">
        <v>17311</v>
      </c>
      <c r="D9426" s="2">
        <v>41244</v>
      </c>
      <c r="E9426" s="1" t="s">
        <v>18760</v>
      </c>
      <c r="F9426" s="1" t="s">
        <v>13</v>
      </c>
    </row>
    <row r="9427" spans="1:6" ht="30" customHeight="1" x14ac:dyDescent="0.25">
      <c r="A9427" s="1" t="s">
        <v>18761</v>
      </c>
      <c r="B9427" s="1" t="str">
        <f>"9781622578467"</f>
        <v>9781622578467</v>
      </c>
      <c r="C9427" s="1" t="s">
        <v>17311</v>
      </c>
      <c r="D9427" s="2">
        <v>40848</v>
      </c>
      <c r="E9427" s="1" t="s">
        <v>17923</v>
      </c>
      <c r="F9427" s="1" t="s">
        <v>221</v>
      </c>
    </row>
    <row r="9428" spans="1:6" ht="30" customHeight="1" x14ac:dyDescent="0.25">
      <c r="A9428" s="1" t="s">
        <v>18762</v>
      </c>
      <c r="B9428" s="1" t="str">
        <f>"9781622579822"</f>
        <v>9781622579822</v>
      </c>
      <c r="C9428" s="1" t="s">
        <v>17311</v>
      </c>
      <c r="D9428" s="2">
        <v>41275</v>
      </c>
      <c r="E9428" s="1" t="s">
        <v>18763</v>
      </c>
      <c r="F9428" s="1" t="s">
        <v>13</v>
      </c>
    </row>
    <row r="9429" spans="1:6" ht="30" customHeight="1" x14ac:dyDescent="0.25">
      <c r="A9429" s="1" t="s">
        <v>18764</v>
      </c>
      <c r="B9429" s="1" t="str">
        <f>"9781620819081"</f>
        <v>9781620819081</v>
      </c>
      <c r="C9429" s="1" t="s">
        <v>17311</v>
      </c>
      <c r="D9429" s="2">
        <v>40756</v>
      </c>
      <c r="E9429" s="1" t="s">
        <v>18193</v>
      </c>
      <c r="F9429" s="1" t="s">
        <v>13</v>
      </c>
    </row>
    <row r="9430" spans="1:6" ht="30" customHeight="1" x14ac:dyDescent="0.25">
      <c r="A9430" s="1" t="s">
        <v>18765</v>
      </c>
      <c r="B9430" s="1" t="str">
        <f>"9781621002383"</f>
        <v>9781621002383</v>
      </c>
      <c r="C9430" s="1" t="s">
        <v>17311</v>
      </c>
      <c r="D9430" s="2">
        <v>40664</v>
      </c>
      <c r="E9430" s="1" t="s">
        <v>18766</v>
      </c>
      <c r="F9430" s="1" t="s">
        <v>70</v>
      </c>
    </row>
    <row r="9431" spans="1:6" ht="30" customHeight="1" x14ac:dyDescent="0.25">
      <c r="A9431" s="1" t="s">
        <v>18767</v>
      </c>
      <c r="B9431" s="1" t="str">
        <f>"9781620817117"</f>
        <v>9781620817117</v>
      </c>
      <c r="C9431" s="1" t="s">
        <v>17311</v>
      </c>
      <c r="D9431" s="2">
        <v>40878</v>
      </c>
      <c r="E9431" s="1" t="s">
        <v>18768</v>
      </c>
      <c r="F9431" s="1" t="s">
        <v>13</v>
      </c>
    </row>
    <row r="9432" spans="1:6" ht="30" customHeight="1" x14ac:dyDescent="0.25">
      <c r="A9432" s="1" t="s">
        <v>17901</v>
      </c>
      <c r="B9432" s="1" t="str">
        <f>"9781621000563"</f>
        <v>9781621000563</v>
      </c>
      <c r="C9432" s="1" t="s">
        <v>17311</v>
      </c>
      <c r="D9432" s="2">
        <v>40664</v>
      </c>
      <c r="E9432" s="1" t="s">
        <v>17902</v>
      </c>
      <c r="F9432" s="1" t="s">
        <v>13</v>
      </c>
    </row>
    <row r="9433" spans="1:6" ht="30" customHeight="1" x14ac:dyDescent="0.25">
      <c r="A9433" s="1" t="s">
        <v>18769</v>
      </c>
      <c r="B9433" s="1" t="str">
        <f>"9781621000358"</f>
        <v>9781621000358</v>
      </c>
      <c r="C9433" s="1" t="s">
        <v>17311</v>
      </c>
      <c r="D9433" s="2">
        <v>40634</v>
      </c>
      <c r="E9433" s="1" t="s">
        <v>17879</v>
      </c>
      <c r="F9433" s="1" t="s">
        <v>480</v>
      </c>
    </row>
    <row r="9434" spans="1:6" ht="30" customHeight="1" x14ac:dyDescent="0.25">
      <c r="A9434" s="1" t="s">
        <v>18770</v>
      </c>
      <c r="B9434" s="1" t="str">
        <f>"9781620819074"</f>
        <v>9781620819074</v>
      </c>
      <c r="C9434" s="1" t="s">
        <v>17311</v>
      </c>
      <c r="D9434" s="2">
        <v>40848</v>
      </c>
      <c r="E9434" s="1" t="s">
        <v>18771</v>
      </c>
      <c r="F9434" s="1" t="s">
        <v>13</v>
      </c>
    </row>
    <row r="9435" spans="1:6" ht="30" customHeight="1" x14ac:dyDescent="0.25">
      <c r="A9435" s="1" t="s">
        <v>18772</v>
      </c>
      <c r="B9435" s="1" t="str">
        <f>"9781621002512"</f>
        <v>9781621002512</v>
      </c>
      <c r="C9435" s="1" t="s">
        <v>17311</v>
      </c>
      <c r="D9435" s="2">
        <v>40360</v>
      </c>
      <c r="E9435" s="1" t="s">
        <v>18773</v>
      </c>
      <c r="F9435" s="1" t="s">
        <v>30</v>
      </c>
    </row>
    <row r="9436" spans="1:6" ht="30" customHeight="1" x14ac:dyDescent="0.25">
      <c r="A9436" s="1" t="s">
        <v>18774</v>
      </c>
      <c r="B9436" s="1" t="str">
        <f>"9781621000419"</f>
        <v>9781621000419</v>
      </c>
      <c r="C9436" s="1" t="s">
        <v>17311</v>
      </c>
      <c r="D9436" s="2">
        <v>40612</v>
      </c>
      <c r="E9436" s="1" t="s">
        <v>17879</v>
      </c>
      <c r="F9436" s="1" t="s">
        <v>13</v>
      </c>
    </row>
    <row r="9437" spans="1:6" ht="30" customHeight="1" x14ac:dyDescent="0.25">
      <c r="A9437" s="1" t="s">
        <v>18775</v>
      </c>
      <c r="B9437" s="1" t="str">
        <f>"9781620819982"</f>
        <v>9781620819982</v>
      </c>
      <c r="C9437" s="1" t="s">
        <v>17311</v>
      </c>
      <c r="D9437" s="2">
        <v>40848</v>
      </c>
      <c r="E9437" s="1" t="s">
        <v>18776</v>
      </c>
      <c r="F9437" s="1" t="s">
        <v>13</v>
      </c>
    </row>
    <row r="9438" spans="1:6" ht="30" customHeight="1" x14ac:dyDescent="0.25">
      <c r="A9438" s="1" t="s">
        <v>18777</v>
      </c>
      <c r="B9438" s="1" t="str">
        <f>"9781620818893"</f>
        <v>9781620818893</v>
      </c>
      <c r="C9438" s="1" t="s">
        <v>17311</v>
      </c>
      <c r="D9438" s="2">
        <v>39814</v>
      </c>
      <c r="E9438" s="1" t="s">
        <v>18778</v>
      </c>
      <c r="F9438" s="1" t="s">
        <v>13</v>
      </c>
    </row>
    <row r="9439" spans="1:6" ht="30" customHeight="1" x14ac:dyDescent="0.25">
      <c r="A9439" s="1" t="s">
        <v>18779</v>
      </c>
      <c r="B9439" s="1" t="str">
        <f>"9781620819197"</f>
        <v>9781620819197</v>
      </c>
      <c r="C9439" s="1" t="s">
        <v>17311</v>
      </c>
      <c r="D9439" s="2">
        <v>40842</v>
      </c>
      <c r="E9439" s="1" t="s">
        <v>18780</v>
      </c>
      <c r="F9439" s="1" t="s">
        <v>13</v>
      </c>
    </row>
    <row r="9440" spans="1:6" ht="30" customHeight="1" x14ac:dyDescent="0.25">
      <c r="A9440" s="1" t="s">
        <v>18781</v>
      </c>
      <c r="B9440" s="1" t="str">
        <f>"9781620819319"</f>
        <v>9781620819319</v>
      </c>
      <c r="C9440" s="1" t="s">
        <v>17311</v>
      </c>
      <c r="D9440" s="2">
        <v>40834</v>
      </c>
      <c r="E9440" s="1" t="s">
        <v>18782</v>
      </c>
      <c r="F9440" s="1" t="s">
        <v>13</v>
      </c>
    </row>
    <row r="9441" spans="1:6" ht="30" customHeight="1" x14ac:dyDescent="0.25">
      <c r="A9441" s="1" t="s">
        <v>18783</v>
      </c>
      <c r="B9441" s="1" t="str">
        <f>"9781626188945"</f>
        <v>9781626188945</v>
      </c>
      <c r="C9441" s="1" t="s">
        <v>17311</v>
      </c>
      <c r="D9441" s="2">
        <v>40842</v>
      </c>
      <c r="E9441" s="1" t="s">
        <v>18784</v>
      </c>
      <c r="F9441" s="1" t="s">
        <v>268</v>
      </c>
    </row>
    <row r="9442" spans="1:6" ht="30" customHeight="1" x14ac:dyDescent="0.25">
      <c r="A9442" s="1" t="s">
        <v>18785</v>
      </c>
      <c r="B9442" s="1" t="str">
        <f>"9781624177910"</f>
        <v>9781624177910</v>
      </c>
      <c r="C9442" s="1" t="s">
        <v>17311</v>
      </c>
      <c r="D9442" s="2">
        <v>41353</v>
      </c>
      <c r="E9442" s="1" t="s">
        <v>18786</v>
      </c>
      <c r="F9442" s="1" t="s">
        <v>137</v>
      </c>
    </row>
    <row r="9443" spans="1:6" ht="30" customHeight="1" x14ac:dyDescent="0.25">
      <c r="A9443" s="1" t="s">
        <v>18787</v>
      </c>
      <c r="B9443" s="1" t="str">
        <f>"9781606927663"</f>
        <v>9781606927663</v>
      </c>
      <c r="C9443" s="1" t="s">
        <v>17311</v>
      </c>
      <c r="D9443" s="2">
        <v>38870</v>
      </c>
      <c r="E9443" s="1" t="s">
        <v>18788</v>
      </c>
      <c r="F9443" s="1" t="s">
        <v>30</v>
      </c>
    </row>
    <row r="9444" spans="1:6" ht="30" customHeight="1" x14ac:dyDescent="0.25">
      <c r="A9444" s="1" t="s">
        <v>18789</v>
      </c>
      <c r="B9444" s="1" t="str">
        <f>"9781608766956"</f>
        <v>9781608766956</v>
      </c>
      <c r="C9444" s="1" t="s">
        <v>17311</v>
      </c>
      <c r="D9444" s="2">
        <v>40057</v>
      </c>
      <c r="E9444" s="1" t="s">
        <v>18790</v>
      </c>
      <c r="F9444" s="1" t="s">
        <v>13</v>
      </c>
    </row>
    <row r="9445" spans="1:6" ht="30" customHeight="1" x14ac:dyDescent="0.25">
      <c r="A9445" s="1" t="s">
        <v>18791</v>
      </c>
      <c r="B9445" s="1" t="str">
        <f>"9781616686505"</f>
        <v>9781616686505</v>
      </c>
      <c r="C9445" s="1" t="s">
        <v>17311</v>
      </c>
      <c r="D9445" s="2">
        <v>39184</v>
      </c>
      <c r="E9445" s="1" t="s">
        <v>18792</v>
      </c>
      <c r="F9445" s="1" t="s">
        <v>13</v>
      </c>
    </row>
    <row r="9446" spans="1:6" ht="30" customHeight="1" x14ac:dyDescent="0.25">
      <c r="A9446" s="1" t="s">
        <v>18793</v>
      </c>
      <c r="B9446" s="1" t="str">
        <f>"9781612093512"</f>
        <v>9781612093512</v>
      </c>
      <c r="C9446" s="1" t="s">
        <v>17311</v>
      </c>
      <c r="D9446" s="2">
        <v>39017</v>
      </c>
      <c r="E9446" s="1" t="s">
        <v>18794</v>
      </c>
      <c r="F9446" s="1" t="s">
        <v>13</v>
      </c>
    </row>
    <row r="9447" spans="1:6" ht="30" customHeight="1" x14ac:dyDescent="0.25">
      <c r="A9447" s="1" t="s">
        <v>18795</v>
      </c>
      <c r="B9447" s="1" t="str">
        <f>"9781608766031"</f>
        <v>9781608766031</v>
      </c>
      <c r="C9447" s="1" t="s">
        <v>17311</v>
      </c>
      <c r="D9447" s="2">
        <v>41773</v>
      </c>
      <c r="E9447" s="1" t="s">
        <v>18796</v>
      </c>
      <c r="F9447" s="1" t="s">
        <v>13</v>
      </c>
    </row>
    <row r="9448" spans="1:6" ht="30" customHeight="1" x14ac:dyDescent="0.25">
      <c r="A9448" s="1" t="s">
        <v>18797</v>
      </c>
      <c r="B9448" s="1" t="str">
        <f>"9781614707103"</f>
        <v>9781614707103</v>
      </c>
      <c r="C9448" s="1" t="s">
        <v>17311</v>
      </c>
      <c r="D9448" s="2">
        <v>38473</v>
      </c>
      <c r="E9448" s="1" t="s">
        <v>18798</v>
      </c>
      <c r="F9448" s="1" t="s">
        <v>13</v>
      </c>
    </row>
    <row r="9449" spans="1:6" ht="30" customHeight="1" x14ac:dyDescent="0.25">
      <c r="A9449" s="1" t="s">
        <v>18799</v>
      </c>
      <c r="B9449" s="1" t="str">
        <f>"9781624178764"</f>
        <v>9781624178764</v>
      </c>
      <c r="C9449" s="1" t="s">
        <v>17311</v>
      </c>
      <c r="D9449" s="2">
        <v>41394</v>
      </c>
      <c r="E9449" s="1" t="s">
        <v>18800</v>
      </c>
      <c r="F9449" s="1" t="s">
        <v>13</v>
      </c>
    </row>
    <row r="9450" spans="1:6" ht="30" customHeight="1" x14ac:dyDescent="0.25">
      <c r="A9450" s="1" t="s">
        <v>18801</v>
      </c>
      <c r="B9450" s="1" t="str">
        <f>"9781614701415"</f>
        <v>9781614701415</v>
      </c>
      <c r="C9450" s="1" t="s">
        <v>17311</v>
      </c>
      <c r="D9450" s="2">
        <v>37530</v>
      </c>
      <c r="E9450" s="1" t="s">
        <v>18802</v>
      </c>
      <c r="F9450" s="1" t="s">
        <v>13</v>
      </c>
    </row>
    <row r="9451" spans="1:6" ht="30" customHeight="1" x14ac:dyDescent="0.25">
      <c r="A9451" s="1" t="s">
        <v>18803</v>
      </c>
      <c r="B9451" s="1" t="str">
        <f>"9781616680657"</f>
        <v>9781616680657</v>
      </c>
      <c r="C9451" s="1" t="s">
        <v>17311</v>
      </c>
      <c r="D9451" s="2">
        <v>39793</v>
      </c>
      <c r="E9451" s="1" t="s">
        <v>18804</v>
      </c>
      <c r="F9451" s="1" t="s">
        <v>13</v>
      </c>
    </row>
    <row r="9452" spans="1:6" ht="30" customHeight="1" x14ac:dyDescent="0.25">
      <c r="A9452" s="1" t="s">
        <v>18805</v>
      </c>
      <c r="B9452" s="1" t="str">
        <f>"9781616680978"</f>
        <v>9781616680978</v>
      </c>
      <c r="C9452" s="1" t="s">
        <v>17311</v>
      </c>
      <c r="D9452" s="2">
        <v>39757</v>
      </c>
      <c r="E9452" s="1" t="s">
        <v>18806</v>
      </c>
      <c r="F9452" s="1" t="s">
        <v>13</v>
      </c>
    </row>
    <row r="9453" spans="1:6" ht="30" customHeight="1" x14ac:dyDescent="0.25">
      <c r="A9453" s="1" t="s">
        <v>18807</v>
      </c>
      <c r="B9453" s="1" t="str">
        <f>"9781624175800"</f>
        <v>9781624175800</v>
      </c>
      <c r="C9453" s="1" t="s">
        <v>17311</v>
      </c>
      <c r="D9453" s="2">
        <v>41306</v>
      </c>
      <c r="E9453" s="1" t="s">
        <v>18808</v>
      </c>
      <c r="F9453" s="1" t="s">
        <v>13</v>
      </c>
    </row>
    <row r="9454" spans="1:6" ht="30" customHeight="1" x14ac:dyDescent="0.25">
      <c r="A9454" s="1" t="s">
        <v>18809</v>
      </c>
      <c r="B9454" s="1" t="str">
        <f>"9781624178931"</f>
        <v>9781624178931</v>
      </c>
      <c r="C9454" s="1" t="s">
        <v>17311</v>
      </c>
      <c r="D9454" s="2">
        <v>41348</v>
      </c>
      <c r="E9454" s="1" t="s">
        <v>18810</v>
      </c>
      <c r="F9454" s="1" t="s">
        <v>13</v>
      </c>
    </row>
    <row r="9455" spans="1:6" ht="30" customHeight="1" x14ac:dyDescent="0.25">
      <c r="A9455" s="1" t="s">
        <v>18811</v>
      </c>
      <c r="B9455" s="1" t="str">
        <f>"9781624176135"</f>
        <v>9781624176135</v>
      </c>
      <c r="C9455" s="1" t="s">
        <v>17311</v>
      </c>
      <c r="D9455" s="2">
        <v>41330</v>
      </c>
      <c r="E9455" s="1" t="s">
        <v>18812</v>
      </c>
      <c r="F9455" s="1" t="s">
        <v>13</v>
      </c>
    </row>
    <row r="9456" spans="1:6" ht="30" customHeight="1" x14ac:dyDescent="0.25">
      <c r="A9456" s="1" t="s">
        <v>18813</v>
      </c>
      <c r="B9456" s="1" t="str">
        <f>"9781624176609"</f>
        <v>9781624176609</v>
      </c>
      <c r="C9456" s="1" t="s">
        <v>17311</v>
      </c>
      <c r="D9456" s="2">
        <v>41330</v>
      </c>
      <c r="E9456" s="1" t="s">
        <v>18814</v>
      </c>
      <c r="F9456" s="1" t="s">
        <v>13</v>
      </c>
    </row>
    <row r="9457" spans="1:6" ht="30" customHeight="1" x14ac:dyDescent="0.25">
      <c r="A9457" s="1" t="s">
        <v>18815</v>
      </c>
      <c r="B9457" s="1" t="str">
        <f>"9781621004912"</f>
        <v>9781621004912</v>
      </c>
      <c r="C9457" s="1" t="s">
        <v>17311</v>
      </c>
      <c r="D9457" s="2">
        <v>40969</v>
      </c>
      <c r="E9457" s="1" t="s">
        <v>18816</v>
      </c>
      <c r="F9457" s="1" t="s">
        <v>268</v>
      </c>
    </row>
    <row r="9458" spans="1:6" ht="30" customHeight="1" x14ac:dyDescent="0.25">
      <c r="A9458" s="1" t="s">
        <v>18817</v>
      </c>
      <c r="B9458" s="1" t="str">
        <f>"9781628084146"</f>
        <v>9781628084146</v>
      </c>
      <c r="C9458" s="1" t="s">
        <v>17311</v>
      </c>
      <c r="D9458" s="2">
        <v>38342</v>
      </c>
      <c r="E9458" s="1" t="s">
        <v>18818</v>
      </c>
      <c r="F9458" s="1" t="s">
        <v>13</v>
      </c>
    </row>
    <row r="9459" spans="1:6" ht="30" customHeight="1" x14ac:dyDescent="0.25">
      <c r="A9459" s="1" t="s">
        <v>18819</v>
      </c>
      <c r="B9459" s="1" t="str">
        <f>"9781628082098"</f>
        <v>9781628082098</v>
      </c>
      <c r="C9459" s="1" t="s">
        <v>17311</v>
      </c>
      <c r="D9459" s="2">
        <v>40330</v>
      </c>
      <c r="E9459" s="1" t="s">
        <v>18820</v>
      </c>
      <c r="F9459" s="1" t="s">
        <v>13</v>
      </c>
    </row>
    <row r="9460" spans="1:6" ht="30" customHeight="1" x14ac:dyDescent="0.25">
      <c r="A9460" s="1" t="s">
        <v>18821</v>
      </c>
      <c r="B9460" s="1" t="str">
        <f>"9781616680473"</f>
        <v>9781616680473</v>
      </c>
      <c r="C9460" s="1" t="s">
        <v>17311</v>
      </c>
      <c r="D9460" s="2">
        <v>39780</v>
      </c>
      <c r="E9460" s="1" t="s">
        <v>18822</v>
      </c>
      <c r="F9460" s="1" t="s">
        <v>13</v>
      </c>
    </row>
    <row r="9461" spans="1:6" ht="30" customHeight="1" x14ac:dyDescent="0.25">
      <c r="A9461" s="1" t="s">
        <v>18823</v>
      </c>
      <c r="B9461" s="1" t="str">
        <f>"9781628084771"</f>
        <v>9781628084771</v>
      </c>
      <c r="C9461" s="1" t="s">
        <v>17311</v>
      </c>
      <c r="D9461" s="2">
        <v>40834</v>
      </c>
      <c r="E9461" s="1" t="s">
        <v>18824</v>
      </c>
      <c r="F9461" s="1" t="s">
        <v>30</v>
      </c>
    </row>
    <row r="9462" spans="1:6" ht="30" customHeight="1" x14ac:dyDescent="0.25">
      <c r="A9462" s="1" t="s">
        <v>18825</v>
      </c>
      <c r="B9462" s="1" t="str">
        <f>"9781620810989"</f>
        <v>9781620810989</v>
      </c>
      <c r="C9462" s="1" t="s">
        <v>17311</v>
      </c>
      <c r="D9462" s="2">
        <v>41106</v>
      </c>
      <c r="E9462" s="1" t="s">
        <v>18826</v>
      </c>
      <c r="F9462" s="1" t="s">
        <v>13</v>
      </c>
    </row>
    <row r="9463" spans="1:6" ht="30" customHeight="1" x14ac:dyDescent="0.25">
      <c r="A9463" s="1" t="s">
        <v>18827</v>
      </c>
      <c r="B9463" s="1" t="str">
        <f>"9781621001614"</f>
        <v>9781621001614</v>
      </c>
      <c r="C9463" s="1" t="s">
        <v>17311</v>
      </c>
      <c r="D9463" s="2">
        <v>40689</v>
      </c>
      <c r="E9463" s="1" t="s">
        <v>18828</v>
      </c>
      <c r="F9463" s="1" t="s">
        <v>13</v>
      </c>
    </row>
    <row r="9464" spans="1:6" ht="30" customHeight="1" x14ac:dyDescent="0.25">
      <c r="A9464" s="1" t="s">
        <v>18829</v>
      </c>
      <c r="B9464" s="1" t="str">
        <f>"9781628086768"</f>
        <v>9781628086768</v>
      </c>
      <c r="C9464" s="1" t="s">
        <v>17311</v>
      </c>
      <c r="D9464" s="2">
        <v>41030</v>
      </c>
      <c r="E9464" s="1" t="s">
        <v>18830</v>
      </c>
      <c r="F9464" s="1" t="s">
        <v>13</v>
      </c>
    </row>
    <row r="9465" spans="1:6" ht="30" customHeight="1" x14ac:dyDescent="0.25">
      <c r="A9465" s="1" t="s">
        <v>18831</v>
      </c>
      <c r="B9465" s="1" t="str">
        <f>"9781611222852"</f>
        <v>9781611222852</v>
      </c>
      <c r="C9465" s="1" t="s">
        <v>17311</v>
      </c>
      <c r="D9465" s="2">
        <v>41773</v>
      </c>
      <c r="E9465" s="1" t="s">
        <v>17902</v>
      </c>
      <c r="F9465" s="1" t="s">
        <v>13</v>
      </c>
    </row>
    <row r="9466" spans="1:6" ht="30" customHeight="1" x14ac:dyDescent="0.25">
      <c r="A9466" s="1" t="s">
        <v>18832</v>
      </c>
      <c r="B9466" s="1" t="str">
        <f>"9781619429628"</f>
        <v>9781619429628</v>
      </c>
      <c r="C9466" s="1" t="s">
        <v>17311</v>
      </c>
      <c r="D9466" s="2">
        <v>41170</v>
      </c>
      <c r="E9466" s="1" t="s">
        <v>18833</v>
      </c>
      <c r="F9466" s="1" t="s">
        <v>13</v>
      </c>
    </row>
    <row r="9467" spans="1:6" ht="30" customHeight="1" x14ac:dyDescent="0.25">
      <c r="A9467" s="1" t="s">
        <v>18834</v>
      </c>
      <c r="B9467" s="1" t="str">
        <f>"9781621003069"</f>
        <v>9781621003069</v>
      </c>
      <c r="C9467" s="1" t="s">
        <v>17311</v>
      </c>
      <c r="D9467" s="2">
        <v>41113</v>
      </c>
      <c r="E9467" s="1" t="s">
        <v>18835</v>
      </c>
      <c r="F9467" s="1" t="s">
        <v>137</v>
      </c>
    </row>
    <row r="9468" spans="1:6" ht="30" customHeight="1" x14ac:dyDescent="0.25">
      <c r="A9468" s="1" t="s">
        <v>18836</v>
      </c>
      <c r="B9468" s="1" t="str">
        <f>"9781620816264"</f>
        <v>9781620816264</v>
      </c>
      <c r="C9468" s="1" t="s">
        <v>17311</v>
      </c>
      <c r="D9468" s="2">
        <v>41100</v>
      </c>
      <c r="E9468" s="1" t="s">
        <v>18837</v>
      </c>
      <c r="F9468" s="1" t="s">
        <v>13</v>
      </c>
    </row>
    <row r="9469" spans="1:6" ht="30" customHeight="1" x14ac:dyDescent="0.25">
      <c r="A9469" s="1" t="s">
        <v>18838</v>
      </c>
      <c r="B9469" s="1" t="str">
        <f>"9781628088250"</f>
        <v>9781628088250</v>
      </c>
      <c r="C9469" s="1" t="s">
        <v>17311</v>
      </c>
      <c r="D9469" s="2">
        <v>40807</v>
      </c>
      <c r="E9469" s="1" t="s">
        <v>18839</v>
      </c>
      <c r="F9469" s="1" t="s">
        <v>268</v>
      </c>
    </row>
    <row r="9470" spans="1:6" ht="30" customHeight="1" x14ac:dyDescent="0.25">
      <c r="A9470" s="1" t="s">
        <v>18840</v>
      </c>
      <c r="B9470" s="1" t="str">
        <f>"9781622577071"</f>
        <v>9781622577071</v>
      </c>
      <c r="C9470" s="1" t="s">
        <v>17311</v>
      </c>
      <c r="D9470" s="2">
        <v>41254</v>
      </c>
      <c r="E9470" s="1" t="s">
        <v>18841</v>
      </c>
      <c r="F9470" s="1" t="s">
        <v>13</v>
      </c>
    </row>
    <row r="9471" spans="1:6" ht="30" customHeight="1" x14ac:dyDescent="0.25">
      <c r="A9471" s="1" t="s">
        <v>18842</v>
      </c>
      <c r="B9471" s="1" t="str">
        <f>"9781621009801"</f>
        <v>9781621009801</v>
      </c>
      <c r="C9471" s="1" t="s">
        <v>17311</v>
      </c>
      <c r="D9471" s="2">
        <v>41214</v>
      </c>
      <c r="E9471" s="1" t="s">
        <v>18843</v>
      </c>
      <c r="F9471" s="1" t="s">
        <v>1372</v>
      </c>
    </row>
    <row r="9472" spans="1:6" ht="30" customHeight="1" x14ac:dyDescent="0.25">
      <c r="A9472" s="1" t="s">
        <v>18844</v>
      </c>
      <c r="B9472" s="1" t="str">
        <f>"9781611223880"</f>
        <v>9781611223880</v>
      </c>
      <c r="C9472" s="1" t="s">
        <v>17311</v>
      </c>
      <c r="D9472" s="2">
        <v>40522</v>
      </c>
      <c r="E9472" s="1" t="s">
        <v>18845</v>
      </c>
      <c r="F9472" s="1" t="s">
        <v>13</v>
      </c>
    </row>
    <row r="9473" spans="1:6" ht="30" customHeight="1" x14ac:dyDescent="0.25">
      <c r="A9473" s="1" t="s">
        <v>18846</v>
      </c>
      <c r="B9473" s="1" t="str">
        <f>"9780804040174"</f>
        <v>9780804040174</v>
      </c>
      <c r="C9473" s="1" t="s">
        <v>15575</v>
      </c>
      <c r="D9473" s="2">
        <v>38139</v>
      </c>
      <c r="E9473" s="1" t="s">
        <v>18847</v>
      </c>
      <c r="F9473" s="1" t="s">
        <v>158</v>
      </c>
    </row>
    <row r="9474" spans="1:6" ht="30" customHeight="1" x14ac:dyDescent="0.25">
      <c r="A9474" s="1" t="s">
        <v>18848</v>
      </c>
      <c r="B9474" s="1" t="str">
        <f>"9780821442531"</f>
        <v>9780821442531</v>
      </c>
      <c r="C9474" s="1" t="s">
        <v>15419</v>
      </c>
      <c r="D9474" s="2">
        <v>39417</v>
      </c>
      <c r="E9474" s="1" t="s">
        <v>18849</v>
      </c>
      <c r="F9474" s="1" t="s">
        <v>30</v>
      </c>
    </row>
    <row r="9475" spans="1:6" ht="30" customHeight="1" x14ac:dyDescent="0.25">
      <c r="A9475" s="1" t="s">
        <v>18850</v>
      </c>
      <c r="B9475" s="1" t="str">
        <f>"9780333982402"</f>
        <v>9780333982402</v>
      </c>
      <c r="C9475" s="1" t="s">
        <v>18851</v>
      </c>
      <c r="D9475" s="2">
        <v>36495</v>
      </c>
      <c r="E9475" s="1" t="s">
        <v>18852</v>
      </c>
      <c r="F9475" s="1" t="s">
        <v>126</v>
      </c>
    </row>
    <row r="9476" spans="1:6" ht="30" customHeight="1" x14ac:dyDescent="0.25">
      <c r="A9476" s="1" t="s">
        <v>18853</v>
      </c>
      <c r="B9476" s="1" t="str">
        <f>"9780333986592"</f>
        <v>9780333986592</v>
      </c>
      <c r="C9476" s="1" t="s">
        <v>18851</v>
      </c>
      <c r="D9476" s="2">
        <v>36495</v>
      </c>
      <c r="E9476" s="1" t="s">
        <v>18854</v>
      </c>
      <c r="F9476" s="1" t="s">
        <v>13</v>
      </c>
    </row>
    <row r="9477" spans="1:6" ht="30" customHeight="1" x14ac:dyDescent="0.25">
      <c r="A9477" s="1" t="s">
        <v>18855</v>
      </c>
      <c r="B9477" s="1" t="str">
        <f>"9781403937346"</f>
        <v>9781403937346</v>
      </c>
      <c r="C9477" s="1" t="s">
        <v>3388</v>
      </c>
      <c r="D9477" s="2">
        <v>37226</v>
      </c>
      <c r="E9477" s="1" t="s">
        <v>18856</v>
      </c>
      <c r="F9477" s="1" t="s">
        <v>5958</v>
      </c>
    </row>
    <row r="9478" spans="1:6" ht="30" customHeight="1" x14ac:dyDescent="0.25">
      <c r="A9478" s="1" t="s">
        <v>18857</v>
      </c>
      <c r="B9478" s="1" t="str">
        <f>"9781403937377"</f>
        <v>9781403937377</v>
      </c>
      <c r="C9478" s="1" t="s">
        <v>3388</v>
      </c>
      <c r="D9478" s="2">
        <v>36861</v>
      </c>
      <c r="E9478" s="1" t="s">
        <v>18858</v>
      </c>
      <c r="F9478" s="1" t="s">
        <v>13</v>
      </c>
    </row>
    <row r="9479" spans="1:6" ht="30" customHeight="1" x14ac:dyDescent="0.25">
      <c r="A9479" s="1" t="s">
        <v>18859</v>
      </c>
      <c r="B9479" s="1" t="str">
        <f>"9781403937650"</f>
        <v>9781403937650</v>
      </c>
      <c r="C9479" s="1" t="s">
        <v>3388</v>
      </c>
      <c r="D9479" s="2">
        <v>37773</v>
      </c>
      <c r="E9479" s="1" t="s">
        <v>18860</v>
      </c>
      <c r="F9479" s="1" t="s">
        <v>132</v>
      </c>
    </row>
    <row r="9480" spans="1:6" ht="30" customHeight="1" x14ac:dyDescent="0.25">
      <c r="A9480" s="1" t="s">
        <v>18861</v>
      </c>
      <c r="B9480" s="1" t="str">
        <f>"9781403937605"</f>
        <v>9781403937605</v>
      </c>
      <c r="C9480" s="1" t="s">
        <v>3388</v>
      </c>
      <c r="D9480" s="2">
        <v>37561</v>
      </c>
      <c r="E9480" s="1" t="s">
        <v>18862</v>
      </c>
      <c r="F9480" s="1" t="s">
        <v>176</v>
      </c>
    </row>
    <row r="9481" spans="1:6" ht="30" customHeight="1" x14ac:dyDescent="0.25">
      <c r="A9481" s="1" t="s">
        <v>18863</v>
      </c>
      <c r="B9481" s="1" t="str">
        <f>"9781403937445"</f>
        <v>9781403937445</v>
      </c>
      <c r="C9481" s="1" t="s">
        <v>3388</v>
      </c>
      <c r="D9481" s="2">
        <v>37712</v>
      </c>
      <c r="E9481" s="1" t="s">
        <v>18864</v>
      </c>
      <c r="F9481" s="1" t="s">
        <v>30</v>
      </c>
    </row>
    <row r="9482" spans="1:6" ht="30" customHeight="1" x14ac:dyDescent="0.25">
      <c r="A9482" s="1" t="s">
        <v>18865</v>
      </c>
      <c r="B9482" s="1" t="str">
        <f>"9780230006065"</f>
        <v>9780230006065</v>
      </c>
      <c r="C9482" s="1" t="s">
        <v>3388</v>
      </c>
      <c r="D9482" s="2">
        <v>38047</v>
      </c>
      <c r="E9482" s="1" t="s">
        <v>18866</v>
      </c>
      <c r="F9482" s="1" t="s">
        <v>13</v>
      </c>
    </row>
    <row r="9483" spans="1:6" ht="30" customHeight="1" x14ac:dyDescent="0.25">
      <c r="A9483" s="1" t="s">
        <v>18867</v>
      </c>
      <c r="B9483" s="1" t="str">
        <f>"9780231509008"</f>
        <v>9780231509008</v>
      </c>
      <c r="C9483" s="1" t="s">
        <v>11751</v>
      </c>
      <c r="D9483" s="2">
        <v>37900</v>
      </c>
      <c r="E9483" s="1" t="s">
        <v>18868</v>
      </c>
      <c r="F9483" s="1" t="s">
        <v>33</v>
      </c>
    </row>
    <row r="9484" spans="1:6" ht="30" customHeight="1" x14ac:dyDescent="0.25">
      <c r="A9484" s="1" t="s">
        <v>18869</v>
      </c>
      <c r="B9484" s="1" t="str">
        <f>"9780981504063"</f>
        <v>9780981504063</v>
      </c>
      <c r="C9484" s="1" t="s">
        <v>18870</v>
      </c>
      <c r="D9484" s="2">
        <v>39203</v>
      </c>
      <c r="E9484" s="1" t="s">
        <v>18871</v>
      </c>
      <c r="F9484" s="1" t="s">
        <v>13</v>
      </c>
    </row>
    <row r="9485" spans="1:6" ht="30" customHeight="1" x14ac:dyDescent="0.25">
      <c r="A9485" s="1" t="s">
        <v>18872</v>
      </c>
      <c r="B9485" s="1" t="str">
        <f>"9781554909216"</f>
        <v>9781554909216</v>
      </c>
      <c r="C9485" s="1" t="s">
        <v>18873</v>
      </c>
      <c r="D9485" s="2">
        <v>40210</v>
      </c>
      <c r="E9485" s="1" t="s">
        <v>18874</v>
      </c>
      <c r="F9485" s="1" t="s">
        <v>4079</v>
      </c>
    </row>
    <row r="9486" spans="1:6" ht="30" customHeight="1" x14ac:dyDescent="0.25">
      <c r="A9486" s="1" t="s">
        <v>18875</v>
      </c>
      <c r="B9486" s="1" t="str">
        <f>"9781554909766"</f>
        <v>9781554909766</v>
      </c>
      <c r="C9486" s="1" t="s">
        <v>18873</v>
      </c>
      <c r="D9486" s="2">
        <v>40452</v>
      </c>
      <c r="E9486" s="1" t="s">
        <v>18876</v>
      </c>
      <c r="F9486" s="1" t="s">
        <v>70</v>
      </c>
    </row>
    <row r="9487" spans="1:6" ht="30" customHeight="1" x14ac:dyDescent="0.25">
      <c r="A9487" s="1" t="s">
        <v>18877</v>
      </c>
      <c r="B9487" s="1" t="str">
        <f>"9781859642788"</f>
        <v>9781859642788</v>
      </c>
      <c r="C9487" s="1" t="s">
        <v>18878</v>
      </c>
      <c r="D9487" s="2">
        <v>38798</v>
      </c>
      <c r="E9487" s="1" t="s">
        <v>18879</v>
      </c>
      <c r="F9487" s="1" t="s">
        <v>13</v>
      </c>
    </row>
    <row r="9488" spans="1:6" ht="30" customHeight="1" x14ac:dyDescent="0.25">
      <c r="A9488" s="1" t="s">
        <v>18880</v>
      </c>
      <c r="B9488" s="1" t="str">
        <f>"9781937163075"</f>
        <v>9781937163075</v>
      </c>
      <c r="C9488" s="1" t="s">
        <v>18881</v>
      </c>
      <c r="D9488" s="2">
        <v>41773</v>
      </c>
      <c r="E9488" s="1" t="s">
        <v>18882</v>
      </c>
      <c r="F9488" s="1" t="s">
        <v>3803</v>
      </c>
    </row>
    <row r="9489" spans="1:6" ht="30" customHeight="1" x14ac:dyDescent="0.25">
      <c r="A9489" s="1" t="s">
        <v>18883</v>
      </c>
      <c r="B9489" s="1" t="str">
        <f>"9781597566919"</f>
        <v>9781597566919</v>
      </c>
      <c r="C9489" s="1" t="s">
        <v>15933</v>
      </c>
      <c r="D9489" s="2">
        <v>40969</v>
      </c>
      <c r="E9489" s="1" t="s">
        <v>18884</v>
      </c>
      <c r="F9489" s="1" t="s">
        <v>13</v>
      </c>
    </row>
    <row r="9490" spans="1:6" ht="30" customHeight="1" x14ac:dyDescent="0.25">
      <c r="A9490" s="1" t="s">
        <v>18885</v>
      </c>
      <c r="B9490" s="1" t="str">
        <f>"9781597566902"</f>
        <v>9781597566902</v>
      </c>
      <c r="C9490" s="1" t="s">
        <v>15933</v>
      </c>
      <c r="D9490" s="2">
        <v>41890</v>
      </c>
      <c r="E9490" s="1" t="s">
        <v>18886</v>
      </c>
      <c r="F9490" s="1" t="s">
        <v>13</v>
      </c>
    </row>
    <row r="9491" spans="1:6" ht="30" customHeight="1" x14ac:dyDescent="0.25">
      <c r="A9491" s="1" t="s">
        <v>18887</v>
      </c>
      <c r="B9491" s="1" t="str">
        <f>"9781447314318"</f>
        <v>9781447314318</v>
      </c>
      <c r="C9491" s="1" t="s">
        <v>5446</v>
      </c>
      <c r="D9491" s="2">
        <v>40817</v>
      </c>
      <c r="E9491" s="1" t="s">
        <v>18888</v>
      </c>
      <c r="F9491" s="1" t="s">
        <v>95</v>
      </c>
    </row>
    <row r="9492" spans="1:6" ht="30" customHeight="1" x14ac:dyDescent="0.25">
      <c r="A9492" s="1" t="s">
        <v>18889</v>
      </c>
      <c r="B9492" s="1" t="str">
        <f>"9781447314554"</f>
        <v>9781447314554</v>
      </c>
      <c r="C9492" s="1" t="s">
        <v>5446</v>
      </c>
      <c r="D9492" s="2">
        <v>40969</v>
      </c>
      <c r="E9492" s="1" t="s">
        <v>18890</v>
      </c>
      <c r="F9492" s="1" t="s">
        <v>158</v>
      </c>
    </row>
    <row r="9493" spans="1:6" ht="30" customHeight="1" x14ac:dyDescent="0.25">
      <c r="A9493" s="1" t="s">
        <v>18891</v>
      </c>
      <c r="B9493" s="1" t="str">
        <f>"9781400821808"</f>
        <v>9781400821808</v>
      </c>
      <c r="C9493" s="1" t="s">
        <v>6462</v>
      </c>
      <c r="D9493" s="2">
        <v>34881</v>
      </c>
      <c r="E9493" s="1" t="s">
        <v>18892</v>
      </c>
      <c r="F9493" s="1" t="s">
        <v>13</v>
      </c>
    </row>
    <row r="9494" spans="1:6" ht="30" customHeight="1" x14ac:dyDescent="0.25">
      <c r="A9494" s="1" t="s">
        <v>18893</v>
      </c>
      <c r="B9494" s="1" t="str">
        <f>"9780833043764"</f>
        <v>9780833043764</v>
      </c>
      <c r="C9494" s="1" t="s">
        <v>18894</v>
      </c>
      <c r="D9494" s="2">
        <v>36800</v>
      </c>
      <c r="E9494" s="1" t="s">
        <v>18895</v>
      </c>
      <c r="F9494" s="1" t="s">
        <v>30</v>
      </c>
    </row>
    <row r="9495" spans="1:6" ht="30" customHeight="1" x14ac:dyDescent="0.25">
      <c r="A9495" s="1" t="s">
        <v>18896</v>
      </c>
      <c r="B9495" s="1" t="str">
        <f>"9780833043788"</f>
        <v>9780833043788</v>
      </c>
      <c r="C9495" s="1" t="s">
        <v>18894</v>
      </c>
      <c r="D9495" s="2">
        <v>36800</v>
      </c>
      <c r="E9495" s="1" t="s">
        <v>18895</v>
      </c>
      <c r="F9495" s="1" t="s">
        <v>30</v>
      </c>
    </row>
    <row r="9496" spans="1:6" ht="30" customHeight="1" x14ac:dyDescent="0.25">
      <c r="A9496" s="1" t="s">
        <v>18897</v>
      </c>
      <c r="B9496" s="1" t="str">
        <f>"9780833043597"</f>
        <v>9780833043597</v>
      </c>
      <c r="C9496" s="1" t="s">
        <v>18894</v>
      </c>
      <c r="D9496" s="2">
        <v>36281</v>
      </c>
      <c r="E9496" s="1" t="s">
        <v>18898</v>
      </c>
      <c r="F9496" s="1" t="s">
        <v>13</v>
      </c>
    </row>
    <row r="9497" spans="1:6" ht="30" customHeight="1" x14ac:dyDescent="0.25">
      <c r="A9497" s="1" t="s">
        <v>18899</v>
      </c>
      <c r="B9497" s="1" t="str">
        <f>"9780833043771"</f>
        <v>9780833043771</v>
      </c>
      <c r="C9497" s="1" t="s">
        <v>18894</v>
      </c>
      <c r="D9497" s="2">
        <v>36800</v>
      </c>
      <c r="E9497" s="1" t="s">
        <v>18900</v>
      </c>
      <c r="F9497" s="1" t="s">
        <v>30</v>
      </c>
    </row>
    <row r="9498" spans="1:6" ht="30" customHeight="1" x14ac:dyDescent="0.25">
      <c r="A9498" s="1" t="s">
        <v>18901</v>
      </c>
      <c r="B9498" s="1" t="str">
        <f>"9780833043863"</f>
        <v>9780833043863</v>
      </c>
      <c r="C9498" s="1" t="s">
        <v>18894</v>
      </c>
      <c r="D9498" s="2">
        <v>36586</v>
      </c>
      <c r="E9498" s="1" t="s">
        <v>18902</v>
      </c>
      <c r="F9498" s="1" t="s">
        <v>13</v>
      </c>
    </row>
    <row r="9499" spans="1:6" ht="30" customHeight="1" x14ac:dyDescent="0.25">
      <c r="A9499" s="1" t="s">
        <v>18903</v>
      </c>
      <c r="B9499" s="1" t="str">
        <f>"9780833043528"</f>
        <v>9780833043528</v>
      </c>
      <c r="C9499" s="1" t="s">
        <v>18894</v>
      </c>
      <c r="D9499" s="2">
        <v>36557</v>
      </c>
      <c r="E9499" s="1" t="s">
        <v>18904</v>
      </c>
      <c r="F9499" s="1" t="s">
        <v>148</v>
      </c>
    </row>
    <row r="9500" spans="1:6" ht="30" customHeight="1" x14ac:dyDescent="0.25">
      <c r="A9500" s="1" t="s">
        <v>18905</v>
      </c>
      <c r="B9500" s="1" t="str">
        <f>"9780833043931"</f>
        <v>9780833043931</v>
      </c>
      <c r="C9500" s="1" t="s">
        <v>18894</v>
      </c>
      <c r="D9500" s="2">
        <v>36161</v>
      </c>
      <c r="E9500" s="1" t="s">
        <v>18906</v>
      </c>
      <c r="F9500" s="1" t="s">
        <v>30</v>
      </c>
    </row>
    <row r="9501" spans="1:6" ht="30" customHeight="1" x14ac:dyDescent="0.25">
      <c r="A9501" s="1" t="s">
        <v>18907</v>
      </c>
      <c r="B9501" s="1" t="str">
        <f>"9780833043351"</f>
        <v>9780833043351</v>
      </c>
      <c r="C9501" s="1" t="s">
        <v>18894</v>
      </c>
      <c r="D9501" s="2">
        <v>36100</v>
      </c>
      <c r="E9501" s="1" t="s">
        <v>18908</v>
      </c>
      <c r="F9501" s="1" t="s">
        <v>13</v>
      </c>
    </row>
    <row r="9502" spans="1:6" ht="30" customHeight="1" x14ac:dyDescent="0.25">
      <c r="A9502" s="1" t="s">
        <v>18909</v>
      </c>
      <c r="B9502" s="1" t="str">
        <f>"9780813535449"</f>
        <v>9780813535449</v>
      </c>
      <c r="C9502" s="1" t="s">
        <v>3656</v>
      </c>
      <c r="D9502" s="2">
        <v>37956</v>
      </c>
      <c r="E9502" s="1" t="s">
        <v>18910</v>
      </c>
      <c r="F9502" s="1" t="s">
        <v>13</v>
      </c>
    </row>
    <row r="9503" spans="1:6" ht="30" customHeight="1" x14ac:dyDescent="0.25">
      <c r="A9503" s="1" t="s">
        <v>18911</v>
      </c>
      <c r="B9503" s="1" t="str">
        <f>"9780813536361"</f>
        <v>9780813536361</v>
      </c>
      <c r="C9503" s="1" t="s">
        <v>3656</v>
      </c>
      <c r="D9503" s="2">
        <v>37956</v>
      </c>
      <c r="E9503" s="1" t="s">
        <v>18912</v>
      </c>
      <c r="F9503" s="1" t="s">
        <v>12695</v>
      </c>
    </row>
    <row r="9504" spans="1:6" ht="30" customHeight="1" x14ac:dyDescent="0.25">
      <c r="A9504" s="1" t="s">
        <v>18913</v>
      </c>
      <c r="B9504" s="1" t="str">
        <f>"9780813537085"</f>
        <v>9780813537085</v>
      </c>
      <c r="C9504" s="1" t="s">
        <v>3656</v>
      </c>
      <c r="D9504" s="2">
        <v>38200</v>
      </c>
      <c r="E9504" s="1" t="s">
        <v>18914</v>
      </c>
      <c r="F9504" s="1" t="s">
        <v>70</v>
      </c>
    </row>
    <row r="9505" spans="1:6" ht="30" customHeight="1" x14ac:dyDescent="0.25">
      <c r="A9505" s="1" t="s">
        <v>18915</v>
      </c>
      <c r="B9505" s="1" t="str">
        <f>"9780813556994"</f>
        <v>9780813556994</v>
      </c>
      <c r="C9505" s="1" t="s">
        <v>3656</v>
      </c>
      <c r="D9505" s="2">
        <v>37834</v>
      </c>
      <c r="E9505" s="1" t="s">
        <v>18916</v>
      </c>
      <c r="F9505" s="1" t="s">
        <v>13</v>
      </c>
    </row>
    <row r="9506" spans="1:6" ht="30" customHeight="1" x14ac:dyDescent="0.25">
      <c r="A9506" s="1" t="s">
        <v>18917</v>
      </c>
      <c r="B9506" s="1" t="str">
        <f>"9780813536422"</f>
        <v>9780813536422</v>
      </c>
      <c r="C9506" s="1" t="s">
        <v>3656</v>
      </c>
      <c r="D9506" s="2">
        <v>38200</v>
      </c>
      <c r="E9506" s="1" t="s">
        <v>18918</v>
      </c>
      <c r="F9506" s="1" t="s">
        <v>13</v>
      </c>
    </row>
    <row r="9507" spans="1:6" ht="30" customHeight="1" x14ac:dyDescent="0.25">
      <c r="A9507" s="1" t="s">
        <v>18919</v>
      </c>
      <c r="B9507" s="1" t="str">
        <f>"9780813536491"</f>
        <v>9780813536491</v>
      </c>
      <c r="C9507" s="1" t="s">
        <v>3656</v>
      </c>
      <c r="D9507" s="2">
        <v>38047</v>
      </c>
      <c r="E9507" s="1" t="s">
        <v>18920</v>
      </c>
      <c r="F9507" s="1" t="s">
        <v>13</v>
      </c>
    </row>
    <row r="9508" spans="1:6" ht="30" customHeight="1" x14ac:dyDescent="0.25">
      <c r="A9508" s="1" t="s">
        <v>18921</v>
      </c>
      <c r="B9508" s="1" t="str">
        <f>"9783865969200"</f>
        <v>9783865969200</v>
      </c>
      <c r="C9508" s="1" t="s">
        <v>18922</v>
      </c>
      <c r="D9508" s="2">
        <v>39659</v>
      </c>
      <c r="E9508" s="1" t="s">
        <v>18923</v>
      </c>
      <c r="F9508" s="1" t="s">
        <v>30</v>
      </c>
    </row>
    <row r="9509" spans="1:6" ht="30" customHeight="1" x14ac:dyDescent="0.25">
      <c r="A9509" s="1" t="s">
        <v>18924</v>
      </c>
      <c r="B9509" s="1" t="str">
        <f>"9788897419402"</f>
        <v>9788897419402</v>
      </c>
      <c r="C9509" s="1" t="s">
        <v>10553</v>
      </c>
      <c r="D9509" s="2">
        <v>41306</v>
      </c>
      <c r="E9509" s="1" t="s">
        <v>18925</v>
      </c>
      <c r="F9509" s="1" t="s">
        <v>13</v>
      </c>
    </row>
    <row r="9510" spans="1:6" ht="30" customHeight="1" x14ac:dyDescent="0.25">
      <c r="A9510" s="1" t="s">
        <v>18926</v>
      </c>
      <c r="B9510" s="1" t="str">
        <f>"9788897419426"</f>
        <v>9788897419426</v>
      </c>
      <c r="C9510" s="1" t="s">
        <v>10553</v>
      </c>
      <c r="D9510" s="2">
        <v>41395</v>
      </c>
      <c r="E9510" s="1" t="s">
        <v>18927</v>
      </c>
      <c r="F9510" s="1" t="s">
        <v>13</v>
      </c>
    </row>
    <row r="9511" spans="1:6" ht="30" customHeight="1" x14ac:dyDescent="0.25">
      <c r="A9511" s="1" t="s">
        <v>18928</v>
      </c>
      <c r="B9511" s="1" t="str">
        <f>"9788897419389"</f>
        <v>9788897419389</v>
      </c>
      <c r="C9511" s="1" t="s">
        <v>10553</v>
      </c>
      <c r="D9511" s="2">
        <v>41244</v>
      </c>
      <c r="E9511" s="1" t="s">
        <v>18929</v>
      </c>
      <c r="F9511" s="1" t="s">
        <v>137</v>
      </c>
    </row>
    <row r="9512" spans="1:6" ht="30" customHeight="1" x14ac:dyDescent="0.25">
      <c r="A9512" s="1" t="s">
        <v>18930</v>
      </c>
      <c r="B9512" s="1" t="str">
        <f>"9788897419488"</f>
        <v>9788897419488</v>
      </c>
      <c r="C9512" s="1" t="s">
        <v>10553</v>
      </c>
      <c r="D9512" s="2">
        <v>41548</v>
      </c>
      <c r="E9512" s="1" t="s">
        <v>18931</v>
      </c>
      <c r="F9512" s="1" t="s">
        <v>13</v>
      </c>
    </row>
    <row r="9513" spans="1:6" ht="30" customHeight="1" x14ac:dyDescent="0.25">
      <c r="A9513" s="1" t="s">
        <v>18932</v>
      </c>
      <c r="B9513" s="1" t="str">
        <f>"9789460918766"</f>
        <v>9789460918766</v>
      </c>
      <c r="C9513" s="1" t="s">
        <v>18933</v>
      </c>
      <c r="D9513" s="2">
        <v>40909</v>
      </c>
      <c r="E9513" s="1" t="s">
        <v>18934</v>
      </c>
      <c r="F9513" s="1" t="s">
        <v>30</v>
      </c>
    </row>
    <row r="9514" spans="1:6" ht="30" customHeight="1" x14ac:dyDescent="0.25">
      <c r="A9514" s="1" t="s">
        <v>18935</v>
      </c>
      <c r="B9514" s="1" t="str">
        <f>"9789462097889"</f>
        <v>9789462097889</v>
      </c>
      <c r="C9514" s="1" t="s">
        <v>18933</v>
      </c>
      <c r="D9514" s="2">
        <v>41821</v>
      </c>
      <c r="E9514" s="1" t="s">
        <v>18936</v>
      </c>
      <c r="F9514" s="1" t="s">
        <v>13</v>
      </c>
    </row>
    <row r="9515" spans="1:6" ht="30" customHeight="1" x14ac:dyDescent="0.25">
      <c r="A9515" s="1" t="s">
        <v>18937</v>
      </c>
      <c r="B9515" s="1" t="str">
        <f>"9789462099562"</f>
        <v>9789462099562</v>
      </c>
      <c r="C9515" s="1" t="s">
        <v>18933</v>
      </c>
      <c r="D9515" s="2">
        <v>41964</v>
      </c>
      <c r="E9515" s="1" t="s">
        <v>18938</v>
      </c>
      <c r="F9515" s="1" t="s">
        <v>13</v>
      </c>
    </row>
    <row r="9516" spans="1:6" ht="30" customHeight="1" x14ac:dyDescent="0.25">
      <c r="A9516" s="1" t="s">
        <v>18939</v>
      </c>
      <c r="B9516" s="1" t="str">
        <f>""</f>
        <v/>
      </c>
      <c r="C9516" s="1" t="s">
        <v>18940</v>
      </c>
      <c r="D9516" s="2">
        <v>38200</v>
      </c>
      <c r="E9516" s="1" t="s">
        <v>18941</v>
      </c>
      <c r="F9516" s="1" t="s">
        <v>30</v>
      </c>
    </row>
    <row r="9517" spans="1:6" ht="30" customHeight="1" x14ac:dyDescent="0.25">
      <c r="A9517" s="1" t="s">
        <v>18942</v>
      </c>
      <c r="B9517" s="1" t="str">
        <f>"9780826118066"</f>
        <v>9780826118066</v>
      </c>
      <c r="C9517" s="1" t="s">
        <v>2339</v>
      </c>
      <c r="D9517" s="2">
        <v>37712</v>
      </c>
      <c r="E9517" s="1" t="s">
        <v>18943</v>
      </c>
      <c r="F9517" s="1" t="s">
        <v>13</v>
      </c>
    </row>
    <row r="9518" spans="1:6" ht="30" customHeight="1" x14ac:dyDescent="0.25">
      <c r="A9518" s="1" t="s">
        <v>18944</v>
      </c>
      <c r="B9518" s="1" t="str">
        <f>"9780826163646"</f>
        <v>9780826163646</v>
      </c>
      <c r="C9518" s="1" t="s">
        <v>2339</v>
      </c>
      <c r="D9518" s="2">
        <v>38687</v>
      </c>
      <c r="E9518" s="1" t="s">
        <v>18945</v>
      </c>
      <c r="F9518" s="1" t="s">
        <v>126</v>
      </c>
    </row>
    <row r="9519" spans="1:6" ht="30" customHeight="1" x14ac:dyDescent="0.25">
      <c r="A9519" s="1" t="s">
        <v>18946</v>
      </c>
      <c r="B9519" s="1" t="str">
        <f>"9780826125569"</f>
        <v>9780826125569</v>
      </c>
      <c r="C9519" s="1" t="s">
        <v>2339</v>
      </c>
      <c r="D9519" s="2">
        <v>40817</v>
      </c>
      <c r="E9519" s="1" t="s">
        <v>18947</v>
      </c>
      <c r="F9519" s="1" t="s">
        <v>291</v>
      </c>
    </row>
    <row r="9520" spans="1:6" ht="30" customHeight="1" x14ac:dyDescent="0.25">
      <c r="A9520" s="1" t="s">
        <v>18948</v>
      </c>
      <c r="B9520" s="1" t="str">
        <f>"9780826120397"</f>
        <v>9780826120397</v>
      </c>
      <c r="C9520" s="1" t="s">
        <v>2339</v>
      </c>
      <c r="D9520" s="2">
        <v>40848</v>
      </c>
      <c r="E9520" s="1" t="s">
        <v>18949</v>
      </c>
      <c r="F9520" s="1" t="s">
        <v>5964</v>
      </c>
    </row>
    <row r="9521" spans="1:6" ht="30" customHeight="1" x14ac:dyDescent="0.25">
      <c r="A9521" s="1" t="s">
        <v>18950</v>
      </c>
      <c r="B9521" s="1" t="str">
        <f>"9780826110442"</f>
        <v>9780826110442</v>
      </c>
      <c r="C9521" s="1" t="s">
        <v>2339</v>
      </c>
      <c r="D9521" s="2">
        <v>41214</v>
      </c>
      <c r="E9521" s="1" t="s">
        <v>18951</v>
      </c>
      <c r="F9521" s="1" t="s">
        <v>234</v>
      </c>
    </row>
    <row r="9522" spans="1:6" ht="30" customHeight="1" x14ac:dyDescent="0.25">
      <c r="A9522" s="1" t="s">
        <v>18952</v>
      </c>
      <c r="B9522" s="1" t="str">
        <f>"9780826127020"</f>
        <v>9780826127020</v>
      </c>
      <c r="C9522" s="1" t="s">
        <v>2339</v>
      </c>
      <c r="D9522" s="2">
        <v>41913</v>
      </c>
      <c r="E9522" s="1" t="s">
        <v>18953</v>
      </c>
      <c r="F9522" s="1" t="s">
        <v>13</v>
      </c>
    </row>
    <row r="9523" spans="1:6" ht="30" customHeight="1" x14ac:dyDescent="0.25">
      <c r="A9523" s="1" t="s">
        <v>18954</v>
      </c>
      <c r="B9523" s="1" t="str">
        <f>"9780826126870"</f>
        <v>9780826126870</v>
      </c>
      <c r="C9523" s="1" t="s">
        <v>2339</v>
      </c>
      <c r="D9523" s="2">
        <v>41974</v>
      </c>
      <c r="E9523" s="1" t="s">
        <v>15446</v>
      </c>
      <c r="F9523" s="1" t="s">
        <v>126</v>
      </c>
    </row>
    <row r="9524" spans="1:6" ht="30" customHeight="1" x14ac:dyDescent="0.25">
      <c r="A9524" s="1" t="s">
        <v>18955</v>
      </c>
      <c r="B9524" s="1" t="str">
        <f>"9780826172525"</f>
        <v>9780826172525</v>
      </c>
      <c r="C9524" s="1" t="s">
        <v>2339</v>
      </c>
      <c r="D9524" s="2">
        <v>42064</v>
      </c>
      <c r="E9524" s="1" t="s">
        <v>18956</v>
      </c>
      <c r="F9524" s="1" t="s">
        <v>126</v>
      </c>
    </row>
    <row r="9525" spans="1:6" ht="30" customHeight="1" x14ac:dyDescent="0.25">
      <c r="A9525" s="1" t="s">
        <v>18957</v>
      </c>
      <c r="B9525" s="1" t="str">
        <f>"9780826123237"</f>
        <v>9780826123237</v>
      </c>
      <c r="C9525" s="1" t="s">
        <v>2339</v>
      </c>
      <c r="D9525" s="2">
        <v>42064</v>
      </c>
      <c r="E9525" s="1" t="s">
        <v>18958</v>
      </c>
      <c r="F9525" s="1" t="s">
        <v>30</v>
      </c>
    </row>
    <row r="9526" spans="1:6" ht="30" customHeight="1" x14ac:dyDescent="0.25">
      <c r="A9526" s="1" t="s">
        <v>18959</v>
      </c>
      <c r="B9526" s="1" t="str">
        <f>"9780306468582"</f>
        <v>9780306468582</v>
      </c>
      <c r="C9526" s="1" t="s">
        <v>18960</v>
      </c>
      <c r="D9526" s="2">
        <v>35886</v>
      </c>
      <c r="E9526" s="1" t="s">
        <v>18961</v>
      </c>
      <c r="F9526" s="1" t="s">
        <v>137</v>
      </c>
    </row>
    <row r="9527" spans="1:6" ht="30" customHeight="1" x14ac:dyDescent="0.25">
      <c r="A9527" s="1" t="s">
        <v>18962</v>
      </c>
      <c r="B9527" s="1" t="str">
        <f>"9780306468575"</f>
        <v>9780306468575</v>
      </c>
      <c r="C9527" s="1" t="s">
        <v>18960</v>
      </c>
      <c r="D9527" s="2">
        <v>35886</v>
      </c>
      <c r="E9527" s="1" t="s">
        <v>18961</v>
      </c>
      <c r="F9527" s="1" t="s">
        <v>137</v>
      </c>
    </row>
    <row r="9528" spans="1:6" ht="30" customHeight="1" x14ac:dyDescent="0.25">
      <c r="A9528" s="1" t="s">
        <v>18963</v>
      </c>
      <c r="B9528" s="1" t="str">
        <f>"9781280043666"</f>
        <v>9781280043666</v>
      </c>
      <c r="C9528" s="1" t="s">
        <v>18960</v>
      </c>
      <c r="D9528" s="2">
        <v>35521</v>
      </c>
      <c r="E9528" s="1" t="s">
        <v>18964</v>
      </c>
      <c r="F9528" s="1" t="s">
        <v>137</v>
      </c>
    </row>
    <row r="9529" spans="1:6" ht="30" customHeight="1" x14ac:dyDescent="0.25">
      <c r="A9529" s="1" t="s">
        <v>18965</v>
      </c>
      <c r="B9529" s="1" t="str">
        <f>"9780306468520"</f>
        <v>9780306468520</v>
      </c>
      <c r="C9529" s="1" t="s">
        <v>18960</v>
      </c>
      <c r="D9529" s="2">
        <v>35247</v>
      </c>
      <c r="E9529" s="1" t="s">
        <v>18966</v>
      </c>
      <c r="F9529" s="1" t="s">
        <v>54</v>
      </c>
    </row>
    <row r="9530" spans="1:6" ht="30" customHeight="1" x14ac:dyDescent="0.25">
      <c r="A9530" s="1" t="s">
        <v>18967</v>
      </c>
      <c r="B9530" s="1" t="str">
        <f>"9780306468070"</f>
        <v>9780306468070</v>
      </c>
      <c r="C9530" s="1" t="s">
        <v>18960</v>
      </c>
      <c r="D9530" s="2">
        <v>36039</v>
      </c>
      <c r="E9530" s="1" t="s">
        <v>18968</v>
      </c>
      <c r="F9530" s="1" t="s">
        <v>359</v>
      </c>
    </row>
    <row r="9531" spans="1:6" ht="30" customHeight="1" x14ac:dyDescent="0.25">
      <c r="A9531" s="1" t="s">
        <v>18969</v>
      </c>
      <c r="B9531" s="1" t="str">
        <f>"9780306468858"</f>
        <v>9780306468858</v>
      </c>
      <c r="C9531" s="1" t="s">
        <v>18960</v>
      </c>
      <c r="D9531" s="2">
        <v>36923</v>
      </c>
      <c r="E9531" s="1" t="s">
        <v>18970</v>
      </c>
      <c r="F9531" s="1" t="s">
        <v>268</v>
      </c>
    </row>
    <row r="9532" spans="1:6" ht="30" customHeight="1" x14ac:dyDescent="0.25">
      <c r="A9532" s="1" t="s">
        <v>18971</v>
      </c>
      <c r="B9532" s="1" t="str">
        <f>""</f>
        <v/>
      </c>
      <c r="C9532" s="1" t="s">
        <v>18960</v>
      </c>
      <c r="D9532" s="2">
        <v>37012</v>
      </c>
      <c r="E9532" s="1" t="s">
        <v>5540</v>
      </c>
      <c r="F9532" s="1" t="s">
        <v>13</v>
      </c>
    </row>
    <row r="9533" spans="1:6" ht="30" customHeight="1" x14ac:dyDescent="0.25">
      <c r="A9533" s="1" t="s">
        <v>18972</v>
      </c>
      <c r="B9533" s="1" t="str">
        <f>"9780306468483"</f>
        <v>9780306468483</v>
      </c>
      <c r="C9533" s="1" t="s">
        <v>18960</v>
      </c>
      <c r="D9533" s="2">
        <v>37135</v>
      </c>
      <c r="E9533" s="1" t="s">
        <v>18973</v>
      </c>
      <c r="F9533" s="1" t="s">
        <v>349</v>
      </c>
    </row>
    <row r="9534" spans="1:6" ht="30" customHeight="1" x14ac:dyDescent="0.25">
      <c r="A9534" s="1" t="s">
        <v>18974</v>
      </c>
      <c r="B9534" s="1" t="str">
        <f>"9780306471407"</f>
        <v>9780306471407</v>
      </c>
      <c r="C9534" s="1" t="s">
        <v>18960</v>
      </c>
      <c r="D9534" s="2">
        <v>35339</v>
      </c>
      <c r="E9534" s="1" t="s">
        <v>18975</v>
      </c>
      <c r="F9534" s="1" t="s">
        <v>30</v>
      </c>
    </row>
    <row r="9535" spans="1:6" ht="30" customHeight="1" x14ac:dyDescent="0.25">
      <c r="A9535" s="1" t="s">
        <v>18976</v>
      </c>
      <c r="B9535" s="1" t="str">
        <f>"9780306472336"</f>
        <v>9780306472336</v>
      </c>
      <c r="C9535" s="1" t="s">
        <v>18960</v>
      </c>
      <c r="D9535" s="2">
        <v>36647</v>
      </c>
      <c r="E9535" s="1" t="s">
        <v>18977</v>
      </c>
      <c r="F9535" s="1" t="s">
        <v>13</v>
      </c>
    </row>
    <row r="9536" spans="1:6" ht="30" customHeight="1" x14ac:dyDescent="0.25">
      <c r="A9536" s="1" t="s">
        <v>18978</v>
      </c>
      <c r="B9536" s="1" t="str">
        <f>"9780306475238"</f>
        <v>9780306475238</v>
      </c>
      <c r="C9536" s="1" t="s">
        <v>18960</v>
      </c>
      <c r="D9536" s="2">
        <v>36831</v>
      </c>
      <c r="E9536" s="1" t="s">
        <v>18979</v>
      </c>
      <c r="F9536" s="1" t="s">
        <v>13</v>
      </c>
    </row>
    <row r="9537" spans="1:6" ht="30" customHeight="1" x14ac:dyDescent="0.25">
      <c r="A9537" s="1" t="s">
        <v>18980</v>
      </c>
      <c r="B9537" s="1" t="str">
        <f>"9780306475276"</f>
        <v>9780306475276</v>
      </c>
      <c r="C9537" s="1" t="s">
        <v>18960</v>
      </c>
      <c r="D9537" s="2">
        <v>37530</v>
      </c>
      <c r="E9537" s="1" t="s">
        <v>18981</v>
      </c>
      <c r="F9537" s="1" t="s">
        <v>13</v>
      </c>
    </row>
    <row r="9538" spans="1:6" ht="30" customHeight="1" x14ac:dyDescent="0.25">
      <c r="A9538" s="1" t="s">
        <v>18982</v>
      </c>
      <c r="B9538" s="1" t="str">
        <f>"9780306475122"</f>
        <v>9780306475122</v>
      </c>
      <c r="C9538" s="1" t="s">
        <v>18960</v>
      </c>
      <c r="D9538" s="2">
        <v>37012</v>
      </c>
      <c r="E9538" s="1" t="s">
        <v>18983</v>
      </c>
      <c r="F9538" s="1" t="s">
        <v>13</v>
      </c>
    </row>
    <row r="9539" spans="1:6" ht="30" customHeight="1" x14ac:dyDescent="0.25">
      <c r="A9539" s="1" t="s">
        <v>18984</v>
      </c>
      <c r="B9539" s="1" t="str">
        <f>"9780306475054"</f>
        <v>9780306475054</v>
      </c>
      <c r="C9539" s="1" t="s">
        <v>18960</v>
      </c>
      <c r="D9539" s="2">
        <v>37165</v>
      </c>
      <c r="E9539" s="1" t="s">
        <v>5029</v>
      </c>
      <c r="F9539" s="1" t="s">
        <v>13</v>
      </c>
    </row>
    <row r="9540" spans="1:6" ht="30" customHeight="1" x14ac:dyDescent="0.25">
      <c r="A9540" s="1" t="s">
        <v>18985</v>
      </c>
      <c r="B9540" s="1" t="str">
        <f>"9780306474620"</f>
        <v>9780306474620</v>
      </c>
      <c r="C9540" s="1" t="s">
        <v>18960</v>
      </c>
      <c r="D9540" s="2">
        <v>37288</v>
      </c>
      <c r="E9540" s="1" t="s">
        <v>18986</v>
      </c>
      <c r="F9540" s="1" t="s">
        <v>13</v>
      </c>
    </row>
    <row r="9541" spans="1:6" ht="30" customHeight="1" x14ac:dyDescent="0.25">
      <c r="A9541" s="1" t="s">
        <v>18987</v>
      </c>
      <c r="B9541" s="1" t="str">
        <f>"9780306475245"</f>
        <v>9780306475245</v>
      </c>
      <c r="C9541" s="1" t="s">
        <v>18960</v>
      </c>
      <c r="D9541" s="2">
        <v>37438</v>
      </c>
      <c r="E9541" s="1" t="s">
        <v>5922</v>
      </c>
      <c r="F9541" s="1" t="s">
        <v>158</v>
      </c>
    </row>
    <row r="9542" spans="1:6" ht="30" customHeight="1" x14ac:dyDescent="0.25">
      <c r="A9542" s="1" t="s">
        <v>18988</v>
      </c>
      <c r="B9542" s="1" t="str">
        <f>"9780306471612"</f>
        <v>9780306471612</v>
      </c>
      <c r="C9542" s="1" t="s">
        <v>18960</v>
      </c>
      <c r="D9542" s="2">
        <v>36161</v>
      </c>
      <c r="E9542" s="1" t="s">
        <v>18989</v>
      </c>
      <c r="F9542" s="1" t="s">
        <v>95</v>
      </c>
    </row>
    <row r="9543" spans="1:6" ht="30" customHeight="1" x14ac:dyDescent="0.25">
      <c r="A9543" s="1" t="s">
        <v>18990</v>
      </c>
      <c r="B9543" s="1" t="str">
        <f>"9780306475894"</f>
        <v>9780306475894</v>
      </c>
      <c r="C9543" s="1" t="s">
        <v>18960</v>
      </c>
      <c r="D9543" s="2">
        <v>36861</v>
      </c>
      <c r="E9543" s="1" t="s">
        <v>18991</v>
      </c>
      <c r="F9543" s="1" t="s">
        <v>13</v>
      </c>
    </row>
    <row r="9544" spans="1:6" ht="30" customHeight="1" x14ac:dyDescent="0.25">
      <c r="A9544" s="1" t="s">
        <v>18992</v>
      </c>
      <c r="B9544" s="1" t="str">
        <f>"9780306471971"</f>
        <v>9780306471971</v>
      </c>
      <c r="C9544" s="1" t="s">
        <v>18960</v>
      </c>
      <c r="D9544" s="2">
        <v>36923</v>
      </c>
      <c r="E9544" s="1" t="s">
        <v>18993</v>
      </c>
      <c r="F9544" s="1" t="s">
        <v>13</v>
      </c>
    </row>
    <row r="9545" spans="1:6" ht="30" customHeight="1" x14ac:dyDescent="0.25">
      <c r="A9545" s="1" t="s">
        <v>18994</v>
      </c>
      <c r="B9545" s="1" t="str">
        <f>"9780306481581"</f>
        <v>9780306481581</v>
      </c>
      <c r="C9545" s="1" t="s">
        <v>18960</v>
      </c>
      <c r="D9545" s="2">
        <v>37561</v>
      </c>
      <c r="E9545" s="1" t="s">
        <v>18995</v>
      </c>
      <c r="F9545" s="1" t="s">
        <v>13</v>
      </c>
    </row>
    <row r="9546" spans="1:6" ht="30" customHeight="1" x14ac:dyDescent="0.25">
      <c r="A9546" s="1" t="s">
        <v>18996</v>
      </c>
      <c r="B9546" s="1" t="str">
        <f>""</f>
        <v/>
      </c>
      <c r="C9546" s="1" t="s">
        <v>18960</v>
      </c>
      <c r="D9546" s="2">
        <v>37469</v>
      </c>
      <c r="E9546" s="1" t="s">
        <v>18997</v>
      </c>
      <c r="F9546" s="1" t="s">
        <v>13</v>
      </c>
    </row>
    <row r="9547" spans="1:6" ht="30" customHeight="1" x14ac:dyDescent="0.25">
      <c r="A9547" s="1" t="s">
        <v>18998</v>
      </c>
      <c r="B9547" s="1" t="str">
        <f>""</f>
        <v/>
      </c>
      <c r="C9547" s="1" t="s">
        <v>18960</v>
      </c>
      <c r="D9547" s="2">
        <v>37591</v>
      </c>
      <c r="E9547" s="1" t="s">
        <v>18999</v>
      </c>
      <c r="F9547" s="1" t="s">
        <v>13</v>
      </c>
    </row>
    <row r="9548" spans="1:6" ht="30" customHeight="1" x14ac:dyDescent="0.25">
      <c r="A9548" s="1" t="s">
        <v>19000</v>
      </c>
      <c r="B9548" s="1" t="str">
        <f>"9780306479342"</f>
        <v>9780306479342</v>
      </c>
      <c r="C9548" s="1" t="s">
        <v>18960</v>
      </c>
      <c r="D9548" s="2">
        <v>37561</v>
      </c>
      <c r="E9548" s="1" t="s">
        <v>19001</v>
      </c>
      <c r="F9548" s="1" t="s">
        <v>13</v>
      </c>
    </row>
    <row r="9549" spans="1:6" ht="30" customHeight="1" x14ac:dyDescent="0.25">
      <c r="A9549" s="1" t="s">
        <v>19002</v>
      </c>
      <c r="B9549" s="1" t="str">
        <f>""</f>
        <v/>
      </c>
      <c r="C9549" s="1" t="s">
        <v>18960</v>
      </c>
      <c r="D9549" s="2">
        <v>37742</v>
      </c>
      <c r="E9549" s="1" t="s">
        <v>19003</v>
      </c>
      <c r="F9549" s="1" t="s">
        <v>760</v>
      </c>
    </row>
    <row r="9550" spans="1:6" ht="30" customHeight="1" x14ac:dyDescent="0.25">
      <c r="A9550" s="1" t="s">
        <v>19004</v>
      </c>
      <c r="B9550" s="1" t="str">
        <f>""</f>
        <v/>
      </c>
      <c r="C9550" s="1" t="s">
        <v>18960</v>
      </c>
      <c r="D9550" s="2">
        <v>37653</v>
      </c>
      <c r="E9550" s="1" t="s">
        <v>19005</v>
      </c>
      <c r="F9550" s="1" t="s">
        <v>148</v>
      </c>
    </row>
    <row r="9551" spans="1:6" ht="30" customHeight="1" x14ac:dyDescent="0.25">
      <c r="A9551" s="1" t="s">
        <v>19006</v>
      </c>
      <c r="B9551" s="1" t="str">
        <f>""</f>
        <v/>
      </c>
      <c r="C9551" s="1" t="s">
        <v>18960</v>
      </c>
      <c r="D9551" s="2">
        <v>37500</v>
      </c>
      <c r="E9551" s="1" t="s">
        <v>19007</v>
      </c>
      <c r="F9551" s="1" t="s">
        <v>13</v>
      </c>
    </row>
    <row r="9552" spans="1:6" ht="30" customHeight="1" x14ac:dyDescent="0.25">
      <c r="A9552" s="1" t="s">
        <v>10312</v>
      </c>
      <c r="B9552" s="1" t="str">
        <f>""</f>
        <v/>
      </c>
      <c r="C9552" s="1" t="s">
        <v>18960</v>
      </c>
      <c r="D9552" s="2">
        <v>37591</v>
      </c>
      <c r="E9552" s="1" t="s">
        <v>19008</v>
      </c>
      <c r="F9552" s="1" t="s">
        <v>13</v>
      </c>
    </row>
    <row r="9553" spans="1:6" ht="30" customHeight="1" x14ac:dyDescent="0.25">
      <c r="A9553" s="1" t="s">
        <v>19009</v>
      </c>
      <c r="B9553" s="1" t="str">
        <f>""</f>
        <v/>
      </c>
      <c r="C9553" s="1" t="s">
        <v>18960</v>
      </c>
      <c r="D9553" s="2">
        <v>37773</v>
      </c>
      <c r="E9553" s="1" t="s">
        <v>19010</v>
      </c>
      <c r="F9553" s="1" t="s">
        <v>13</v>
      </c>
    </row>
    <row r="9554" spans="1:6" ht="30" customHeight="1" x14ac:dyDescent="0.25">
      <c r="A9554" s="1" t="s">
        <v>19011</v>
      </c>
      <c r="B9554" s="1" t="str">
        <f>""</f>
        <v/>
      </c>
      <c r="C9554" s="1" t="s">
        <v>18960</v>
      </c>
      <c r="D9554" s="2">
        <v>37438</v>
      </c>
      <c r="E9554" s="1" t="s">
        <v>19012</v>
      </c>
      <c r="F9554" s="1" t="s">
        <v>13</v>
      </c>
    </row>
    <row r="9555" spans="1:6" ht="30" customHeight="1" x14ac:dyDescent="0.25">
      <c r="A9555" s="1" t="s">
        <v>19013</v>
      </c>
      <c r="B9555" s="1" t="str">
        <f>""</f>
        <v/>
      </c>
      <c r="C9555" s="1" t="s">
        <v>18960</v>
      </c>
      <c r="D9555" s="2">
        <v>37073</v>
      </c>
      <c r="E9555" s="1" t="s">
        <v>6560</v>
      </c>
      <c r="F9555" s="1" t="s">
        <v>70</v>
      </c>
    </row>
    <row r="9556" spans="1:6" ht="30" customHeight="1" x14ac:dyDescent="0.25">
      <c r="A9556" s="1" t="s">
        <v>19014</v>
      </c>
      <c r="B9556" s="1" t="str">
        <f>""</f>
        <v/>
      </c>
      <c r="C9556" s="1" t="s">
        <v>18960</v>
      </c>
      <c r="D9556" s="2">
        <v>37591</v>
      </c>
      <c r="E9556" s="1" t="s">
        <v>19015</v>
      </c>
      <c r="F9556" s="1" t="s">
        <v>13</v>
      </c>
    </row>
    <row r="9557" spans="1:6" ht="30" customHeight="1" x14ac:dyDescent="0.25">
      <c r="A9557" s="1" t="s">
        <v>19016</v>
      </c>
      <c r="B9557" s="1" t="str">
        <f>""</f>
        <v/>
      </c>
      <c r="C9557" s="1" t="s">
        <v>18960</v>
      </c>
      <c r="D9557" s="2">
        <v>37834</v>
      </c>
      <c r="E9557" s="1" t="s">
        <v>19017</v>
      </c>
      <c r="F9557" s="1" t="s">
        <v>158</v>
      </c>
    </row>
    <row r="9558" spans="1:6" ht="30" customHeight="1" x14ac:dyDescent="0.25">
      <c r="A9558" s="1" t="s">
        <v>19018</v>
      </c>
      <c r="B9558" s="1" t="str">
        <f>"9781402078484"</f>
        <v>9781402078484</v>
      </c>
      <c r="C9558" s="1" t="s">
        <v>18960</v>
      </c>
      <c r="D9558" s="2">
        <v>38200</v>
      </c>
      <c r="E9558" s="1" t="s">
        <v>19019</v>
      </c>
      <c r="F9558" s="1" t="s">
        <v>13</v>
      </c>
    </row>
    <row r="9559" spans="1:6" ht="30" customHeight="1" x14ac:dyDescent="0.25">
      <c r="A9559" s="1" t="s">
        <v>19020</v>
      </c>
      <c r="B9559" s="1" t="str">
        <f>"9781603447072"</f>
        <v>9781603447072</v>
      </c>
      <c r="C9559" s="1" t="s">
        <v>12745</v>
      </c>
      <c r="D9559" s="2">
        <v>37676</v>
      </c>
      <c r="E9559" s="1" t="s">
        <v>19021</v>
      </c>
      <c r="F9559" s="1" t="s">
        <v>541</v>
      </c>
    </row>
    <row r="9560" spans="1:6" ht="30" customHeight="1" x14ac:dyDescent="0.25">
      <c r="A9560" s="1" t="s">
        <v>19022</v>
      </c>
      <c r="B9560" s="1" t="str">
        <f>"9781603443722"</f>
        <v>9781603443722</v>
      </c>
      <c r="C9560" s="1" t="s">
        <v>12745</v>
      </c>
      <c r="D9560" s="2">
        <v>40140</v>
      </c>
      <c r="E9560" s="1" t="s">
        <v>19023</v>
      </c>
      <c r="F9560" s="1" t="s">
        <v>13</v>
      </c>
    </row>
    <row r="9561" spans="1:6" ht="30" customHeight="1" x14ac:dyDescent="0.25">
      <c r="A9561" s="1" t="s">
        <v>19024</v>
      </c>
      <c r="B9561" s="1" t="str">
        <f>"9781603445726"</f>
        <v>9781603445726</v>
      </c>
      <c r="C9561" s="1" t="s">
        <v>12745</v>
      </c>
      <c r="D9561" s="2">
        <v>40087</v>
      </c>
      <c r="E9561" s="1" t="s">
        <v>19025</v>
      </c>
      <c r="F9561" s="1" t="s">
        <v>10335</v>
      </c>
    </row>
    <row r="9562" spans="1:6" ht="30" customHeight="1" x14ac:dyDescent="0.25">
      <c r="A9562" s="1" t="s">
        <v>19026</v>
      </c>
      <c r="B9562" s="1" t="str">
        <f>"9781603443579"</f>
        <v>9781603443579</v>
      </c>
      <c r="C9562" s="1" t="s">
        <v>12745</v>
      </c>
      <c r="D9562" s="2">
        <v>40111</v>
      </c>
      <c r="E9562" s="1" t="s">
        <v>19027</v>
      </c>
      <c r="F9562" s="1" t="s">
        <v>114</v>
      </c>
    </row>
    <row r="9563" spans="1:6" ht="30" customHeight="1" x14ac:dyDescent="0.25">
      <c r="A9563" s="1" t="s">
        <v>19028</v>
      </c>
      <c r="B9563" s="1" t="str">
        <f>"9781603445634"</f>
        <v>9781603445634</v>
      </c>
      <c r="C9563" s="1" t="s">
        <v>12745</v>
      </c>
      <c r="D9563" s="2">
        <v>38777</v>
      </c>
      <c r="E9563" s="1" t="s">
        <v>19029</v>
      </c>
      <c r="F9563" s="1" t="s">
        <v>541</v>
      </c>
    </row>
    <row r="9564" spans="1:6" ht="30" customHeight="1" x14ac:dyDescent="0.25">
      <c r="A9564" s="1" t="s">
        <v>19030</v>
      </c>
      <c r="B9564" s="1" t="str">
        <f>"9783131629012"</f>
        <v>9783131629012</v>
      </c>
      <c r="C9564" s="1" t="s">
        <v>1671</v>
      </c>
      <c r="D9564" s="2">
        <v>37834</v>
      </c>
      <c r="E9564" s="1" t="s">
        <v>19031</v>
      </c>
      <c r="F9564" s="1" t="s">
        <v>13</v>
      </c>
    </row>
    <row r="9565" spans="1:6" ht="30" customHeight="1" x14ac:dyDescent="0.25">
      <c r="A9565" s="1" t="s">
        <v>19032</v>
      </c>
      <c r="B9565" s="1" t="str">
        <f>"9783131628213"</f>
        <v>9783131628213</v>
      </c>
      <c r="C9565" s="1" t="s">
        <v>19033</v>
      </c>
      <c r="D9565" s="2">
        <v>38384</v>
      </c>
      <c r="E9565" s="1" t="s">
        <v>19034</v>
      </c>
      <c r="F9565" s="1" t="s">
        <v>13</v>
      </c>
    </row>
    <row r="9566" spans="1:6" ht="30" customHeight="1" x14ac:dyDescent="0.25">
      <c r="A9566" s="1" t="s">
        <v>19035</v>
      </c>
      <c r="B9566" s="1" t="str">
        <f>"9783131627315"</f>
        <v>9783131627315</v>
      </c>
      <c r="C9566" s="1" t="s">
        <v>19033</v>
      </c>
      <c r="D9566" s="2">
        <v>38353</v>
      </c>
      <c r="E9566" s="1" t="s">
        <v>19036</v>
      </c>
      <c r="F9566" s="1" t="s">
        <v>13</v>
      </c>
    </row>
    <row r="9567" spans="1:6" ht="30" customHeight="1" x14ac:dyDescent="0.25">
      <c r="A9567" s="1" t="s">
        <v>19037</v>
      </c>
      <c r="B9567" s="1" t="str">
        <f>"9781604066234"</f>
        <v>9781604066234</v>
      </c>
      <c r="C9567" s="1" t="s">
        <v>1671</v>
      </c>
      <c r="D9567" s="2">
        <v>38718</v>
      </c>
      <c r="E9567" s="1" t="s">
        <v>19038</v>
      </c>
      <c r="F9567" s="1" t="s">
        <v>13</v>
      </c>
    </row>
    <row r="9568" spans="1:6" ht="30" customHeight="1" x14ac:dyDescent="0.25">
      <c r="A9568" s="1" t="s">
        <v>19039</v>
      </c>
      <c r="B9568" s="1" t="str">
        <f>"9783131648716"</f>
        <v>9783131648716</v>
      </c>
      <c r="C9568" s="1" t="s">
        <v>19033</v>
      </c>
      <c r="D9568" s="2">
        <v>38292</v>
      </c>
      <c r="E9568" s="1" t="s">
        <v>19040</v>
      </c>
      <c r="F9568" s="1" t="s">
        <v>13</v>
      </c>
    </row>
    <row r="9569" spans="1:6" ht="30" customHeight="1" x14ac:dyDescent="0.25">
      <c r="A9569" s="1" t="s">
        <v>13716</v>
      </c>
      <c r="B9569" s="1" t="str">
        <f>"9781604064735"</f>
        <v>9781604064735</v>
      </c>
      <c r="C9569" s="1" t="s">
        <v>1671</v>
      </c>
      <c r="D9569" s="2">
        <v>39083</v>
      </c>
      <c r="E9569" s="1" t="s">
        <v>19041</v>
      </c>
      <c r="F9569" s="1" t="s">
        <v>13</v>
      </c>
    </row>
    <row r="9570" spans="1:6" ht="30" customHeight="1" x14ac:dyDescent="0.25">
      <c r="A9570" s="1" t="s">
        <v>19042</v>
      </c>
      <c r="B9570" s="1" t="str">
        <f>"9781854183828"</f>
        <v>9781854183828</v>
      </c>
      <c r="C9570" s="1" t="s">
        <v>19043</v>
      </c>
      <c r="D9570" s="2">
        <v>39052</v>
      </c>
      <c r="E9570" s="1" t="s">
        <v>3861</v>
      </c>
      <c r="F9570" s="1" t="s">
        <v>19044</v>
      </c>
    </row>
    <row r="9571" spans="1:6" ht="30" customHeight="1" x14ac:dyDescent="0.25">
      <c r="A9571" s="1" t="s">
        <v>19045</v>
      </c>
      <c r="B9571" s="1" t="str">
        <f>"9780820340180"</f>
        <v>9780820340180</v>
      </c>
      <c r="C9571" s="1" t="s">
        <v>13887</v>
      </c>
      <c r="D9571" s="2">
        <v>39661</v>
      </c>
      <c r="E9571" s="1" t="s">
        <v>19046</v>
      </c>
      <c r="F9571" s="1" t="s">
        <v>541</v>
      </c>
    </row>
    <row r="9572" spans="1:6" ht="30" customHeight="1" x14ac:dyDescent="0.25">
      <c r="A9572" s="1" t="s">
        <v>19047</v>
      </c>
      <c r="B9572" s="1" t="str">
        <f>"9780820339788"</f>
        <v>9780820339788</v>
      </c>
      <c r="C9572" s="1" t="s">
        <v>13887</v>
      </c>
      <c r="D9572" s="2">
        <v>40664</v>
      </c>
      <c r="E9572" s="1" t="s">
        <v>19048</v>
      </c>
      <c r="F9572" s="1" t="s">
        <v>19049</v>
      </c>
    </row>
    <row r="9573" spans="1:6" ht="30" customHeight="1" x14ac:dyDescent="0.25">
      <c r="A9573" s="1" t="s">
        <v>19050</v>
      </c>
      <c r="B9573" s="1" t="str">
        <f>"9780820342221"</f>
        <v>9780820342221</v>
      </c>
      <c r="C9573" s="1" t="s">
        <v>13887</v>
      </c>
      <c r="D9573" s="2">
        <v>38720</v>
      </c>
      <c r="E9573" s="1" t="s">
        <v>19051</v>
      </c>
      <c r="F9573" s="1" t="s">
        <v>13</v>
      </c>
    </row>
    <row r="9574" spans="1:6" ht="30" customHeight="1" x14ac:dyDescent="0.25">
      <c r="A9574" s="1" t="s">
        <v>19052</v>
      </c>
      <c r="B9574" s="1" t="str">
        <f>"9780820341781"</f>
        <v>9780820341781</v>
      </c>
      <c r="C9574" s="1" t="s">
        <v>13887</v>
      </c>
      <c r="D9574" s="2">
        <v>40878</v>
      </c>
      <c r="E9574" s="1" t="s">
        <v>19053</v>
      </c>
      <c r="F9574" s="1" t="s">
        <v>30</v>
      </c>
    </row>
    <row r="9575" spans="1:6" ht="30" customHeight="1" x14ac:dyDescent="0.25">
      <c r="A9575" s="1" t="s">
        <v>19054</v>
      </c>
      <c r="B9575" s="1" t="str">
        <f>"9780816655755"</f>
        <v>9780816655755</v>
      </c>
      <c r="C9575" s="1" t="s">
        <v>3458</v>
      </c>
      <c r="D9575" s="2">
        <v>31898</v>
      </c>
      <c r="E9575" s="1" t="s">
        <v>19055</v>
      </c>
      <c r="F9575" s="1" t="s">
        <v>480</v>
      </c>
    </row>
    <row r="9576" spans="1:6" ht="30" customHeight="1" x14ac:dyDescent="0.25">
      <c r="A9576" s="1" t="s">
        <v>19056</v>
      </c>
      <c r="B9576" s="1" t="str">
        <f>"9780816655373"</f>
        <v>9780816655373</v>
      </c>
      <c r="C9576" s="1" t="s">
        <v>3458</v>
      </c>
      <c r="D9576" s="2">
        <v>32295</v>
      </c>
      <c r="E9576" s="1" t="s">
        <v>19057</v>
      </c>
      <c r="F9576" s="1" t="s">
        <v>13</v>
      </c>
    </row>
    <row r="9577" spans="1:6" ht="30" customHeight="1" x14ac:dyDescent="0.25">
      <c r="A9577" s="1" t="s">
        <v>19058</v>
      </c>
      <c r="B9577" s="1" t="str">
        <f>"9780816663682"</f>
        <v>9780816663682</v>
      </c>
      <c r="C9577" s="1" t="s">
        <v>3458</v>
      </c>
      <c r="D9577" s="2">
        <v>26634</v>
      </c>
      <c r="E9577" s="1" t="s">
        <v>19059</v>
      </c>
      <c r="F9577" s="1" t="s">
        <v>13</v>
      </c>
    </row>
    <row r="9578" spans="1:6" ht="30" customHeight="1" x14ac:dyDescent="0.25">
      <c r="A9578" s="1" t="s">
        <v>19060</v>
      </c>
      <c r="B9578" s="1" t="str">
        <f>"9780807876206"</f>
        <v>9780807876206</v>
      </c>
      <c r="C9578" s="1" t="s">
        <v>6600</v>
      </c>
      <c r="D9578" s="2">
        <v>36161</v>
      </c>
      <c r="E9578" s="1" t="s">
        <v>19061</v>
      </c>
      <c r="F9578" s="1" t="s">
        <v>13747</v>
      </c>
    </row>
    <row r="9579" spans="1:6" ht="30" customHeight="1" x14ac:dyDescent="0.25">
      <c r="A9579" s="1" t="s">
        <v>19062</v>
      </c>
      <c r="B9579" s="1" t="str">
        <f>"9780807876060"</f>
        <v>9780807876060</v>
      </c>
      <c r="C9579" s="1" t="s">
        <v>6600</v>
      </c>
      <c r="D9579" s="2">
        <v>36161</v>
      </c>
      <c r="E9579" s="1" t="s">
        <v>19063</v>
      </c>
      <c r="F9579" s="1" t="s">
        <v>205</v>
      </c>
    </row>
    <row r="9580" spans="1:6" ht="30" customHeight="1" x14ac:dyDescent="0.25">
      <c r="A9580" s="1" t="s">
        <v>19064</v>
      </c>
      <c r="B9580" s="1" t="str">
        <f>"9780807876084"</f>
        <v>9780807876084</v>
      </c>
      <c r="C9580" s="1" t="s">
        <v>4843</v>
      </c>
      <c r="D9580" s="2">
        <v>36495</v>
      </c>
      <c r="E9580" s="1" t="s">
        <v>1794</v>
      </c>
      <c r="F9580" s="1" t="s">
        <v>13</v>
      </c>
    </row>
    <row r="9581" spans="1:6" ht="30" customHeight="1" x14ac:dyDescent="0.25">
      <c r="A9581" s="1" t="s">
        <v>19065</v>
      </c>
      <c r="B9581" s="1" t="str">
        <f>""</f>
        <v/>
      </c>
      <c r="C9581" s="1" t="s">
        <v>3602</v>
      </c>
      <c r="D9581" s="2">
        <v>36465</v>
      </c>
      <c r="E9581" s="1" t="s">
        <v>19066</v>
      </c>
      <c r="F9581" s="1" t="s">
        <v>541</v>
      </c>
    </row>
    <row r="9582" spans="1:6" ht="30" customHeight="1" x14ac:dyDescent="0.25">
      <c r="A9582" s="1" t="s">
        <v>19067</v>
      </c>
      <c r="B9582" s="1" t="str">
        <f>"9789280871784"</f>
        <v>9789280871784</v>
      </c>
      <c r="C9582" s="1" t="s">
        <v>19068</v>
      </c>
      <c r="D9582" s="2">
        <v>41000</v>
      </c>
      <c r="E9582" s="1" t="s">
        <v>19069</v>
      </c>
      <c r="F9582" s="1" t="s">
        <v>30</v>
      </c>
    </row>
    <row r="9583" spans="1:6" ht="30" customHeight="1" x14ac:dyDescent="0.25">
      <c r="A9583" s="1" t="s">
        <v>19070</v>
      </c>
      <c r="B9583" s="1" t="str">
        <f>"9780870818042"</f>
        <v>9780870818042</v>
      </c>
      <c r="C9583" s="1" t="s">
        <v>19071</v>
      </c>
      <c r="D9583" s="2">
        <v>38062</v>
      </c>
      <c r="E9583" s="1" t="s">
        <v>19072</v>
      </c>
      <c r="F9583" s="1" t="s">
        <v>95</v>
      </c>
    </row>
    <row r="9584" spans="1:6" ht="30" customHeight="1" x14ac:dyDescent="0.25">
      <c r="A9584" s="1" t="s">
        <v>19073</v>
      </c>
      <c r="B9584" s="1" t="str">
        <f>"9780870819735"</f>
        <v>9780870819735</v>
      </c>
      <c r="C9584" s="1" t="s">
        <v>19071</v>
      </c>
      <c r="D9584" s="2">
        <v>39964</v>
      </c>
      <c r="E9584" s="1" t="s">
        <v>19074</v>
      </c>
      <c r="F9584" s="1" t="s">
        <v>13</v>
      </c>
    </row>
    <row r="9585" spans="1:6" ht="30" customHeight="1" x14ac:dyDescent="0.25">
      <c r="A9585" s="1" t="s">
        <v>19075</v>
      </c>
      <c r="B9585" s="1" t="str">
        <f>"9781607320746"</f>
        <v>9781607320746</v>
      </c>
      <c r="C9585" s="1" t="s">
        <v>19071</v>
      </c>
      <c r="D9585" s="2">
        <v>40483</v>
      </c>
      <c r="E9585" s="1" t="s">
        <v>19076</v>
      </c>
      <c r="F9585" s="1" t="s">
        <v>301</v>
      </c>
    </row>
    <row r="9586" spans="1:6" ht="30" customHeight="1" x14ac:dyDescent="0.25">
      <c r="A9586" s="1" t="s">
        <v>19077</v>
      </c>
      <c r="B9586" s="1" t="str">
        <f>"9781607320999"</f>
        <v>9781607320999</v>
      </c>
      <c r="C9586" s="1" t="s">
        <v>19071</v>
      </c>
      <c r="D9586" s="2">
        <v>40618</v>
      </c>
      <c r="E9586" s="1" t="s">
        <v>19078</v>
      </c>
      <c r="F9586" s="1" t="s">
        <v>13</v>
      </c>
    </row>
    <row r="9587" spans="1:6" ht="30" customHeight="1" x14ac:dyDescent="0.25">
      <c r="A9587" s="1" t="s">
        <v>19079</v>
      </c>
      <c r="B9587" s="1" t="str">
        <f>"9781607321767"</f>
        <v>9781607321767</v>
      </c>
      <c r="C9587" s="1" t="s">
        <v>19071</v>
      </c>
      <c r="D9587" s="2">
        <v>41197</v>
      </c>
      <c r="E9587" s="1" t="s">
        <v>19080</v>
      </c>
      <c r="F9587" s="1" t="s">
        <v>541</v>
      </c>
    </row>
    <row r="9588" spans="1:6" ht="30" customHeight="1" x14ac:dyDescent="0.25">
      <c r="A9588" s="1" t="s">
        <v>19081</v>
      </c>
      <c r="B9588" s="1" t="str">
        <f>"9781607322337"</f>
        <v>9781607322337</v>
      </c>
      <c r="C9588" s="1" t="s">
        <v>19071</v>
      </c>
      <c r="D9588" s="2">
        <v>41470</v>
      </c>
      <c r="E9588" s="1" t="s">
        <v>19082</v>
      </c>
      <c r="F9588" s="1" t="s">
        <v>114</v>
      </c>
    </row>
    <row r="9589" spans="1:6" ht="30" customHeight="1" x14ac:dyDescent="0.25">
      <c r="A9589" s="1" t="s">
        <v>19083</v>
      </c>
      <c r="B9589" s="1" t="str">
        <f>""</f>
        <v/>
      </c>
      <c r="C9589" s="1" t="s">
        <v>19084</v>
      </c>
      <c r="D9589" s="2">
        <v>37226</v>
      </c>
      <c r="E9589" s="1" t="s">
        <v>19085</v>
      </c>
      <c r="F9589" s="1" t="s">
        <v>541</v>
      </c>
    </row>
    <row r="9590" spans="1:6" ht="30" customHeight="1" x14ac:dyDescent="0.25">
      <c r="A9590" s="1" t="s">
        <v>19086</v>
      </c>
      <c r="B9590" s="1" t="str">
        <f>"9783110215106"</f>
        <v>9783110215106</v>
      </c>
      <c r="C9590" s="1" t="s">
        <v>1848</v>
      </c>
      <c r="D9590" s="2">
        <v>40735</v>
      </c>
      <c r="E9590" s="1" t="s">
        <v>19087</v>
      </c>
      <c r="F9590" s="1" t="s">
        <v>30</v>
      </c>
    </row>
    <row r="9591" spans="1:6" ht="30" customHeight="1" x14ac:dyDescent="0.25">
      <c r="A9591" s="1" t="s">
        <v>19088</v>
      </c>
      <c r="B9591" s="1" t="str">
        <f>"9783110819083"</f>
        <v>9783110819083</v>
      </c>
      <c r="C9591" s="1" t="s">
        <v>1848</v>
      </c>
      <c r="D9591" s="2">
        <v>40697</v>
      </c>
      <c r="E9591" s="1" t="s">
        <v>19089</v>
      </c>
      <c r="F9591" s="1" t="s">
        <v>70</v>
      </c>
    </row>
    <row r="9592" spans="1:6" ht="30" customHeight="1" x14ac:dyDescent="0.25">
      <c r="A9592" s="1" t="s">
        <v>19090</v>
      </c>
      <c r="B9592" s="1" t="str">
        <f>"9783110914931"</f>
        <v>9783110914931</v>
      </c>
      <c r="C9592" s="1" t="s">
        <v>1848</v>
      </c>
      <c r="D9592" s="2">
        <v>40952</v>
      </c>
      <c r="E9592" s="1" t="s">
        <v>14846</v>
      </c>
      <c r="F9592" s="1" t="s">
        <v>13</v>
      </c>
    </row>
    <row r="9593" spans="1:6" ht="30" customHeight="1" x14ac:dyDescent="0.25">
      <c r="A9593" s="1" t="s">
        <v>19091</v>
      </c>
      <c r="B9593" s="1" t="str">
        <f>"9783110879575"</f>
        <v>9783110879575</v>
      </c>
      <c r="C9593" s="1" t="s">
        <v>1848</v>
      </c>
      <c r="D9593" s="2">
        <v>40735</v>
      </c>
      <c r="E9593" s="1" t="s">
        <v>19092</v>
      </c>
      <c r="F9593" s="1" t="s">
        <v>2225</v>
      </c>
    </row>
    <row r="9594" spans="1:6" ht="30" customHeight="1" x14ac:dyDescent="0.25">
      <c r="A9594" s="1" t="s">
        <v>19093</v>
      </c>
      <c r="B9594" s="1" t="str">
        <f>"9783110869125"</f>
        <v>9783110869125</v>
      </c>
      <c r="C9594" s="1" t="s">
        <v>1848</v>
      </c>
      <c r="D9594" s="2">
        <v>40695</v>
      </c>
      <c r="E9594" s="1" t="s">
        <v>19094</v>
      </c>
      <c r="F9594" s="1" t="s">
        <v>13</v>
      </c>
    </row>
    <row r="9595" spans="1:6" ht="30" customHeight="1" x14ac:dyDescent="0.25">
      <c r="A9595" s="1" t="s">
        <v>19095</v>
      </c>
      <c r="B9595" s="1" t="str">
        <f>"9783110847598"</f>
        <v>9783110847598</v>
      </c>
      <c r="C9595" s="1" t="s">
        <v>1848</v>
      </c>
      <c r="D9595" s="2">
        <v>40798</v>
      </c>
      <c r="E9595" s="1" t="s">
        <v>19096</v>
      </c>
      <c r="F9595" s="1" t="s">
        <v>13</v>
      </c>
    </row>
    <row r="9596" spans="1:6" ht="30" customHeight="1" x14ac:dyDescent="0.25">
      <c r="A9596" s="1" t="s">
        <v>19097</v>
      </c>
      <c r="B9596" s="1" t="str">
        <f>"9783110857276"</f>
        <v>9783110857276</v>
      </c>
      <c r="C9596" s="1" t="s">
        <v>1848</v>
      </c>
      <c r="D9596" s="2">
        <v>40709</v>
      </c>
      <c r="E9596" s="1" t="s">
        <v>19098</v>
      </c>
      <c r="F9596" s="1" t="s">
        <v>13</v>
      </c>
    </row>
    <row r="9597" spans="1:6" ht="30" customHeight="1" x14ac:dyDescent="0.25">
      <c r="A9597" s="1" t="s">
        <v>19099</v>
      </c>
      <c r="B9597" s="1" t="str">
        <f>"9783110855944"</f>
        <v>9783110855944</v>
      </c>
      <c r="C9597" s="1" t="s">
        <v>1848</v>
      </c>
      <c r="D9597" s="2">
        <v>40709</v>
      </c>
      <c r="E9597" s="1" t="s">
        <v>19100</v>
      </c>
      <c r="F9597" s="1" t="s">
        <v>7304</v>
      </c>
    </row>
    <row r="9598" spans="1:6" ht="30" customHeight="1" x14ac:dyDescent="0.25">
      <c r="A9598" s="1" t="s">
        <v>19101</v>
      </c>
      <c r="B9598" s="1" t="str">
        <f>"9783110905762"</f>
        <v>9783110905762</v>
      </c>
      <c r="C9598" s="1" t="s">
        <v>1848</v>
      </c>
      <c r="D9598" s="2">
        <v>41130</v>
      </c>
      <c r="E9598" s="1" t="s">
        <v>19102</v>
      </c>
      <c r="F9598" s="1" t="s">
        <v>13</v>
      </c>
    </row>
    <row r="9599" spans="1:6" ht="30" customHeight="1" x14ac:dyDescent="0.25">
      <c r="A9599" s="1" t="s">
        <v>19103</v>
      </c>
      <c r="B9599" s="1" t="str">
        <f>"9783110807271"</f>
        <v>9783110807271</v>
      </c>
      <c r="C9599" s="1" t="s">
        <v>1848</v>
      </c>
      <c r="D9599" s="2">
        <v>41416</v>
      </c>
      <c r="E9599" s="1" t="s">
        <v>19104</v>
      </c>
      <c r="F9599" s="1" t="s">
        <v>13</v>
      </c>
    </row>
    <row r="9600" spans="1:6" ht="30" customHeight="1" x14ac:dyDescent="0.25">
      <c r="A9600" s="1" t="s">
        <v>19105</v>
      </c>
      <c r="B9600" s="1" t="str">
        <f>"9783110829051"</f>
        <v>9783110829051</v>
      </c>
      <c r="C9600" s="1" t="s">
        <v>1848</v>
      </c>
      <c r="D9600" s="2">
        <v>41311</v>
      </c>
      <c r="E9600" s="1" t="s">
        <v>19106</v>
      </c>
      <c r="F9600" s="1" t="s">
        <v>13</v>
      </c>
    </row>
    <row r="9601" spans="1:6" ht="30" customHeight="1" x14ac:dyDescent="0.25">
      <c r="A9601" s="1" t="s">
        <v>19107</v>
      </c>
      <c r="B9601" s="1" t="str">
        <f>"9783110855494"</f>
        <v>9783110855494</v>
      </c>
      <c r="C9601" s="1" t="s">
        <v>1848</v>
      </c>
      <c r="D9601" s="2">
        <v>40718</v>
      </c>
      <c r="E9601" s="1" t="s">
        <v>19108</v>
      </c>
      <c r="F9601" s="1" t="s">
        <v>13</v>
      </c>
    </row>
    <row r="9602" spans="1:6" ht="30" customHeight="1" x14ac:dyDescent="0.25">
      <c r="A9602" s="1" t="s">
        <v>19109</v>
      </c>
      <c r="B9602" s="1" t="str">
        <f>"9780674189249"</f>
        <v>9780674189249</v>
      </c>
      <c r="C9602" s="1" t="s">
        <v>19110</v>
      </c>
      <c r="D9602" s="2">
        <v>6576</v>
      </c>
      <c r="E9602" s="1" t="s">
        <v>19111</v>
      </c>
      <c r="F9602" s="1" t="s">
        <v>30</v>
      </c>
    </row>
    <row r="9603" spans="1:6" ht="30" customHeight="1" x14ac:dyDescent="0.25">
      <c r="A9603" s="1" t="s">
        <v>19112</v>
      </c>
      <c r="B9603" s="1" t="str">
        <f>"9780674188372"</f>
        <v>9780674188372</v>
      </c>
      <c r="C9603" s="1" t="s">
        <v>19110</v>
      </c>
      <c r="D9603" s="2">
        <v>18264</v>
      </c>
      <c r="E9603" s="1" t="s">
        <v>19113</v>
      </c>
      <c r="F9603" s="1" t="s">
        <v>30</v>
      </c>
    </row>
    <row r="9604" spans="1:6" ht="30" customHeight="1" x14ac:dyDescent="0.25">
      <c r="A9604" s="1" t="s">
        <v>19114</v>
      </c>
      <c r="B9604" s="1" t="str">
        <f>"9781280060557"</f>
        <v>9781280060557</v>
      </c>
      <c r="C9604" s="1" t="s">
        <v>1981</v>
      </c>
      <c r="D9604" s="2">
        <v>34090</v>
      </c>
      <c r="E9604" s="1" t="s">
        <v>19116</v>
      </c>
      <c r="F9604" s="1" t="s">
        <v>158</v>
      </c>
    </row>
    <row r="9605" spans="1:6" ht="30" customHeight="1" x14ac:dyDescent="0.25">
      <c r="A9605" s="1" t="s">
        <v>19117</v>
      </c>
      <c r="B9605" s="1" t="str">
        <f>"9781280041273"</f>
        <v>9781280041273</v>
      </c>
      <c r="C9605" s="1" t="s">
        <v>1981</v>
      </c>
      <c r="D9605" s="2">
        <v>37226</v>
      </c>
      <c r="E9605" s="1" t="s">
        <v>19118</v>
      </c>
      <c r="F9605" s="1" t="s">
        <v>30</v>
      </c>
    </row>
    <row r="9606" spans="1:6" ht="30" customHeight="1" x14ac:dyDescent="0.25">
      <c r="A9606" s="1" t="s">
        <v>19119</v>
      </c>
      <c r="B9606" s="1" t="str">
        <f>""</f>
        <v/>
      </c>
      <c r="C9606" s="1" t="s">
        <v>1981</v>
      </c>
      <c r="D9606" s="2">
        <v>35400</v>
      </c>
      <c r="E9606" s="1" t="s">
        <v>19120</v>
      </c>
      <c r="F9606" s="1" t="s">
        <v>33</v>
      </c>
    </row>
    <row r="9607" spans="1:6" ht="30" customHeight="1" x14ac:dyDescent="0.25">
      <c r="A9607" s="1" t="s">
        <v>19121</v>
      </c>
      <c r="B9607" s="1" t="str">
        <f>"9781280060311"</f>
        <v>9781280060311</v>
      </c>
      <c r="C9607" s="1" t="s">
        <v>19122</v>
      </c>
      <c r="D9607" s="2">
        <v>36404</v>
      </c>
      <c r="E9607" s="1" t="s">
        <v>19123</v>
      </c>
      <c r="F9607" s="1" t="s">
        <v>95</v>
      </c>
    </row>
    <row r="9608" spans="1:6" ht="30" customHeight="1" x14ac:dyDescent="0.25">
      <c r="A9608" s="1" t="s">
        <v>19124</v>
      </c>
      <c r="B9608" s="1" t="str">
        <f>""</f>
        <v/>
      </c>
      <c r="C9608" s="1" t="s">
        <v>1981</v>
      </c>
      <c r="D9608" s="2">
        <v>37226</v>
      </c>
      <c r="E9608" s="1" t="s">
        <v>19118</v>
      </c>
      <c r="F9608" s="1" t="s">
        <v>30</v>
      </c>
    </row>
    <row r="9609" spans="1:6" ht="30" customHeight="1" x14ac:dyDescent="0.25">
      <c r="A9609" s="1" t="s">
        <v>19125</v>
      </c>
      <c r="B9609" s="1" t="str">
        <f>""</f>
        <v/>
      </c>
      <c r="C9609" s="1" t="s">
        <v>1981</v>
      </c>
      <c r="D9609" s="2">
        <v>37226</v>
      </c>
      <c r="E9609" s="1" t="s">
        <v>19126</v>
      </c>
      <c r="F9609" s="1" t="s">
        <v>13</v>
      </c>
    </row>
    <row r="9610" spans="1:6" ht="30" customHeight="1" x14ac:dyDescent="0.25">
      <c r="A9610" s="1" t="s">
        <v>19127</v>
      </c>
      <c r="B9610" s="1" t="str">
        <f>""</f>
        <v/>
      </c>
      <c r="C9610" s="1" t="s">
        <v>1981</v>
      </c>
      <c r="D9610" s="2">
        <v>37226</v>
      </c>
      <c r="E9610" s="1" t="s">
        <v>19118</v>
      </c>
      <c r="F9610" s="1" t="s">
        <v>13</v>
      </c>
    </row>
    <row r="9611" spans="1:6" ht="30" customHeight="1" x14ac:dyDescent="0.25">
      <c r="A9611" s="1" t="s">
        <v>19128</v>
      </c>
      <c r="B9611" s="1" t="str">
        <f>""</f>
        <v/>
      </c>
      <c r="C9611" s="1" t="s">
        <v>1981</v>
      </c>
      <c r="D9611" s="2">
        <v>37226</v>
      </c>
      <c r="E9611" s="1" t="s">
        <v>1981</v>
      </c>
      <c r="F9611" s="1" t="s">
        <v>13</v>
      </c>
    </row>
    <row r="9612" spans="1:6" ht="30" customHeight="1" x14ac:dyDescent="0.25">
      <c r="A9612" s="1" t="s">
        <v>19129</v>
      </c>
      <c r="B9612" s="1" t="str">
        <f>""</f>
        <v/>
      </c>
      <c r="C9612" s="1" t="s">
        <v>1981</v>
      </c>
      <c r="D9612" s="2">
        <v>37226</v>
      </c>
      <c r="E9612" s="1" t="s">
        <v>1981</v>
      </c>
      <c r="F9612" s="1" t="s">
        <v>356</v>
      </c>
    </row>
    <row r="9613" spans="1:6" ht="30" customHeight="1" x14ac:dyDescent="0.25">
      <c r="A9613" s="1" t="s">
        <v>19130</v>
      </c>
      <c r="B9613" s="1" t="str">
        <f>"9789240686502"</f>
        <v>9789240686502</v>
      </c>
      <c r="C9613" s="1" t="s">
        <v>1981</v>
      </c>
      <c r="D9613" s="2">
        <v>37226</v>
      </c>
      <c r="E9613" s="1" t="s">
        <v>19131</v>
      </c>
      <c r="F9613" s="1" t="s">
        <v>95</v>
      </c>
    </row>
    <row r="9614" spans="1:6" ht="30" customHeight="1" x14ac:dyDescent="0.25">
      <c r="A9614" s="1" t="s">
        <v>19132</v>
      </c>
      <c r="B9614" s="1" t="str">
        <f>""</f>
        <v/>
      </c>
      <c r="C9614" s="1" t="s">
        <v>1981</v>
      </c>
      <c r="D9614" s="2">
        <v>36130</v>
      </c>
      <c r="E9614" s="1" t="s">
        <v>19133</v>
      </c>
      <c r="F9614" s="1" t="s">
        <v>30</v>
      </c>
    </row>
    <row r="9615" spans="1:6" ht="30" customHeight="1" x14ac:dyDescent="0.25">
      <c r="A9615" s="1" t="s">
        <v>19134</v>
      </c>
      <c r="B9615" s="1" t="str">
        <f>""</f>
        <v/>
      </c>
      <c r="C9615" s="1" t="s">
        <v>1981</v>
      </c>
      <c r="D9615" s="2">
        <v>35765</v>
      </c>
      <c r="E9615" s="1" t="s">
        <v>19135</v>
      </c>
      <c r="F9615" s="1" t="s">
        <v>95</v>
      </c>
    </row>
    <row r="9616" spans="1:6" ht="30" customHeight="1" x14ac:dyDescent="0.25">
      <c r="A9616" s="1" t="s">
        <v>19136</v>
      </c>
      <c r="B9616" s="1" t="str">
        <f>""</f>
        <v/>
      </c>
      <c r="C9616" s="1" t="s">
        <v>1981</v>
      </c>
      <c r="D9616" s="2">
        <v>35977</v>
      </c>
      <c r="E9616" s="1" t="s">
        <v>19118</v>
      </c>
      <c r="F9616" s="1" t="s">
        <v>30</v>
      </c>
    </row>
    <row r="9617" spans="1:6" ht="30" customHeight="1" x14ac:dyDescent="0.25">
      <c r="A9617" s="1" t="s">
        <v>19137</v>
      </c>
      <c r="B9617" s="1" t="str">
        <f>"9781280060588"</f>
        <v>9781280060588</v>
      </c>
      <c r="C9617" s="1" t="s">
        <v>1981</v>
      </c>
      <c r="D9617" s="2">
        <v>37591</v>
      </c>
      <c r="E9617" s="1" t="s">
        <v>19138</v>
      </c>
      <c r="F9617" s="1" t="s">
        <v>30</v>
      </c>
    </row>
    <row r="9618" spans="1:6" ht="30" customHeight="1" x14ac:dyDescent="0.25">
      <c r="A9618" s="1" t="s">
        <v>19139</v>
      </c>
      <c r="B9618" s="1" t="str">
        <f>""</f>
        <v/>
      </c>
      <c r="C9618" s="1" t="s">
        <v>1981</v>
      </c>
      <c r="D9618" s="2">
        <v>37591</v>
      </c>
      <c r="E9618" s="1" t="s">
        <v>19138</v>
      </c>
      <c r="F9618" s="1" t="s">
        <v>95</v>
      </c>
    </row>
    <row r="9619" spans="1:6" ht="30" customHeight="1" x14ac:dyDescent="0.25">
      <c r="A9619" s="1" t="s">
        <v>19140</v>
      </c>
      <c r="B9619" s="1" t="str">
        <f>"9781280060632"</f>
        <v>9781280060632</v>
      </c>
      <c r="C9619" s="1" t="s">
        <v>1981</v>
      </c>
      <c r="D9619" s="2">
        <v>37591</v>
      </c>
      <c r="E9619" s="1" t="s">
        <v>19138</v>
      </c>
      <c r="F9619" s="1" t="s">
        <v>30</v>
      </c>
    </row>
    <row r="9620" spans="1:6" ht="30" customHeight="1" x14ac:dyDescent="0.25">
      <c r="A9620" s="1" t="s">
        <v>19141</v>
      </c>
      <c r="B9620" s="1" t="str">
        <f>"9781280060496"</f>
        <v>9781280060496</v>
      </c>
      <c r="C9620" s="1" t="s">
        <v>1981</v>
      </c>
      <c r="D9620" s="2">
        <v>37226</v>
      </c>
      <c r="E9620" s="1" t="s">
        <v>19142</v>
      </c>
      <c r="F9620" s="1" t="s">
        <v>13</v>
      </c>
    </row>
    <row r="9621" spans="1:6" ht="30" customHeight="1" x14ac:dyDescent="0.25">
      <c r="A9621" s="1" t="s">
        <v>19143</v>
      </c>
      <c r="B9621" s="1" t="str">
        <f>"9781280011559"</f>
        <v>9781280011559</v>
      </c>
      <c r="C9621" s="1" t="s">
        <v>1981</v>
      </c>
      <c r="D9621" s="2">
        <v>37591</v>
      </c>
      <c r="E9621" s="1" t="s">
        <v>19138</v>
      </c>
      <c r="F9621" s="1" t="s">
        <v>268</v>
      </c>
    </row>
    <row r="9622" spans="1:6" ht="30" customHeight="1" x14ac:dyDescent="0.25">
      <c r="A9622" s="1" t="s">
        <v>19144</v>
      </c>
      <c r="B9622" s="1" t="str">
        <f>""</f>
        <v/>
      </c>
      <c r="C9622" s="1" t="s">
        <v>1981</v>
      </c>
      <c r="D9622" s="2">
        <v>37622</v>
      </c>
      <c r="E9622" s="1" t="s">
        <v>19145</v>
      </c>
      <c r="F9622" s="1" t="s">
        <v>30</v>
      </c>
    </row>
    <row r="9623" spans="1:6" ht="30" customHeight="1" x14ac:dyDescent="0.25">
      <c r="A9623" s="1" t="s">
        <v>19146</v>
      </c>
      <c r="B9623" s="1" t="str">
        <f>""</f>
        <v/>
      </c>
      <c r="C9623" s="1" t="s">
        <v>1981</v>
      </c>
      <c r="D9623" s="2">
        <v>37956</v>
      </c>
      <c r="E9623" s="1" t="s">
        <v>19147</v>
      </c>
      <c r="F9623" s="1" t="s">
        <v>95</v>
      </c>
    </row>
    <row r="9624" spans="1:6" ht="30" customHeight="1" x14ac:dyDescent="0.25">
      <c r="A9624" s="1" t="s">
        <v>19148</v>
      </c>
      <c r="B9624" s="1" t="str">
        <f>"9781280084577"</f>
        <v>9781280084577</v>
      </c>
      <c r="C9624" s="1" t="s">
        <v>19145</v>
      </c>
      <c r="D9624" s="2">
        <v>37226</v>
      </c>
      <c r="E9624" s="1" t="s">
        <v>19118</v>
      </c>
      <c r="F9624" s="1" t="s">
        <v>95</v>
      </c>
    </row>
    <row r="9625" spans="1:6" ht="30" customHeight="1" x14ac:dyDescent="0.25">
      <c r="A9625" s="1" t="s">
        <v>19149</v>
      </c>
      <c r="B9625" s="1" t="str">
        <f>""</f>
        <v/>
      </c>
      <c r="C9625" s="1" t="s">
        <v>19150</v>
      </c>
      <c r="D9625" s="2">
        <v>37956</v>
      </c>
      <c r="E9625" s="1" t="s">
        <v>19118</v>
      </c>
      <c r="F9625" s="1" t="s">
        <v>13</v>
      </c>
    </row>
    <row r="9626" spans="1:6" ht="30" customHeight="1" x14ac:dyDescent="0.25">
      <c r="A9626" s="1" t="s">
        <v>19151</v>
      </c>
      <c r="B9626" s="1" t="str">
        <f>"9781280084591"</f>
        <v>9781280084591</v>
      </c>
      <c r="C9626" s="1" t="s">
        <v>19145</v>
      </c>
      <c r="D9626" s="2">
        <v>37591</v>
      </c>
      <c r="E9626" s="1" t="s">
        <v>19118</v>
      </c>
      <c r="F9626" s="1" t="s">
        <v>13</v>
      </c>
    </row>
    <row r="9627" spans="1:6" ht="30" customHeight="1" x14ac:dyDescent="0.25">
      <c r="A9627" s="1" t="s">
        <v>19152</v>
      </c>
      <c r="B9627" s="1" t="str">
        <f>"9781280084553"</f>
        <v>9781280084553</v>
      </c>
      <c r="C9627" s="1" t="s">
        <v>19150</v>
      </c>
      <c r="D9627" s="2">
        <v>37591</v>
      </c>
      <c r="E9627" s="1" t="s">
        <v>19118</v>
      </c>
      <c r="F9627" s="1" t="s">
        <v>95</v>
      </c>
    </row>
    <row r="9628" spans="1:6" ht="30" customHeight="1" x14ac:dyDescent="0.25">
      <c r="A9628" s="1" t="s">
        <v>19153</v>
      </c>
      <c r="B9628" s="1" t="str">
        <f>"9781280084522"</f>
        <v>9781280084522</v>
      </c>
      <c r="C9628" s="1" t="s">
        <v>19150</v>
      </c>
      <c r="D9628" s="2">
        <v>37591</v>
      </c>
      <c r="E9628" s="1" t="s">
        <v>19118</v>
      </c>
      <c r="F9628" s="1" t="s">
        <v>137</v>
      </c>
    </row>
    <row r="9629" spans="1:6" ht="30" customHeight="1" x14ac:dyDescent="0.25">
      <c r="A9629" s="1" t="s">
        <v>19154</v>
      </c>
      <c r="B9629" s="1" t="str">
        <f>"9789240689299"</f>
        <v>9789240689299</v>
      </c>
      <c r="C9629" s="1" t="s">
        <v>19150</v>
      </c>
      <c r="D9629" s="2">
        <v>37591</v>
      </c>
      <c r="E9629" s="1" t="s">
        <v>19118</v>
      </c>
      <c r="F9629" s="1" t="s">
        <v>13</v>
      </c>
    </row>
    <row r="9630" spans="1:6" ht="30" customHeight="1" x14ac:dyDescent="0.25">
      <c r="A9630" s="1" t="s">
        <v>19155</v>
      </c>
      <c r="B9630" s="1" t="str">
        <f>""</f>
        <v/>
      </c>
      <c r="C9630" s="1" t="s">
        <v>19145</v>
      </c>
      <c r="D9630" s="2">
        <v>37591</v>
      </c>
      <c r="E9630" s="1" t="s">
        <v>19118</v>
      </c>
      <c r="F9630" s="1" t="s">
        <v>268</v>
      </c>
    </row>
    <row r="9631" spans="1:6" ht="30" customHeight="1" x14ac:dyDescent="0.25">
      <c r="A9631" s="1" t="s">
        <v>19156</v>
      </c>
      <c r="B9631" s="1" t="str">
        <f>"9781280084546"</f>
        <v>9781280084546</v>
      </c>
      <c r="C9631" s="1" t="s">
        <v>19150</v>
      </c>
      <c r="D9631" s="2">
        <v>37591</v>
      </c>
      <c r="E9631" s="1" t="s">
        <v>19118</v>
      </c>
      <c r="F9631" s="1" t="s">
        <v>95</v>
      </c>
    </row>
    <row r="9632" spans="1:6" ht="30" customHeight="1" x14ac:dyDescent="0.25">
      <c r="A9632" s="1" t="s">
        <v>19157</v>
      </c>
      <c r="B9632" s="1" t="str">
        <f>"9781280084584"</f>
        <v>9781280084584</v>
      </c>
      <c r="C9632" s="1" t="s">
        <v>19145</v>
      </c>
      <c r="D9632" s="2">
        <v>37591</v>
      </c>
      <c r="E9632" s="1" t="s">
        <v>19118</v>
      </c>
      <c r="F9632" s="1" t="s">
        <v>95</v>
      </c>
    </row>
    <row r="9633" spans="1:6" ht="30" customHeight="1" x14ac:dyDescent="0.25">
      <c r="A9633" s="1" t="s">
        <v>19158</v>
      </c>
      <c r="B9633" s="1" t="str">
        <f>"9781280088605"</f>
        <v>9781280088605</v>
      </c>
      <c r="C9633" s="1" t="s">
        <v>2223</v>
      </c>
      <c r="D9633" s="2">
        <v>37956</v>
      </c>
      <c r="E9633" s="1" t="s">
        <v>19118</v>
      </c>
      <c r="F9633" s="1" t="s">
        <v>95</v>
      </c>
    </row>
    <row r="9634" spans="1:6" ht="30" customHeight="1" x14ac:dyDescent="0.25">
      <c r="A9634" s="1" t="s">
        <v>19159</v>
      </c>
      <c r="B9634" s="1" t="str">
        <f>"9781280088612"</f>
        <v>9781280088612</v>
      </c>
      <c r="C9634" s="1" t="s">
        <v>2223</v>
      </c>
      <c r="D9634" s="2">
        <v>37956</v>
      </c>
      <c r="E9634" s="1" t="s">
        <v>19118</v>
      </c>
      <c r="F9634" s="1" t="s">
        <v>95</v>
      </c>
    </row>
    <row r="9635" spans="1:6" ht="30" customHeight="1" x14ac:dyDescent="0.25">
      <c r="A9635" s="1" t="s">
        <v>19160</v>
      </c>
      <c r="B9635" s="1" t="str">
        <f>"9789241563048"</f>
        <v>9789241563048</v>
      </c>
      <c r="C9635" s="1" t="s">
        <v>1981</v>
      </c>
      <c r="D9635" s="2">
        <v>38322</v>
      </c>
      <c r="E9635" s="1" t="s">
        <v>19161</v>
      </c>
      <c r="F9635" s="1" t="s">
        <v>13</v>
      </c>
    </row>
    <row r="9636" spans="1:6" ht="30" customHeight="1" x14ac:dyDescent="0.25">
      <c r="A9636" s="1" t="s">
        <v>19162</v>
      </c>
      <c r="B9636" s="1" t="str">
        <f>"9789241546720"</f>
        <v>9789241546720</v>
      </c>
      <c r="C9636" s="1" t="s">
        <v>1981</v>
      </c>
      <c r="D9636" s="2">
        <v>38322</v>
      </c>
      <c r="E9636" s="1" t="s">
        <v>19118</v>
      </c>
      <c r="F9636" s="1" t="s">
        <v>13</v>
      </c>
    </row>
    <row r="9637" spans="1:6" ht="30" customHeight="1" x14ac:dyDescent="0.25">
      <c r="A9637" s="1" t="s">
        <v>19163</v>
      </c>
      <c r="B9637" s="1" t="str">
        <f>"9789241563000"</f>
        <v>9789241563000</v>
      </c>
      <c r="C9637" s="1" t="s">
        <v>1981</v>
      </c>
      <c r="D9637" s="2">
        <v>38322</v>
      </c>
      <c r="E9637" s="1" t="s">
        <v>19118</v>
      </c>
      <c r="F9637" s="1" t="s">
        <v>13</v>
      </c>
    </row>
    <row r="9638" spans="1:6" ht="30" customHeight="1" x14ac:dyDescent="0.25">
      <c r="A9638" s="1" t="s">
        <v>19164</v>
      </c>
      <c r="B9638" s="1" t="str">
        <f>"9789241562966"</f>
        <v>9789241562966</v>
      </c>
      <c r="C9638" s="1" t="s">
        <v>1981</v>
      </c>
      <c r="D9638" s="2">
        <v>38322</v>
      </c>
      <c r="E9638" s="1" t="s">
        <v>19118</v>
      </c>
      <c r="F9638" s="1" t="s">
        <v>95</v>
      </c>
    </row>
    <row r="9639" spans="1:6" ht="30" customHeight="1" x14ac:dyDescent="0.25">
      <c r="A9639" s="1" t="s">
        <v>19165</v>
      </c>
      <c r="B9639" s="1" t="str">
        <f>"9789241546591"</f>
        <v>9789241546591</v>
      </c>
      <c r="C9639" s="1" t="s">
        <v>1981</v>
      </c>
      <c r="D9639" s="2">
        <v>38322</v>
      </c>
      <c r="E9639" s="1" t="s">
        <v>19118</v>
      </c>
      <c r="F9639" s="1" t="s">
        <v>95</v>
      </c>
    </row>
    <row r="9640" spans="1:6" ht="30" customHeight="1" x14ac:dyDescent="0.25">
      <c r="A9640" s="1" t="s">
        <v>19166</v>
      </c>
      <c r="B9640" s="1" t="str">
        <f>"9789241563031"</f>
        <v>9789241563031</v>
      </c>
      <c r="C9640" s="1" t="s">
        <v>1981</v>
      </c>
      <c r="D9640" s="2">
        <v>38322</v>
      </c>
      <c r="E9640" s="1" t="s">
        <v>19118</v>
      </c>
      <c r="F9640" s="1" t="s">
        <v>13</v>
      </c>
    </row>
    <row r="9641" spans="1:6" ht="30" customHeight="1" x14ac:dyDescent="0.25">
      <c r="A9641" s="1" t="s">
        <v>5058</v>
      </c>
      <c r="B9641" s="1" t="str">
        <f>"9789240683860"</f>
        <v>9789240683860</v>
      </c>
      <c r="C9641" s="1" t="s">
        <v>1981</v>
      </c>
      <c r="D9641" s="2">
        <v>38687</v>
      </c>
      <c r="E9641" s="1" t="s">
        <v>19167</v>
      </c>
      <c r="F9641" s="1" t="s">
        <v>95</v>
      </c>
    </row>
    <row r="9642" spans="1:6" ht="30" customHeight="1" x14ac:dyDescent="0.25">
      <c r="A9642" s="1" t="s">
        <v>19168</v>
      </c>
      <c r="B9642" s="1" t="str">
        <f>"9789240689527"</f>
        <v>9789240689527</v>
      </c>
      <c r="C9642" s="1" t="s">
        <v>1981</v>
      </c>
      <c r="D9642" s="2">
        <v>38991</v>
      </c>
      <c r="E9642" s="1" t="s">
        <v>1981</v>
      </c>
      <c r="F9642" s="1" t="s">
        <v>13</v>
      </c>
    </row>
    <row r="9643" spans="1:6" ht="30" customHeight="1" x14ac:dyDescent="0.25">
      <c r="A9643" s="1" t="s">
        <v>19169</v>
      </c>
      <c r="B9643" s="1" t="str">
        <f>"9789289043878"</f>
        <v>9789289043878</v>
      </c>
      <c r="C9643" s="1" t="s">
        <v>4887</v>
      </c>
      <c r="D9643" s="2">
        <v>38687</v>
      </c>
      <c r="E9643" s="1" t="s">
        <v>19170</v>
      </c>
      <c r="F9643" s="1" t="s">
        <v>95</v>
      </c>
    </row>
    <row r="9644" spans="1:6" ht="30" customHeight="1" x14ac:dyDescent="0.25">
      <c r="A9644" s="1" t="s">
        <v>19171</v>
      </c>
      <c r="B9644" s="1" t="str">
        <f>"9789240682214"</f>
        <v>9789240682214</v>
      </c>
      <c r="C9644" s="1" t="s">
        <v>1981</v>
      </c>
      <c r="D9644" s="2">
        <v>39052</v>
      </c>
      <c r="E9644" s="1" t="s">
        <v>1981</v>
      </c>
      <c r="F9644" s="1" t="s">
        <v>95</v>
      </c>
    </row>
    <row r="9645" spans="1:6" ht="30" customHeight="1" x14ac:dyDescent="0.25">
      <c r="A9645" s="1" t="s">
        <v>19172</v>
      </c>
      <c r="B9645" s="1" t="str">
        <f>""</f>
        <v/>
      </c>
      <c r="C9645" s="1" t="s">
        <v>1981</v>
      </c>
      <c r="D9645" s="2">
        <v>39052</v>
      </c>
      <c r="E9645" s="1" t="s">
        <v>19118</v>
      </c>
      <c r="F9645" s="1" t="s">
        <v>95</v>
      </c>
    </row>
    <row r="9646" spans="1:6" ht="30" customHeight="1" x14ac:dyDescent="0.25">
      <c r="A9646" s="1" t="s">
        <v>19173</v>
      </c>
      <c r="B9646" s="1" t="str">
        <f>"9789240682634"</f>
        <v>9789240682634</v>
      </c>
      <c r="C9646" s="1" t="s">
        <v>1981</v>
      </c>
      <c r="D9646" s="2">
        <v>39052</v>
      </c>
      <c r="E9646" s="1" t="s">
        <v>19118</v>
      </c>
      <c r="F9646" s="1" t="s">
        <v>30</v>
      </c>
    </row>
    <row r="9647" spans="1:6" ht="30" customHeight="1" x14ac:dyDescent="0.25">
      <c r="A9647" s="1" t="s">
        <v>19174</v>
      </c>
      <c r="B9647" s="1" t="str">
        <f>"9789240682771"</f>
        <v>9789240682771</v>
      </c>
      <c r="C9647" s="1" t="s">
        <v>1981</v>
      </c>
      <c r="D9647" s="2">
        <v>35400</v>
      </c>
      <c r="E9647" s="1" t="s">
        <v>19118</v>
      </c>
      <c r="F9647" s="1" t="s">
        <v>13</v>
      </c>
    </row>
    <row r="9648" spans="1:6" ht="30" customHeight="1" x14ac:dyDescent="0.25">
      <c r="A9648" s="1" t="s">
        <v>19175</v>
      </c>
      <c r="B9648" s="1" t="str">
        <f>"9789240683143"</f>
        <v>9789240683143</v>
      </c>
      <c r="C9648" s="1" t="s">
        <v>19115</v>
      </c>
      <c r="D9648" s="2">
        <v>39052</v>
      </c>
      <c r="E9648" s="1" t="s">
        <v>1981</v>
      </c>
      <c r="F9648" s="1" t="s">
        <v>87</v>
      </c>
    </row>
    <row r="9649" spans="1:6" ht="30" customHeight="1" x14ac:dyDescent="0.25">
      <c r="A9649" s="1" t="s">
        <v>19176</v>
      </c>
      <c r="B9649" s="1" t="str">
        <f>"9789290613404"</f>
        <v>9789290613404</v>
      </c>
      <c r="C9649" s="1" t="s">
        <v>6342</v>
      </c>
      <c r="D9649" s="2">
        <v>36861</v>
      </c>
      <c r="E9649" s="1" t="s">
        <v>6342</v>
      </c>
      <c r="F9649" s="1" t="s">
        <v>19177</v>
      </c>
    </row>
    <row r="9650" spans="1:6" ht="30" customHeight="1" x14ac:dyDescent="0.25">
      <c r="A9650" s="1" t="s">
        <v>19178</v>
      </c>
      <c r="B9650" s="1" t="str">
        <f>"9780889208551"</f>
        <v>9780889208551</v>
      </c>
      <c r="C9650" s="1" t="s">
        <v>8949</v>
      </c>
      <c r="D9650" s="2">
        <v>36130</v>
      </c>
      <c r="E9650" s="1" t="s">
        <v>19179</v>
      </c>
      <c r="F9650" s="1" t="s">
        <v>13</v>
      </c>
    </row>
    <row r="9651" spans="1:6" ht="30" customHeight="1" x14ac:dyDescent="0.25">
      <c r="A9651" s="1" t="s">
        <v>19180</v>
      </c>
      <c r="B9651" s="1" t="str">
        <f>"9780857093905"</f>
        <v>9780857093905</v>
      </c>
      <c r="C9651" s="1" t="s">
        <v>14389</v>
      </c>
      <c r="D9651" s="2">
        <v>40817</v>
      </c>
      <c r="E9651" s="1" t="s">
        <v>19181</v>
      </c>
      <c r="F9651" s="1" t="s">
        <v>200</v>
      </c>
    </row>
    <row r="9652" spans="1:6" ht="30" customHeight="1" x14ac:dyDescent="0.25">
      <c r="A9652" s="1" t="s">
        <v>19182</v>
      </c>
      <c r="B9652" s="1" t="str">
        <f>"9781280004599"</f>
        <v>9781280004599</v>
      </c>
      <c r="C9652" s="1" t="s">
        <v>6702</v>
      </c>
      <c r="D9652" s="2">
        <v>36130</v>
      </c>
      <c r="E9652" s="1" t="s">
        <v>19183</v>
      </c>
      <c r="F9652" s="1" t="s">
        <v>30</v>
      </c>
    </row>
    <row r="9653" spans="1:6" ht="30" customHeight="1" x14ac:dyDescent="0.25">
      <c r="A9653" s="1" t="s">
        <v>19184</v>
      </c>
      <c r="B9653" s="1" t="str">
        <f>"9781280087189"</f>
        <v>9781280087189</v>
      </c>
      <c r="C9653" s="1" t="s">
        <v>6702</v>
      </c>
      <c r="D9653" s="2">
        <v>37043</v>
      </c>
      <c r="E9653" s="1" t="s">
        <v>19185</v>
      </c>
      <c r="F9653" s="1" t="s">
        <v>158</v>
      </c>
    </row>
    <row r="9654" spans="1:6" ht="30" customHeight="1" x14ac:dyDescent="0.25">
      <c r="A9654" s="1" t="s">
        <v>19186</v>
      </c>
      <c r="B9654" s="1" t="str">
        <f>"9781280098130"</f>
        <v>9781280098130</v>
      </c>
      <c r="C9654" s="1" t="s">
        <v>6702</v>
      </c>
      <c r="D9654" s="2">
        <v>36923</v>
      </c>
      <c r="E9654" s="1" t="s">
        <v>19187</v>
      </c>
      <c r="F9654" s="1" t="s">
        <v>30</v>
      </c>
    </row>
    <row r="9655" spans="1:6" ht="30" customHeight="1" x14ac:dyDescent="0.25">
      <c r="A9655" s="1" t="s">
        <v>19188</v>
      </c>
      <c r="B9655" s="1" t="str">
        <f>"9781280088131"</f>
        <v>9781280088131</v>
      </c>
      <c r="C9655" s="1" t="s">
        <v>6702</v>
      </c>
      <c r="D9655" s="2">
        <v>37226</v>
      </c>
      <c r="E9655" s="1" t="s">
        <v>19187</v>
      </c>
      <c r="F9655" s="1" t="s">
        <v>95</v>
      </c>
    </row>
    <row r="9656" spans="1:6" ht="30" customHeight="1" x14ac:dyDescent="0.25">
      <c r="A9656" s="1" t="s">
        <v>19189</v>
      </c>
      <c r="B9656" s="1" t="str">
        <f>"9781280087837"</f>
        <v>9781280087837</v>
      </c>
      <c r="C9656" s="1" t="s">
        <v>6702</v>
      </c>
      <c r="D9656" s="2">
        <v>37226</v>
      </c>
      <c r="E9656" s="1" t="s">
        <v>19190</v>
      </c>
      <c r="F9656" s="1" t="s">
        <v>30</v>
      </c>
    </row>
    <row r="9657" spans="1:6" ht="30" customHeight="1" x14ac:dyDescent="0.25">
      <c r="A9657" s="1" t="s">
        <v>19191</v>
      </c>
      <c r="B9657" s="1" t="str">
        <f>"9781280087820"</f>
        <v>9781280087820</v>
      </c>
      <c r="C9657" s="1" t="s">
        <v>6702</v>
      </c>
      <c r="D9657" s="2">
        <v>37165</v>
      </c>
      <c r="E9657" s="1" t="s">
        <v>19192</v>
      </c>
      <c r="F9657" s="1" t="s">
        <v>30</v>
      </c>
    </row>
    <row r="9658" spans="1:6" ht="30" customHeight="1" x14ac:dyDescent="0.25">
      <c r="A9658" s="1" t="s">
        <v>19193</v>
      </c>
      <c r="B9658" s="1" t="str">
        <f>"9781280086281"</f>
        <v>9781280086281</v>
      </c>
      <c r="C9658" s="1" t="s">
        <v>6702</v>
      </c>
      <c r="D9658" s="2">
        <v>37653</v>
      </c>
      <c r="E9658" s="1" t="s">
        <v>19194</v>
      </c>
      <c r="F9658" s="1" t="s">
        <v>95</v>
      </c>
    </row>
    <row r="9659" spans="1:6" ht="30" customHeight="1" x14ac:dyDescent="0.25">
      <c r="A9659" s="1" t="s">
        <v>19195</v>
      </c>
      <c r="B9659" s="1" t="str">
        <f>"9781280086625"</f>
        <v>9781280086625</v>
      </c>
      <c r="C9659" s="1" t="s">
        <v>6702</v>
      </c>
      <c r="D9659" s="2">
        <v>37742</v>
      </c>
      <c r="E9659" s="1" t="s">
        <v>19196</v>
      </c>
      <c r="F9659" s="1" t="s">
        <v>33</v>
      </c>
    </row>
    <row r="9660" spans="1:6" ht="30" customHeight="1" x14ac:dyDescent="0.25">
      <c r="A9660" s="1" t="s">
        <v>19197</v>
      </c>
      <c r="B9660" s="1" t="str">
        <f>"9781280085888"</f>
        <v>9781280085888</v>
      </c>
      <c r="C9660" s="1" t="s">
        <v>6702</v>
      </c>
      <c r="D9660" s="2">
        <v>37865</v>
      </c>
      <c r="E9660" s="1" t="s">
        <v>19198</v>
      </c>
      <c r="F9660" s="1" t="s">
        <v>30</v>
      </c>
    </row>
    <row r="9661" spans="1:6" ht="30" customHeight="1" x14ac:dyDescent="0.25">
      <c r="A9661" s="1" t="s">
        <v>19199</v>
      </c>
      <c r="B9661" s="1" t="str">
        <f>"9781280084218"</f>
        <v>9781280084218</v>
      </c>
      <c r="C9661" s="1" t="s">
        <v>6702</v>
      </c>
      <c r="D9661" s="2">
        <v>37865</v>
      </c>
      <c r="E9661" s="1" t="s">
        <v>19200</v>
      </c>
      <c r="F9661" s="1" t="s">
        <v>95</v>
      </c>
    </row>
    <row r="9662" spans="1:6" ht="30" customHeight="1" x14ac:dyDescent="0.25">
      <c r="A9662" s="1" t="s">
        <v>19201</v>
      </c>
      <c r="B9662" s="1" t="str">
        <f>"9781280086243"</f>
        <v>9781280086243</v>
      </c>
      <c r="C9662" s="1" t="s">
        <v>6702</v>
      </c>
      <c r="D9662" s="2">
        <v>37865</v>
      </c>
      <c r="E9662" s="1" t="s">
        <v>19202</v>
      </c>
      <c r="F9662" s="1" t="s">
        <v>95</v>
      </c>
    </row>
    <row r="9663" spans="1:6" ht="30" customHeight="1" x14ac:dyDescent="0.25">
      <c r="A9663" s="1" t="s">
        <v>19203</v>
      </c>
      <c r="B9663" s="1" t="str">
        <f>"9781280086267"</f>
        <v>9781280086267</v>
      </c>
      <c r="C9663" s="1" t="s">
        <v>6702</v>
      </c>
      <c r="D9663" s="2">
        <v>37956</v>
      </c>
      <c r="E9663" s="1" t="s">
        <v>19204</v>
      </c>
      <c r="F9663" s="1" t="s">
        <v>148</v>
      </c>
    </row>
    <row r="9664" spans="1:6" ht="30" customHeight="1" x14ac:dyDescent="0.25">
      <c r="A9664" s="1" t="s">
        <v>19205</v>
      </c>
      <c r="B9664" s="1" t="str">
        <f>"9781280086021"</f>
        <v>9781280086021</v>
      </c>
      <c r="C9664" s="1" t="s">
        <v>6702</v>
      </c>
      <c r="D9664" s="2">
        <v>37803</v>
      </c>
      <c r="E9664" s="1" t="s">
        <v>19206</v>
      </c>
      <c r="F9664" s="1" t="s">
        <v>95</v>
      </c>
    </row>
    <row r="9665" spans="1:6" ht="30" customHeight="1" x14ac:dyDescent="0.25">
      <c r="A9665" s="1" t="s">
        <v>19207</v>
      </c>
      <c r="B9665" s="1" t="str">
        <f>"9781280086311"</f>
        <v>9781280086311</v>
      </c>
      <c r="C9665" s="1" t="s">
        <v>6702</v>
      </c>
      <c r="D9665" s="2">
        <v>37773</v>
      </c>
      <c r="E9665" s="1" t="s">
        <v>19208</v>
      </c>
      <c r="F9665" s="1" t="s">
        <v>95</v>
      </c>
    </row>
    <row r="9666" spans="1:6" ht="30" customHeight="1" x14ac:dyDescent="0.25">
      <c r="A9666" s="1" t="s">
        <v>19209</v>
      </c>
      <c r="B9666" s="1" t="str">
        <f>"9781280098208"</f>
        <v>9781280098208</v>
      </c>
      <c r="C9666" s="1" t="s">
        <v>6702</v>
      </c>
      <c r="D9666" s="2">
        <v>37956</v>
      </c>
      <c r="E9666" s="1" t="s">
        <v>19210</v>
      </c>
      <c r="F9666" s="1" t="s">
        <v>30</v>
      </c>
    </row>
    <row r="9667" spans="1:6" ht="30" customHeight="1" x14ac:dyDescent="0.25">
      <c r="A9667" s="1" t="s">
        <v>19211</v>
      </c>
      <c r="B9667" s="1" t="str">
        <f>"9781280085192"</f>
        <v>9781280085192</v>
      </c>
      <c r="C9667" s="1" t="s">
        <v>6702</v>
      </c>
      <c r="D9667" s="2">
        <v>37987</v>
      </c>
      <c r="E9667" s="1" t="s">
        <v>19212</v>
      </c>
      <c r="F9667" s="1" t="s">
        <v>214</v>
      </c>
    </row>
    <row r="9668" spans="1:6" ht="30" customHeight="1" x14ac:dyDescent="0.25">
      <c r="A9668" s="1" t="s">
        <v>19213</v>
      </c>
      <c r="B9668" s="1" t="str">
        <f>"9781280085093"</f>
        <v>9781280085093</v>
      </c>
      <c r="C9668" s="1" t="s">
        <v>6702</v>
      </c>
      <c r="D9668" s="2">
        <v>37987</v>
      </c>
      <c r="E9668" s="1" t="s">
        <v>19214</v>
      </c>
      <c r="F9668" s="1" t="s">
        <v>95</v>
      </c>
    </row>
    <row r="9669" spans="1:6" ht="30" customHeight="1" x14ac:dyDescent="0.25">
      <c r="A9669" s="1" t="s">
        <v>19215</v>
      </c>
      <c r="B9669" s="1" t="str">
        <f>"9781280085482"</f>
        <v>9781280085482</v>
      </c>
      <c r="C9669" s="1" t="s">
        <v>6702</v>
      </c>
      <c r="D9669" s="2">
        <v>37926</v>
      </c>
      <c r="E9669" s="1" t="s">
        <v>19216</v>
      </c>
      <c r="F9669" s="1" t="s">
        <v>6795</v>
      </c>
    </row>
    <row r="9670" spans="1:6" ht="30" customHeight="1" x14ac:dyDescent="0.25">
      <c r="A9670" s="1" t="s">
        <v>19217</v>
      </c>
      <c r="B9670" s="1" t="str">
        <f>"9781280084652"</f>
        <v>9781280084652</v>
      </c>
      <c r="C9670" s="1" t="s">
        <v>6702</v>
      </c>
      <c r="D9670" s="2">
        <v>38078</v>
      </c>
      <c r="E9670" s="1" t="s">
        <v>19218</v>
      </c>
      <c r="F9670" s="1" t="s">
        <v>19219</v>
      </c>
    </row>
    <row r="9671" spans="1:6" ht="30" customHeight="1" x14ac:dyDescent="0.25">
      <c r="A9671" s="1" t="s">
        <v>19220</v>
      </c>
      <c r="B9671" s="1" t="str">
        <f>"9781280085284"</f>
        <v>9781280085284</v>
      </c>
      <c r="C9671" s="1" t="s">
        <v>6702</v>
      </c>
      <c r="D9671" s="2">
        <v>38108</v>
      </c>
      <c r="E9671" s="1" t="s">
        <v>19221</v>
      </c>
      <c r="F9671" s="1" t="s">
        <v>95</v>
      </c>
    </row>
    <row r="9672" spans="1:6" ht="30" customHeight="1" x14ac:dyDescent="0.25">
      <c r="A9672" s="1" t="s">
        <v>19222</v>
      </c>
      <c r="B9672" s="1" t="str">
        <f>"9781280085352"</f>
        <v>9781280085352</v>
      </c>
      <c r="C9672" s="1" t="s">
        <v>6702</v>
      </c>
      <c r="D9672" s="2">
        <v>38169</v>
      </c>
      <c r="E9672" s="1" t="s">
        <v>19223</v>
      </c>
      <c r="F9672" s="1" t="s">
        <v>95</v>
      </c>
    </row>
    <row r="9673" spans="1:6" ht="30" customHeight="1" x14ac:dyDescent="0.25">
      <c r="A9673" s="1" t="s">
        <v>19224</v>
      </c>
      <c r="B9673" s="1" t="str">
        <f>"9781280085345"</f>
        <v>9781280085345</v>
      </c>
      <c r="C9673" s="1" t="s">
        <v>6702</v>
      </c>
      <c r="D9673" s="2">
        <v>38169</v>
      </c>
      <c r="E9673" s="1" t="s">
        <v>19187</v>
      </c>
      <c r="F9673" s="1" t="s">
        <v>158</v>
      </c>
    </row>
    <row r="9674" spans="1:6" ht="30" customHeight="1" x14ac:dyDescent="0.25">
      <c r="A9674" s="1" t="s">
        <v>19225</v>
      </c>
      <c r="B9674" s="1" t="str">
        <f>"9781280084225"</f>
        <v>9781280084225</v>
      </c>
      <c r="C9674" s="1" t="s">
        <v>6702</v>
      </c>
      <c r="D9674" s="2">
        <v>38139</v>
      </c>
      <c r="E9674" s="1" t="s">
        <v>19226</v>
      </c>
      <c r="F9674" s="1" t="s">
        <v>13</v>
      </c>
    </row>
    <row r="9675" spans="1:6" ht="30" customHeight="1" x14ac:dyDescent="0.25">
      <c r="A9675" s="1" t="s">
        <v>19227</v>
      </c>
      <c r="B9675" s="1" t="str">
        <f>"9781280084751"</f>
        <v>9781280084751</v>
      </c>
      <c r="C9675" s="1" t="s">
        <v>6702</v>
      </c>
      <c r="D9675" s="2">
        <v>38018</v>
      </c>
      <c r="E9675" s="1" t="s">
        <v>19228</v>
      </c>
      <c r="F9675" s="1" t="s">
        <v>30</v>
      </c>
    </row>
    <row r="9676" spans="1:6" ht="30" customHeight="1" x14ac:dyDescent="0.25">
      <c r="A9676" s="1" t="s">
        <v>19229</v>
      </c>
      <c r="B9676" s="1" t="str">
        <f>"9781280084683"</f>
        <v>9781280084683</v>
      </c>
      <c r="C9676" s="1" t="s">
        <v>6702</v>
      </c>
      <c r="D9676" s="2">
        <v>38139</v>
      </c>
      <c r="E9676" s="1" t="s">
        <v>19230</v>
      </c>
      <c r="F9676" s="1" t="s">
        <v>70</v>
      </c>
    </row>
    <row r="9677" spans="1:6" ht="30" customHeight="1" x14ac:dyDescent="0.25">
      <c r="A9677" s="1" t="s">
        <v>19231</v>
      </c>
      <c r="B9677" s="1" t="str">
        <f>"9781280084010"</f>
        <v>9781280084010</v>
      </c>
      <c r="C9677" s="1" t="s">
        <v>6702</v>
      </c>
      <c r="D9677" s="2">
        <v>38200</v>
      </c>
      <c r="E9677" s="1" t="s">
        <v>19232</v>
      </c>
      <c r="F9677" s="1" t="s">
        <v>70</v>
      </c>
    </row>
    <row r="9678" spans="1:6" ht="30" customHeight="1" x14ac:dyDescent="0.25">
      <c r="A9678" s="1" t="s">
        <v>19233</v>
      </c>
      <c r="B9678" s="1" t="str">
        <f>"9781280085321"</f>
        <v>9781280085321</v>
      </c>
      <c r="C9678" s="1" t="s">
        <v>6702</v>
      </c>
      <c r="D9678" s="2">
        <v>38200</v>
      </c>
      <c r="E9678" s="1" t="s">
        <v>19187</v>
      </c>
      <c r="F9678" s="1" t="s">
        <v>2028</v>
      </c>
    </row>
    <row r="9679" spans="1:6" ht="30" customHeight="1" x14ac:dyDescent="0.25">
      <c r="A9679" s="1" t="s">
        <v>19234</v>
      </c>
      <c r="B9679" s="1" t="str">
        <f>"9781280084928"</f>
        <v>9781280084928</v>
      </c>
      <c r="C9679" s="1" t="s">
        <v>6702</v>
      </c>
      <c r="D9679" s="2">
        <v>38322</v>
      </c>
      <c r="E9679" s="1" t="s">
        <v>6812</v>
      </c>
      <c r="F9679" s="1" t="s">
        <v>95</v>
      </c>
    </row>
    <row r="9680" spans="1:6" ht="30" customHeight="1" x14ac:dyDescent="0.25">
      <c r="A9680" s="1" t="s">
        <v>19235</v>
      </c>
      <c r="B9680" s="1" t="str">
        <f>"9781280090851"</f>
        <v>9781280090851</v>
      </c>
      <c r="C9680" s="1" t="s">
        <v>6702</v>
      </c>
      <c r="D9680" s="2">
        <v>38322</v>
      </c>
      <c r="E9680" s="1" t="s">
        <v>19236</v>
      </c>
      <c r="F9680" s="1" t="s">
        <v>30</v>
      </c>
    </row>
    <row r="9681" spans="1:6" ht="30" customHeight="1" x14ac:dyDescent="0.25">
      <c r="A9681" s="1" t="s">
        <v>19237</v>
      </c>
      <c r="B9681" s="1" t="str">
        <f>"9780821360835"</f>
        <v>9780821360835</v>
      </c>
      <c r="C9681" s="1" t="s">
        <v>19238</v>
      </c>
      <c r="D9681" s="2">
        <v>38443</v>
      </c>
      <c r="E9681" s="1" t="s">
        <v>19239</v>
      </c>
      <c r="F9681" s="1" t="s">
        <v>214</v>
      </c>
    </row>
    <row r="9682" spans="1:6" ht="30" customHeight="1" x14ac:dyDescent="0.25">
      <c r="A9682" s="1" t="s">
        <v>19240</v>
      </c>
      <c r="B9682" s="1" t="str">
        <f>"9780821359198"</f>
        <v>9780821359198</v>
      </c>
      <c r="C9682" s="1" t="s">
        <v>19238</v>
      </c>
      <c r="D9682" s="2">
        <v>38473</v>
      </c>
      <c r="E9682" s="1" t="s">
        <v>19241</v>
      </c>
      <c r="F9682" s="1" t="s">
        <v>14125</v>
      </c>
    </row>
    <row r="9683" spans="1:6" ht="30" customHeight="1" x14ac:dyDescent="0.25">
      <c r="A9683" s="1" t="s">
        <v>19242</v>
      </c>
      <c r="B9683" s="1" t="str">
        <f>"9780821371725"</f>
        <v>9780821371725</v>
      </c>
      <c r="C9683" s="1" t="s">
        <v>19238</v>
      </c>
      <c r="D9683" s="2">
        <v>39234</v>
      </c>
      <c r="E9683" s="1" t="s">
        <v>6812</v>
      </c>
      <c r="F9683" s="1" t="s">
        <v>95</v>
      </c>
    </row>
    <row r="9684" spans="1:6" ht="30" customHeight="1" x14ac:dyDescent="0.25">
      <c r="A9684" s="1" t="s">
        <v>19243</v>
      </c>
      <c r="B9684" s="1" t="str">
        <f>"9781280940187"</f>
        <v>9781280940187</v>
      </c>
      <c r="C9684" s="1" t="s">
        <v>19238</v>
      </c>
      <c r="D9684" s="2">
        <v>37712</v>
      </c>
      <c r="E9684" s="1" t="s">
        <v>19244</v>
      </c>
      <c r="F9684" s="1" t="s">
        <v>70</v>
      </c>
    </row>
    <row r="9685" spans="1:6" ht="30" customHeight="1" x14ac:dyDescent="0.25">
      <c r="A9685" s="1" t="s">
        <v>19245</v>
      </c>
      <c r="B9685" s="1" t="str">
        <f>"9780821385517"</f>
        <v>9780821385517</v>
      </c>
      <c r="C9685" s="1" t="s">
        <v>6702</v>
      </c>
      <c r="D9685" s="2">
        <v>40725</v>
      </c>
      <c r="E9685" s="1" t="s">
        <v>19246</v>
      </c>
      <c r="F9685" s="1" t="s">
        <v>70</v>
      </c>
    </row>
    <row r="9686" spans="1:6" ht="30" customHeight="1" x14ac:dyDescent="0.25">
      <c r="A9686" s="1" t="s">
        <v>19247</v>
      </c>
      <c r="B9686" s="1" t="str">
        <f>"9789812388773"</f>
        <v>9789812388773</v>
      </c>
      <c r="C9686" s="1" t="s">
        <v>881</v>
      </c>
      <c r="D9686" s="2">
        <v>37322</v>
      </c>
      <c r="E9686" s="1" t="s">
        <v>19248</v>
      </c>
      <c r="F9686" s="1" t="s">
        <v>19249</v>
      </c>
    </row>
    <row r="9687" spans="1:6" ht="30" customHeight="1" x14ac:dyDescent="0.25">
      <c r="A9687" s="1" t="s">
        <v>19250</v>
      </c>
      <c r="B9687" s="1" t="str">
        <f>"9789812388902"</f>
        <v>9789812388902</v>
      </c>
      <c r="C9687" s="1" t="s">
        <v>881</v>
      </c>
      <c r="D9687" s="2">
        <v>41773</v>
      </c>
      <c r="E9687" s="1" t="s">
        <v>19251</v>
      </c>
      <c r="F9687" s="1" t="s">
        <v>70</v>
      </c>
    </row>
    <row r="9688" spans="1:6" ht="30" customHeight="1" x14ac:dyDescent="0.25">
      <c r="A9688" s="1" t="s">
        <v>19252</v>
      </c>
      <c r="B9688" s="1" t="str">
        <f>"9789812771582"</f>
        <v>9789812771582</v>
      </c>
      <c r="C9688" s="1" t="s">
        <v>881</v>
      </c>
      <c r="D9688" s="2">
        <v>39417</v>
      </c>
      <c r="E9688" s="1" t="s">
        <v>19253</v>
      </c>
      <c r="F9688" s="1" t="s">
        <v>54</v>
      </c>
    </row>
    <row r="9689" spans="1:6" ht="30" customHeight="1" x14ac:dyDescent="0.25">
      <c r="A9689" s="1" t="s">
        <v>19254</v>
      </c>
      <c r="B9689" s="1" t="str">
        <f>"9789814436106"</f>
        <v>9789814436106</v>
      </c>
      <c r="C9689" s="1" t="s">
        <v>881</v>
      </c>
      <c r="D9689" s="2">
        <v>41292</v>
      </c>
      <c r="E9689" s="1" t="s">
        <v>19255</v>
      </c>
      <c r="F9689" s="1" t="s">
        <v>13</v>
      </c>
    </row>
    <row r="9690" spans="1:6" ht="30" customHeight="1" x14ac:dyDescent="0.25">
      <c r="A9690" s="1" t="s">
        <v>19256</v>
      </c>
      <c r="B9690" s="1" t="str">
        <f>"9789814551014"</f>
        <v>9789814551014</v>
      </c>
      <c r="C9690" s="1" t="s">
        <v>881</v>
      </c>
      <c r="D9690" s="2">
        <v>41773</v>
      </c>
      <c r="E9690" s="1" t="s">
        <v>19257</v>
      </c>
      <c r="F9690" s="1" t="s">
        <v>13</v>
      </c>
    </row>
    <row r="9691" spans="1:6" ht="30" customHeight="1" x14ac:dyDescent="0.25">
      <c r="A9691" s="1" t="s">
        <v>19258</v>
      </c>
      <c r="B9691" s="1" t="str">
        <f>"9781443875905"</f>
        <v>9781443875905</v>
      </c>
      <c r="C9691" s="1" t="s">
        <v>12699</v>
      </c>
      <c r="D9691" s="2">
        <v>41913</v>
      </c>
      <c r="E9691" s="1" t="s">
        <v>19259</v>
      </c>
      <c r="F9691" s="1" t="s">
        <v>13</v>
      </c>
    </row>
    <row r="9692" spans="1:6" ht="30" customHeight="1" x14ac:dyDescent="0.25">
      <c r="A9692" s="1" t="s">
        <v>19260</v>
      </c>
      <c r="B9692" s="1" t="str">
        <f>"9781443876636"</f>
        <v>9781443876636</v>
      </c>
      <c r="C9692" s="1" t="s">
        <v>12699</v>
      </c>
      <c r="D9692" s="2">
        <v>42036</v>
      </c>
      <c r="E9692" s="1" t="s">
        <v>19261</v>
      </c>
      <c r="F9692" s="1" t="s">
        <v>13</v>
      </c>
    </row>
    <row r="9693" spans="1:6" ht="30" customHeight="1" x14ac:dyDescent="0.25">
      <c r="A9693" s="1" t="s">
        <v>19262</v>
      </c>
      <c r="B9693" s="1" t="str">
        <f>"9781443876728"</f>
        <v>9781443876728</v>
      </c>
      <c r="C9693" s="1" t="s">
        <v>12699</v>
      </c>
      <c r="D9693" s="2">
        <v>42036</v>
      </c>
      <c r="E9693" s="1" t="s">
        <v>19263</v>
      </c>
      <c r="F9693" s="1" t="s">
        <v>13</v>
      </c>
    </row>
    <row r="9694" spans="1:6" ht="30" customHeight="1" x14ac:dyDescent="0.25">
      <c r="A9694" s="1" t="s">
        <v>19264</v>
      </c>
      <c r="B9694" s="1" t="str">
        <f>"9780199759651"</f>
        <v>9780199759651</v>
      </c>
      <c r="C9694" s="1" t="s">
        <v>1123</v>
      </c>
      <c r="D9694" s="2">
        <v>34942</v>
      </c>
      <c r="E9694" s="1" t="s">
        <v>19265</v>
      </c>
      <c r="F9694" s="1" t="s">
        <v>438</v>
      </c>
    </row>
    <row r="9695" spans="1:6" ht="30" customHeight="1" x14ac:dyDescent="0.25">
      <c r="A9695" s="1" t="s">
        <v>19266</v>
      </c>
      <c r="B9695" s="1" t="str">
        <f>"9780198023722"</f>
        <v>9780198023722</v>
      </c>
      <c r="C9695" s="1" t="s">
        <v>1123</v>
      </c>
      <c r="D9695" s="2">
        <v>34213</v>
      </c>
      <c r="E9695" s="1" t="s">
        <v>19267</v>
      </c>
      <c r="F9695" s="1" t="s">
        <v>148</v>
      </c>
    </row>
    <row r="9696" spans="1:6" ht="30" customHeight="1" x14ac:dyDescent="0.25">
      <c r="A9696" s="1" t="s">
        <v>19268</v>
      </c>
      <c r="B9696" s="1" t="str">
        <f>"9780199759637"</f>
        <v>9780199759637</v>
      </c>
      <c r="C9696" s="1" t="s">
        <v>1123</v>
      </c>
      <c r="D9696" s="2">
        <v>33604</v>
      </c>
      <c r="E9696" s="1" t="s">
        <v>19269</v>
      </c>
      <c r="F9696" s="1" t="s">
        <v>19270</v>
      </c>
    </row>
    <row r="9697" spans="1:6" ht="30" customHeight="1" x14ac:dyDescent="0.25">
      <c r="A9697" s="1" t="s">
        <v>19271</v>
      </c>
      <c r="B9697" s="1" t="str">
        <f>"9780198044376"</f>
        <v>9780198044376</v>
      </c>
      <c r="C9697" s="1" t="s">
        <v>1120</v>
      </c>
      <c r="D9697" s="2">
        <v>34235</v>
      </c>
      <c r="E9697" s="1" t="s">
        <v>19272</v>
      </c>
      <c r="F9697" s="1" t="s">
        <v>158</v>
      </c>
    </row>
    <row r="9698" spans="1:6" ht="30" customHeight="1" x14ac:dyDescent="0.25">
      <c r="A9698" s="1" t="s">
        <v>19273</v>
      </c>
      <c r="B9698" s="1" t="str">
        <f>"9780199761722"</f>
        <v>9780199761722</v>
      </c>
      <c r="C9698" s="1" t="s">
        <v>1123</v>
      </c>
      <c r="D9698" s="2">
        <v>35612</v>
      </c>
      <c r="E9698" s="1" t="s">
        <v>19274</v>
      </c>
      <c r="F9698" s="1" t="s">
        <v>21</v>
      </c>
    </row>
    <row r="9699" spans="1:6" ht="30" customHeight="1" x14ac:dyDescent="0.25">
      <c r="A9699" s="1" t="s">
        <v>19275</v>
      </c>
      <c r="B9699" s="1" t="str">
        <f>"9780199759866"</f>
        <v>9780199759866</v>
      </c>
      <c r="C9699" s="1" t="s">
        <v>1123</v>
      </c>
      <c r="D9699" s="2">
        <v>38565</v>
      </c>
      <c r="E9699" s="1" t="s">
        <v>19276</v>
      </c>
      <c r="F9699" s="1" t="s">
        <v>30</v>
      </c>
    </row>
    <row r="9700" spans="1:6" ht="30" customHeight="1" x14ac:dyDescent="0.25">
      <c r="A9700" s="1" t="s">
        <v>19277</v>
      </c>
      <c r="B9700" s="1" t="str">
        <f>"9780198040217"</f>
        <v>9780198040217</v>
      </c>
      <c r="C9700" s="1" t="s">
        <v>1123</v>
      </c>
      <c r="D9700" s="2">
        <v>38534</v>
      </c>
      <c r="E9700" s="1" t="s">
        <v>19278</v>
      </c>
      <c r="F9700" s="1" t="s">
        <v>13</v>
      </c>
    </row>
    <row r="9701" spans="1:6" ht="30" customHeight="1" x14ac:dyDescent="0.25">
      <c r="A9701" s="1" t="s">
        <v>19279</v>
      </c>
      <c r="B9701" s="1" t="str">
        <f>"9780199749102"</f>
        <v>9780199749102</v>
      </c>
      <c r="C9701" s="1" t="s">
        <v>1123</v>
      </c>
      <c r="D9701" s="2">
        <v>38575</v>
      </c>
      <c r="E9701" s="1" t="s">
        <v>19280</v>
      </c>
      <c r="F9701" s="1" t="s">
        <v>13</v>
      </c>
    </row>
    <row r="9702" spans="1:6" ht="30" customHeight="1" x14ac:dyDescent="0.25">
      <c r="A9702" s="1" t="s">
        <v>19281</v>
      </c>
      <c r="B9702" s="1" t="str">
        <f>"9780198040712"</f>
        <v>9780198040712</v>
      </c>
      <c r="C9702" s="1" t="s">
        <v>1123</v>
      </c>
      <c r="D9702" s="2">
        <v>38603</v>
      </c>
      <c r="E9702" s="1" t="s">
        <v>19282</v>
      </c>
      <c r="F9702" s="1" t="s">
        <v>13</v>
      </c>
    </row>
    <row r="9703" spans="1:6" ht="30" customHeight="1" x14ac:dyDescent="0.25">
      <c r="A9703" s="1" t="s">
        <v>19283</v>
      </c>
      <c r="B9703" s="1" t="str">
        <f>"9780199748198"</f>
        <v>9780199748198</v>
      </c>
      <c r="C9703" s="1" t="s">
        <v>1120</v>
      </c>
      <c r="D9703" s="2">
        <v>38673</v>
      </c>
      <c r="E9703" s="1" t="s">
        <v>19284</v>
      </c>
      <c r="F9703" s="1" t="s">
        <v>95</v>
      </c>
    </row>
    <row r="9704" spans="1:6" ht="30" customHeight="1" x14ac:dyDescent="0.25">
      <c r="A9704" s="1" t="s">
        <v>19285</v>
      </c>
      <c r="B9704" s="1" t="str">
        <f>"9780198029922"</f>
        <v>9780198029922</v>
      </c>
      <c r="C9704" s="1" t="s">
        <v>1120</v>
      </c>
      <c r="D9704" s="2">
        <v>38211</v>
      </c>
      <c r="E9704" s="1" t="s">
        <v>1752</v>
      </c>
      <c r="F9704" s="1" t="s">
        <v>1753</v>
      </c>
    </row>
    <row r="9705" spans="1:6" ht="30" customHeight="1" x14ac:dyDescent="0.25">
      <c r="A9705" s="1" t="s">
        <v>19286</v>
      </c>
      <c r="B9705" s="1" t="str">
        <f>"9780199748693"</f>
        <v>9780199748693</v>
      </c>
      <c r="C9705" s="1" t="s">
        <v>1123</v>
      </c>
      <c r="D9705" s="2">
        <v>36265</v>
      </c>
      <c r="E9705" s="1" t="s">
        <v>19287</v>
      </c>
      <c r="F9705" s="1" t="s">
        <v>30</v>
      </c>
    </row>
    <row r="9706" spans="1:6" ht="30" customHeight="1" x14ac:dyDescent="0.25">
      <c r="A9706" s="1" t="s">
        <v>19288</v>
      </c>
      <c r="B9706" s="1" t="str">
        <f>"9780198033158"</f>
        <v>9780198033158</v>
      </c>
      <c r="C9706" s="1" t="s">
        <v>1123</v>
      </c>
      <c r="D9706" s="2">
        <v>37043</v>
      </c>
      <c r="E9706" s="1" t="s">
        <v>19289</v>
      </c>
      <c r="F9706" s="1" t="s">
        <v>13</v>
      </c>
    </row>
    <row r="9707" spans="1:6" ht="30" customHeight="1" x14ac:dyDescent="0.25">
      <c r="A9707" s="1" t="s">
        <v>19290</v>
      </c>
      <c r="B9707" s="1" t="str">
        <f>"9780198036760"</f>
        <v>9780198036760</v>
      </c>
      <c r="C9707" s="1" t="s">
        <v>1120</v>
      </c>
      <c r="D9707" s="2">
        <v>38306</v>
      </c>
      <c r="E9707" s="1" t="s">
        <v>19291</v>
      </c>
      <c r="F9707" s="1" t="s">
        <v>356</v>
      </c>
    </row>
    <row r="9708" spans="1:6" ht="30" customHeight="1" x14ac:dyDescent="0.25">
      <c r="A9708" s="1" t="s">
        <v>19292</v>
      </c>
      <c r="B9708" s="1" t="str">
        <f>"9780198035046"</f>
        <v>9780198035046</v>
      </c>
      <c r="C9708" s="1" t="s">
        <v>1120</v>
      </c>
      <c r="D9708" s="2">
        <v>38477</v>
      </c>
      <c r="E9708" s="1" t="s">
        <v>19293</v>
      </c>
      <c r="F9708" s="1" t="s">
        <v>13</v>
      </c>
    </row>
    <row r="9709" spans="1:6" ht="30" customHeight="1" x14ac:dyDescent="0.25">
      <c r="A9709" s="1" t="s">
        <v>19294</v>
      </c>
      <c r="B9709" s="1" t="str">
        <f>"9780199747887"</f>
        <v>9780199747887</v>
      </c>
      <c r="C9709" s="1" t="s">
        <v>1123</v>
      </c>
      <c r="D9709" s="2">
        <v>37742</v>
      </c>
      <c r="E9709" s="1" t="s">
        <v>19295</v>
      </c>
      <c r="F9709" s="1" t="s">
        <v>70</v>
      </c>
    </row>
    <row r="9710" spans="1:6" ht="30" customHeight="1" x14ac:dyDescent="0.25">
      <c r="A9710" s="1" t="s">
        <v>19296</v>
      </c>
      <c r="B9710" s="1" t="str">
        <f>"9780199748747"</f>
        <v>9780199748747</v>
      </c>
      <c r="C9710" s="1" t="s">
        <v>1123</v>
      </c>
      <c r="D9710" s="2">
        <v>34340</v>
      </c>
      <c r="E9710" s="1" t="s">
        <v>19297</v>
      </c>
      <c r="F9710" s="1" t="s">
        <v>70</v>
      </c>
    </row>
    <row r="9711" spans="1:6" ht="30" customHeight="1" x14ac:dyDescent="0.25">
      <c r="A9711" s="1" t="s">
        <v>19298</v>
      </c>
      <c r="B9711" s="1" t="str">
        <f>"9780199748679"</f>
        <v>9780199748679</v>
      </c>
      <c r="C9711" s="1" t="s">
        <v>1123</v>
      </c>
      <c r="D9711" s="2">
        <v>32205</v>
      </c>
      <c r="E9711" s="1" t="s">
        <v>19299</v>
      </c>
      <c r="F9711" s="1" t="s">
        <v>95</v>
      </c>
    </row>
    <row r="9712" spans="1:6" ht="30" customHeight="1" x14ac:dyDescent="0.25">
      <c r="A9712" s="1" t="s">
        <v>19300</v>
      </c>
      <c r="B9712" s="1" t="str">
        <f>"9780199748723"</f>
        <v>9780199748723</v>
      </c>
      <c r="C9712" s="1" t="s">
        <v>1123</v>
      </c>
      <c r="D9712" s="2">
        <v>33948</v>
      </c>
      <c r="E9712" s="1" t="s">
        <v>19301</v>
      </c>
      <c r="F9712" s="1" t="s">
        <v>114</v>
      </c>
    </row>
    <row r="9713" spans="1:6" ht="30" customHeight="1" x14ac:dyDescent="0.25">
      <c r="A9713" s="1" t="s">
        <v>19302</v>
      </c>
      <c r="B9713" s="1" t="str">
        <f>"9780199759675"</f>
        <v>9780199759675</v>
      </c>
      <c r="C9713" s="1" t="s">
        <v>1123</v>
      </c>
      <c r="D9713" s="2">
        <v>35166</v>
      </c>
      <c r="E9713" s="1" t="s">
        <v>19303</v>
      </c>
      <c r="F9713" s="1" t="s">
        <v>21</v>
      </c>
    </row>
    <row r="9714" spans="1:6" ht="30" customHeight="1" x14ac:dyDescent="0.25">
      <c r="A9714" s="1" t="s">
        <v>19304</v>
      </c>
      <c r="B9714" s="1" t="str">
        <f>"9780199761814"</f>
        <v>9780199761814</v>
      </c>
      <c r="C9714" s="1" t="s">
        <v>1123</v>
      </c>
      <c r="D9714" s="2">
        <v>35796</v>
      </c>
      <c r="E9714" s="1" t="s">
        <v>19305</v>
      </c>
      <c r="F9714" s="1" t="s">
        <v>33</v>
      </c>
    </row>
    <row r="9715" spans="1:6" ht="30" customHeight="1" x14ac:dyDescent="0.25">
      <c r="A9715" s="1" t="s">
        <v>19306</v>
      </c>
      <c r="B9715" s="1" t="str">
        <f>"9780199748815"</f>
        <v>9780199748815</v>
      </c>
      <c r="C9715" s="1" t="s">
        <v>1123</v>
      </c>
      <c r="D9715" s="2">
        <v>36041</v>
      </c>
      <c r="E9715" s="1" t="s">
        <v>19307</v>
      </c>
      <c r="F9715" s="1" t="s">
        <v>2966</v>
      </c>
    </row>
    <row r="9716" spans="1:6" ht="30" customHeight="1" x14ac:dyDescent="0.25">
      <c r="A9716" s="1" t="s">
        <v>19308</v>
      </c>
      <c r="B9716" s="1" t="str">
        <f>"9780199748808"</f>
        <v>9780199748808</v>
      </c>
      <c r="C9716" s="1" t="s">
        <v>1123</v>
      </c>
      <c r="D9716" s="2">
        <v>37770</v>
      </c>
      <c r="E9716" s="1" t="s">
        <v>19309</v>
      </c>
      <c r="F9716" s="1" t="s">
        <v>8901</v>
      </c>
    </row>
    <row r="9717" spans="1:6" ht="30" customHeight="1" x14ac:dyDescent="0.25">
      <c r="A9717" s="1" t="s">
        <v>19310</v>
      </c>
      <c r="B9717" s="1" t="str">
        <f>"9780195354850"</f>
        <v>9780195354850</v>
      </c>
      <c r="C9717" s="1" t="s">
        <v>1120</v>
      </c>
      <c r="D9717" s="2">
        <v>35348</v>
      </c>
      <c r="E9717" s="1" t="s">
        <v>19311</v>
      </c>
      <c r="F9717" s="1" t="s">
        <v>70</v>
      </c>
    </row>
    <row r="9718" spans="1:6" ht="30" customHeight="1" x14ac:dyDescent="0.25">
      <c r="A9718" s="1" t="s">
        <v>19312</v>
      </c>
      <c r="B9718" s="1" t="str">
        <f>"9780198023838"</f>
        <v>9780198023838</v>
      </c>
      <c r="C9718" s="1" t="s">
        <v>1123</v>
      </c>
      <c r="D9718" s="2">
        <v>35278</v>
      </c>
      <c r="E9718" s="1" t="s">
        <v>19313</v>
      </c>
      <c r="F9718" s="1" t="s">
        <v>70</v>
      </c>
    </row>
    <row r="9719" spans="1:6" ht="30" customHeight="1" x14ac:dyDescent="0.25">
      <c r="A9719" s="1" t="s">
        <v>19314</v>
      </c>
      <c r="B9719" s="1" t="str">
        <f>"9780199748884"</f>
        <v>9780199748884</v>
      </c>
      <c r="C9719" s="1" t="s">
        <v>1123</v>
      </c>
      <c r="D9719" s="2">
        <v>37700</v>
      </c>
      <c r="E9719" s="1" t="s">
        <v>19315</v>
      </c>
      <c r="F9719" s="1" t="s">
        <v>158</v>
      </c>
    </row>
    <row r="9720" spans="1:6" ht="30" customHeight="1" x14ac:dyDescent="0.25">
      <c r="A9720" s="1" t="s">
        <v>19316</v>
      </c>
      <c r="B9720" s="1" t="str">
        <f>"9780199749058"</f>
        <v>9780199749058</v>
      </c>
      <c r="C9720" s="1" t="s">
        <v>1123</v>
      </c>
      <c r="D9720" s="2">
        <v>37721</v>
      </c>
      <c r="E9720" s="1" t="s">
        <v>19317</v>
      </c>
      <c r="F9720" s="1" t="s">
        <v>30</v>
      </c>
    </row>
    <row r="9721" spans="1:6" ht="30" customHeight="1" x14ac:dyDescent="0.25">
      <c r="A9721" s="1" t="s">
        <v>19318</v>
      </c>
      <c r="B9721" s="1" t="str">
        <f>"9780199747917"</f>
        <v>9780199747917</v>
      </c>
      <c r="C9721" s="1" t="s">
        <v>1120</v>
      </c>
      <c r="D9721" s="2">
        <v>37042</v>
      </c>
      <c r="E9721" s="1" t="s">
        <v>19319</v>
      </c>
      <c r="F9721" s="1" t="s">
        <v>95</v>
      </c>
    </row>
    <row r="9722" spans="1:6" ht="30" customHeight="1" x14ac:dyDescent="0.25">
      <c r="A9722" s="1" t="s">
        <v>19320</v>
      </c>
      <c r="B9722" s="1" t="str">
        <f>"9780199721627"</f>
        <v>9780199721627</v>
      </c>
      <c r="C9722" s="1" t="s">
        <v>1120</v>
      </c>
      <c r="D9722" s="2">
        <v>38841</v>
      </c>
      <c r="E9722" s="1" t="s">
        <v>19321</v>
      </c>
      <c r="F9722" s="1" t="s">
        <v>19322</v>
      </c>
    </row>
    <row r="9723" spans="1:6" ht="30" customHeight="1" x14ac:dyDescent="0.25">
      <c r="A9723" s="1" t="s">
        <v>19323</v>
      </c>
      <c r="B9723" s="1" t="str">
        <f>""</f>
        <v/>
      </c>
      <c r="C9723" s="1" t="s">
        <v>1123</v>
      </c>
      <c r="D9723" s="2">
        <v>39083</v>
      </c>
      <c r="E9723" s="1" t="s">
        <v>19324</v>
      </c>
      <c r="F9723" s="1" t="s">
        <v>30</v>
      </c>
    </row>
    <row r="9724" spans="1:6" ht="30" customHeight="1" x14ac:dyDescent="0.25">
      <c r="A9724" s="1" t="s">
        <v>19325</v>
      </c>
      <c r="B9724" s="1" t="str">
        <f>"9780199748297"</f>
        <v>9780199748297</v>
      </c>
      <c r="C9724" s="1" t="s">
        <v>1123</v>
      </c>
      <c r="D9724" s="2">
        <v>39022</v>
      </c>
      <c r="E9724" s="1" t="s">
        <v>19326</v>
      </c>
      <c r="F9724" s="1" t="s">
        <v>438</v>
      </c>
    </row>
    <row r="9725" spans="1:6" ht="30" customHeight="1" x14ac:dyDescent="0.25">
      <c r="A9725" s="1" t="s">
        <v>19327</v>
      </c>
      <c r="B9725" s="1" t="str">
        <f>"9780199719129"</f>
        <v>9780199719129</v>
      </c>
      <c r="C9725" s="1" t="s">
        <v>1120</v>
      </c>
      <c r="D9725" s="2">
        <v>39237</v>
      </c>
      <c r="E9725" s="1" t="s">
        <v>19328</v>
      </c>
      <c r="F9725" s="1" t="s">
        <v>70</v>
      </c>
    </row>
    <row r="9726" spans="1:6" ht="30" customHeight="1" x14ac:dyDescent="0.25">
      <c r="A9726" s="1" t="s">
        <v>19329</v>
      </c>
      <c r="B9726" s="1" t="str">
        <f>"9780199748143"</f>
        <v>9780199748143</v>
      </c>
      <c r="C9726" s="1" t="s">
        <v>1120</v>
      </c>
      <c r="D9726" s="2">
        <v>38981</v>
      </c>
      <c r="E9726" s="1" t="s">
        <v>19330</v>
      </c>
      <c r="F9726" s="1" t="s">
        <v>95</v>
      </c>
    </row>
    <row r="9727" spans="1:6" ht="30" customHeight="1" x14ac:dyDescent="0.25">
      <c r="A9727" s="1" t="s">
        <v>19331</v>
      </c>
      <c r="B9727" s="1" t="str">
        <f>"9780199718856"</f>
        <v>9780199718856</v>
      </c>
      <c r="C9727" s="1" t="s">
        <v>1123</v>
      </c>
      <c r="D9727" s="2">
        <v>39417</v>
      </c>
      <c r="E9727" s="1" t="s">
        <v>19332</v>
      </c>
      <c r="F9727" s="1" t="s">
        <v>13</v>
      </c>
    </row>
    <row r="9728" spans="1:6" ht="30" customHeight="1" x14ac:dyDescent="0.25">
      <c r="A9728" s="1" t="s">
        <v>19333</v>
      </c>
      <c r="B9728" s="1" t="str">
        <f>"9781281724052"</f>
        <v>9781281724052</v>
      </c>
      <c r="C9728" s="1" t="s">
        <v>1123</v>
      </c>
      <c r="D9728" s="2">
        <v>39600</v>
      </c>
      <c r="E9728" s="1" t="s">
        <v>19334</v>
      </c>
      <c r="F9728" s="1" t="s">
        <v>13</v>
      </c>
    </row>
    <row r="9729" spans="1:6" ht="30" customHeight="1" x14ac:dyDescent="0.25">
      <c r="A9729" s="1" t="s">
        <v>19335</v>
      </c>
      <c r="B9729" s="1" t="str">
        <f>"9780198026464"</f>
        <v>9780198026464</v>
      </c>
      <c r="C9729" s="1" t="s">
        <v>1123</v>
      </c>
      <c r="D9729" s="2">
        <v>37530</v>
      </c>
      <c r="E9729" s="1" t="s">
        <v>19336</v>
      </c>
      <c r="F9729" s="1" t="s">
        <v>63</v>
      </c>
    </row>
    <row r="9730" spans="1:6" ht="30" customHeight="1" x14ac:dyDescent="0.25">
      <c r="A9730" s="1" t="s">
        <v>19337</v>
      </c>
      <c r="B9730" s="1" t="str">
        <f>"9780199744916"</f>
        <v>9780199744916</v>
      </c>
      <c r="C9730" s="1" t="s">
        <v>1123</v>
      </c>
      <c r="D9730" s="2">
        <v>38792</v>
      </c>
      <c r="E9730" s="1" t="s">
        <v>19338</v>
      </c>
      <c r="F9730" s="1" t="s">
        <v>13</v>
      </c>
    </row>
    <row r="9731" spans="1:6" ht="30" customHeight="1" x14ac:dyDescent="0.25">
      <c r="A9731" s="1" t="s">
        <v>19339</v>
      </c>
      <c r="B9731" s="1" t="str">
        <f>"9780199748990"</f>
        <v>9780199748990</v>
      </c>
      <c r="C9731" s="1" t="s">
        <v>1123</v>
      </c>
      <c r="D9731" s="2">
        <v>37616</v>
      </c>
      <c r="E9731" s="1" t="s">
        <v>19340</v>
      </c>
      <c r="F9731" s="1" t="s">
        <v>30</v>
      </c>
    </row>
    <row r="9732" spans="1:6" ht="30" customHeight="1" x14ac:dyDescent="0.25">
      <c r="A9732" s="1" t="s">
        <v>19341</v>
      </c>
      <c r="B9732" s="1" t="str">
        <f>"9780199716241"</f>
        <v>9780199716241</v>
      </c>
      <c r="C9732" s="1" t="s">
        <v>1120</v>
      </c>
      <c r="D9732" s="2">
        <v>40150</v>
      </c>
      <c r="E9732" s="1" t="s">
        <v>19342</v>
      </c>
      <c r="F9732" s="1" t="s">
        <v>13</v>
      </c>
    </row>
    <row r="9733" spans="1:6" ht="30" customHeight="1" x14ac:dyDescent="0.25">
      <c r="A9733" s="1" t="s">
        <v>19343</v>
      </c>
      <c r="B9733" s="1" t="str">
        <f>"9780199709779"</f>
        <v>9780199709779</v>
      </c>
      <c r="C9733" s="1" t="s">
        <v>1120</v>
      </c>
      <c r="D9733" s="2">
        <v>39475</v>
      </c>
      <c r="E9733" s="1" t="s">
        <v>19344</v>
      </c>
      <c r="F9733" s="1" t="s">
        <v>13</v>
      </c>
    </row>
    <row r="9734" spans="1:6" ht="30" customHeight="1" x14ac:dyDescent="0.25">
      <c r="A9734" s="1" t="s">
        <v>19345</v>
      </c>
      <c r="B9734" s="1" t="str">
        <f>"9780199759774"</f>
        <v>9780199759774</v>
      </c>
      <c r="C9734" s="1" t="s">
        <v>1123</v>
      </c>
      <c r="D9734" s="2">
        <v>38337</v>
      </c>
      <c r="E9734" s="1" t="s">
        <v>19346</v>
      </c>
      <c r="F9734" s="1" t="s">
        <v>13</v>
      </c>
    </row>
    <row r="9735" spans="1:6" ht="30" customHeight="1" x14ac:dyDescent="0.25">
      <c r="A9735" s="1" t="s">
        <v>19347</v>
      </c>
      <c r="B9735" s="1" t="str">
        <f>"9780199705689"</f>
        <v>9780199705689</v>
      </c>
      <c r="C9735" s="1" t="s">
        <v>1123</v>
      </c>
      <c r="D9735" s="2">
        <v>40116</v>
      </c>
      <c r="E9735" s="1" t="s">
        <v>19348</v>
      </c>
      <c r="F9735" s="1" t="s">
        <v>205</v>
      </c>
    </row>
    <row r="9736" spans="1:6" ht="30" customHeight="1" x14ac:dyDescent="0.25">
      <c r="A9736" s="1" t="s">
        <v>19349</v>
      </c>
      <c r="B9736" s="1" t="str">
        <f>"9780199748846"</f>
        <v>9780199748846</v>
      </c>
      <c r="C9736" s="1" t="s">
        <v>1123</v>
      </c>
      <c r="D9736" s="2">
        <v>38127</v>
      </c>
      <c r="E9736" s="1" t="s">
        <v>19350</v>
      </c>
      <c r="F9736" s="1" t="s">
        <v>21</v>
      </c>
    </row>
    <row r="9737" spans="1:6" ht="30" customHeight="1" x14ac:dyDescent="0.25">
      <c r="A9737" s="1" t="s">
        <v>19351</v>
      </c>
      <c r="B9737" s="1" t="str">
        <f>"9780199748686"</f>
        <v>9780199748686</v>
      </c>
      <c r="C9737" s="1" t="s">
        <v>1123</v>
      </c>
      <c r="D9737" s="2">
        <v>32247</v>
      </c>
      <c r="E9737" s="1" t="s">
        <v>19352</v>
      </c>
      <c r="F9737" s="1" t="s">
        <v>30</v>
      </c>
    </row>
    <row r="9738" spans="1:6" ht="30" customHeight="1" x14ac:dyDescent="0.25">
      <c r="A9738" s="1" t="s">
        <v>19353</v>
      </c>
      <c r="B9738" s="1" t="str">
        <f>"9780199748228"</f>
        <v>9780199748228</v>
      </c>
      <c r="C9738" s="1" t="s">
        <v>1123</v>
      </c>
      <c r="D9738" s="2">
        <v>38666</v>
      </c>
      <c r="E9738" s="1" t="s">
        <v>19354</v>
      </c>
      <c r="F9738" s="1" t="s">
        <v>13</v>
      </c>
    </row>
    <row r="9739" spans="1:6" ht="30" customHeight="1" x14ac:dyDescent="0.25">
      <c r="A9739" s="1" t="s">
        <v>1494</v>
      </c>
      <c r="B9739" s="1" t="str">
        <f>"9780199707522"</f>
        <v>9780199707522</v>
      </c>
      <c r="C9739" s="1" t="s">
        <v>1123</v>
      </c>
      <c r="D9739" s="2">
        <v>39814</v>
      </c>
      <c r="E9739" s="1" t="s">
        <v>19355</v>
      </c>
      <c r="F9739" s="1" t="s">
        <v>13</v>
      </c>
    </row>
    <row r="9740" spans="1:6" ht="30" customHeight="1" x14ac:dyDescent="0.25">
      <c r="A9740" s="1" t="s">
        <v>19356</v>
      </c>
      <c r="B9740" s="1" t="str">
        <f>"9780199759859"</f>
        <v>9780199759859</v>
      </c>
      <c r="C9740" s="1" t="s">
        <v>1123</v>
      </c>
      <c r="D9740" s="2">
        <v>38778</v>
      </c>
      <c r="E9740" s="1" t="s">
        <v>19357</v>
      </c>
      <c r="F9740" s="1" t="s">
        <v>13</v>
      </c>
    </row>
    <row r="9741" spans="1:6" ht="30" customHeight="1" x14ac:dyDescent="0.25">
      <c r="A9741" s="1" t="s">
        <v>19358</v>
      </c>
      <c r="B9741" s="1" t="str">
        <f>"9780199747719"</f>
        <v>9780199747719</v>
      </c>
      <c r="C9741" s="1" t="s">
        <v>1123</v>
      </c>
      <c r="D9741" s="2">
        <v>37021</v>
      </c>
      <c r="E9741" s="1" t="s">
        <v>19359</v>
      </c>
      <c r="F9741" s="1" t="s">
        <v>13</v>
      </c>
    </row>
    <row r="9742" spans="1:6" ht="30" customHeight="1" x14ac:dyDescent="0.25">
      <c r="A9742" s="1" t="s">
        <v>19360</v>
      </c>
      <c r="B9742" s="1" t="str">
        <f>"9780199707669"</f>
        <v>9780199707669</v>
      </c>
      <c r="C9742" s="1" t="s">
        <v>1120</v>
      </c>
      <c r="D9742" s="2">
        <v>37910</v>
      </c>
      <c r="E9742" s="1" t="s">
        <v>19361</v>
      </c>
      <c r="F9742" s="1" t="s">
        <v>95</v>
      </c>
    </row>
    <row r="9743" spans="1:6" ht="30" customHeight="1" x14ac:dyDescent="0.25">
      <c r="A9743" s="1" t="s">
        <v>19362</v>
      </c>
      <c r="B9743" s="1" t="str">
        <f>"9780199711086"</f>
        <v>9780199711086</v>
      </c>
      <c r="C9743" s="1" t="s">
        <v>1120</v>
      </c>
      <c r="D9743" s="2">
        <v>39703</v>
      </c>
      <c r="E9743" s="1" t="s">
        <v>19363</v>
      </c>
      <c r="F9743" s="1" t="s">
        <v>13</v>
      </c>
    </row>
    <row r="9744" spans="1:6" ht="30" customHeight="1" x14ac:dyDescent="0.25">
      <c r="A9744" s="1" t="s">
        <v>19364</v>
      </c>
      <c r="B9744" s="1" t="str">
        <f>"9780199747870"</f>
        <v>9780199747870</v>
      </c>
      <c r="C9744" s="1" t="s">
        <v>1123</v>
      </c>
      <c r="D9744" s="2">
        <v>36404</v>
      </c>
      <c r="E9744" s="1" t="s">
        <v>19365</v>
      </c>
      <c r="F9744" s="1" t="s">
        <v>21</v>
      </c>
    </row>
    <row r="9745" spans="1:6" ht="30" customHeight="1" x14ac:dyDescent="0.25">
      <c r="A9745" s="1" t="s">
        <v>19366</v>
      </c>
      <c r="B9745" s="1" t="str">
        <f>"9780199748853"</f>
        <v>9780199748853</v>
      </c>
      <c r="C9745" s="1" t="s">
        <v>1123</v>
      </c>
      <c r="D9745" s="2">
        <v>36825</v>
      </c>
      <c r="E9745" s="1" t="s">
        <v>19367</v>
      </c>
      <c r="F9745" s="1" t="s">
        <v>1469</v>
      </c>
    </row>
    <row r="9746" spans="1:6" ht="30" customHeight="1" x14ac:dyDescent="0.25">
      <c r="A9746" s="1" t="s">
        <v>19368</v>
      </c>
      <c r="B9746" s="1" t="str">
        <f>"9780199748709"</f>
        <v>9780199748709</v>
      </c>
      <c r="C9746" s="1" t="s">
        <v>1123</v>
      </c>
      <c r="D9746" s="2">
        <v>33535</v>
      </c>
      <c r="E9746" s="1" t="s">
        <v>19369</v>
      </c>
      <c r="F9746" s="1" t="s">
        <v>176</v>
      </c>
    </row>
    <row r="9747" spans="1:6" ht="30" customHeight="1" x14ac:dyDescent="0.25">
      <c r="A9747" s="1" t="s">
        <v>19370</v>
      </c>
      <c r="B9747" s="1" t="str">
        <f>"9780199748006"</f>
        <v>9780199748006</v>
      </c>
      <c r="C9747" s="1" t="s">
        <v>1120</v>
      </c>
      <c r="D9747" s="2">
        <v>38071</v>
      </c>
      <c r="E9747" s="1" t="s">
        <v>1137</v>
      </c>
      <c r="F9747" s="1" t="s">
        <v>13</v>
      </c>
    </row>
    <row r="9748" spans="1:6" ht="30" customHeight="1" x14ac:dyDescent="0.25">
      <c r="A9748" s="1" t="s">
        <v>19371</v>
      </c>
      <c r="B9748" s="1" t="str">
        <f>"9780199709649"</f>
        <v>9780199709649</v>
      </c>
      <c r="C9748" s="1" t="s">
        <v>1123</v>
      </c>
      <c r="D9748" s="2">
        <v>39965</v>
      </c>
      <c r="E9748" s="1" t="s">
        <v>19372</v>
      </c>
      <c r="F9748" s="1" t="s">
        <v>13</v>
      </c>
    </row>
    <row r="9749" spans="1:6" ht="30" customHeight="1" x14ac:dyDescent="0.25">
      <c r="A9749" s="1" t="s">
        <v>19373</v>
      </c>
      <c r="B9749" s="1" t="str">
        <f>"9780199759644"</f>
        <v>9780199759644</v>
      </c>
      <c r="C9749" s="1" t="s">
        <v>1123</v>
      </c>
      <c r="D9749" s="2">
        <v>33850</v>
      </c>
      <c r="E9749" s="1" t="s">
        <v>10047</v>
      </c>
      <c r="F9749" s="1" t="s">
        <v>13</v>
      </c>
    </row>
    <row r="9750" spans="1:6" ht="30" customHeight="1" x14ac:dyDescent="0.25">
      <c r="A9750" s="1" t="s">
        <v>19374</v>
      </c>
      <c r="B9750" s="1" t="str">
        <f>"9780199747788"</f>
        <v>9780199747788</v>
      </c>
      <c r="C9750" s="1" t="s">
        <v>1123</v>
      </c>
      <c r="D9750" s="2">
        <v>37084</v>
      </c>
      <c r="E9750" s="1" t="s">
        <v>19375</v>
      </c>
      <c r="F9750" s="1" t="s">
        <v>3261</v>
      </c>
    </row>
    <row r="9751" spans="1:6" ht="30" customHeight="1" x14ac:dyDescent="0.25">
      <c r="A9751" s="1" t="s">
        <v>19376</v>
      </c>
      <c r="B9751" s="1" t="str">
        <f>"9780199748778"</f>
        <v>9780199748778</v>
      </c>
      <c r="C9751" s="1" t="s">
        <v>1123</v>
      </c>
      <c r="D9751" s="2">
        <v>36279</v>
      </c>
      <c r="E9751" s="1" t="s">
        <v>19377</v>
      </c>
      <c r="F9751" s="1" t="s">
        <v>13</v>
      </c>
    </row>
    <row r="9752" spans="1:6" ht="30" customHeight="1" x14ac:dyDescent="0.25">
      <c r="A9752" s="1" t="s">
        <v>19378</v>
      </c>
      <c r="B9752" s="1" t="str">
        <f>"9780199748945"</f>
        <v>9780199748945</v>
      </c>
      <c r="C9752" s="1" t="s">
        <v>1123</v>
      </c>
      <c r="D9752" s="2">
        <v>37119</v>
      </c>
      <c r="E9752" s="1" t="s">
        <v>19379</v>
      </c>
      <c r="F9752" s="1" t="s">
        <v>3261</v>
      </c>
    </row>
    <row r="9753" spans="1:6" ht="30" customHeight="1" x14ac:dyDescent="0.25">
      <c r="A9753" s="1" t="s">
        <v>19380</v>
      </c>
      <c r="B9753" s="1" t="str">
        <f>"9780199748860"</f>
        <v>9780199748860</v>
      </c>
      <c r="C9753" s="1" t="s">
        <v>1123</v>
      </c>
      <c r="D9753" s="2">
        <v>36545</v>
      </c>
      <c r="E9753" s="1" t="s">
        <v>19381</v>
      </c>
      <c r="F9753" s="1" t="s">
        <v>195</v>
      </c>
    </row>
    <row r="9754" spans="1:6" ht="30" customHeight="1" x14ac:dyDescent="0.25">
      <c r="A9754" s="1" t="s">
        <v>19382</v>
      </c>
      <c r="B9754" s="1" t="str">
        <f>"9780199749065"</f>
        <v>9780199749065</v>
      </c>
      <c r="C9754" s="1" t="s">
        <v>1123</v>
      </c>
      <c r="D9754" s="2">
        <v>38799</v>
      </c>
      <c r="E9754" s="1" t="s">
        <v>19383</v>
      </c>
      <c r="F9754" s="1" t="s">
        <v>13</v>
      </c>
    </row>
    <row r="9755" spans="1:6" ht="30" customHeight="1" x14ac:dyDescent="0.25">
      <c r="A9755" s="1" t="s">
        <v>19384</v>
      </c>
      <c r="B9755" s="1" t="str">
        <f>"9780199714759"</f>
        <v>9780199714759</v>
      </c>
      <c r="C9755" s="1" t="s">
        <v>1123</v>
      </c>
      <c r="D9755" s="2">
        <v>39834</v>
      </c>
      <c r="E9755" s="1" t="s">
        <v>19385</v>
      </c>
      <c r="F9755" s="1" t="s">
        <v>158</v>
      </c>
    </row>
    <row r="9756" spans="1:6" ht="30" customHeight="1" x14ac:dyDescent="0.25">
      <c r="A9756" s="1" t="s">
        <v>19386</v>
      </c>
      <c r="B9756" s="1" t="str">
        <f>"9780199749461"</f>
        <v>9780199749461</v>
      </c>
      <c r="C9756" s="1" t="s">
        <v>1120</v>
      </c>
      <c r="D9756" s="2">
        <v>40238</v>
      </c>
      <c r="E9756" s="1" t="s">
        <v>19387</v>
      </c>
      <c r="F9756" s="1" t="s">
        <v>13</v>
      </c>
    </row>
    <row r="9757" spans="1:6" ht="30" customHeight="1" x14ac:dyDescent="0.25">
      <c r="A9757" s="1" t="s">
        <v>19388</v>
      </c>
      <c r="B9757" s="1" t="str">
        <f>"9780199749003"</f>
        <v>9780199749003</v>
      </c>
      <c r="C9757" s="1" t="s">
        <v>1123</v>
      </c>
      <c r="D9757" s="2">
        <v>37910</v>
      </c>
      <c r="E9757" s="1" t="s">
        <v>19389</v>
      </c>
      <c r="F9757" s="1" t="s">
        <v>13</v>
      </c>
    </row>
    <row r="9758" spans="1:6" ht="30" customHeight="1" x14ac:dyDescent="0.25">
      <c r="A9758" s="1" t="s">
        <v>19390</v>
      </c>
      <c r="B9758" s="1" t="str">
        <f>"9780199759811"</f>
        <v>9780199759811</v>
      </c>
      <c r="C9758" s="1" t="s">
        <v>1120</v>
      </c>
      <c r="D9758" s="2">
        <v>37805</v>
      </c>
      <c r="E9758" s="1" t="s">
        <v>19391</v>
      </c>
      <c r="F9758" s="1" t="s">
        <v>13</v>
      </c>
    </row>
    <row r="9759" spans="1:6" ht="30" customHeight="1" x14ac:dyDescent="0.25">
      <c r="A9759" s="1" t="s">
        <v>19392</v>
      </c>
      <c r="B9759" s="1" t="str">
        <f>"9780199747795"</f>
        <v>9780199747795</v>
      </c>
      <c r="C9759" s="1" t="s">
        <v>1120</v>
      </c>
      <c r="D9759" s="2">
        <v>36860</v>
      </c>
      <c r="E9759" s="1" t="s">
        <v>19393</v>
      </c>
      <c r="F9759" s="1" t="s">
        <v>158</v>
      </c>
    </row>
    <row r="9760" spans="1:6" ht="30" customHeight="1" x14ac:dyDescent="0.25">
      <c r="A9760" s="1" t="s">
        <v>19394</v>
      </c>
      <c r="B9760" s="1" t="str">
        <f>"9780199747900"</f>
        <v>9780199747900</v>
      </c>
      <c r="C9760" s="1" t="s">
        <v>1123</v>
      </c>
      <c r="D9760" s="2">
        <v>38757</v>
      </c>
      <c r="E9760" s="1" t="s">
        <v>19395</v>
      </c>
      <c r="F9760" s="1" t="s">
        <v>13</v>
      </c>
    </row>
    <row r="9761" spans="1:6" ht="30" customHeight="1" x14ac:dyDescent="0.25">
      <c r="A9761" s="1" t="s">
        <v>19396</v>
      </c>
      <c r="B9761" s="1" t="str">
        <f>"9780199748785"</f>
        <v>9780199748785</v>
      </c>
      <c r="C9761" s="1" t="s">
        <v>1123</v>
      </c>
      <c r="D9761" s="2">
        <v>36617</v>
      </c>
      <c r="E9761" s="1" t="s">
        <v>19397</v>
      </c>
      <c r="F9761" s="1" t="s">
        <v>158</v>
      </c>
    </row>
    <row r="9762" spans="1:6" ht="30" customHeight="1" x14ac:dyDescent="0.25">
      <c r="A9762" s="1" t="s">
        <v>19398</v>
      </c>
      <c r="B9762" s="1" t="str">
        <f>"9780199748952"</f>
        <v>9780199748952</v>
      </c>
      <c r="C9762" s="1" t="s">
        <v>1123</v>
      </c>
      <c r="D9762" s="2">
        <v>36972</v>
      </c>
      <c r="E9762" s="1" t="s">
        <v>19399</v>
      </c>
      <c r="F9762" s="1" t="s">
        <v>21</v>
      </c>
    </row>
    <row r="9763" spans="1:6" ht="30" customHeight="1" x14ac:dyDescent="0.25">
      <c r="A9763" s="1" t="s">
        <v>19400</v>
      </c>
      <c r="B9763" s="1" t="str">
        <f>"9780199748020"</f>
        <v>9780199748020</v>
      </c>
      <c r="C9763" s="1" t="s">
        <v>1123</v>
      </c>
      <c r="D9763" s="2">
        <v>37616</v>
      </c>
      <c r="E9763" s="1" t="s">
        <v>19401</v>
      </c>
      <c r="F9763" s="1" t="s">
        <v>30</v>
      </c>
    </row>
    <row r="9764" spans="1:6" ht="30" customHeight="1" x14ac:dyDescent="0.25">
      <c r="A9764" s="1" t="s">
        <v>19402</v>
      </c>
      <c r="B9764" s="1" t="str">
        <f>"9780199749072"</f>
        <v>9780199749072</v>
      </c>
      <c r="C9764" s="1" t="s">
        <v>1123</v>
      </c>
      <c r="D9764" s="2">
        <v>37854</v>
      </c>
      <c r="E9764" s="1" t="s">
        <v>19403</v>
      </c>
      <c r="F9764" s="1" t="s">
        <v>1443</v>
      </c>
    </row>
    <row r="9765" spans="1:6" ht="30" customHeight="1" x14ac:dyDescent="0.25">
      <c r="A9765" s="1" t="s">
        <v>19404</v>
      </c>
      <c r="B9765" s="1" t="str">
        <f>"9780199759736"</f>
        <v>9780199759736</v>
      </c>
      <c r="C9765" s="1" t="s">
        <v>1123</v>
      </c>
      <c r="D9765" s="2">
        <v>36237</v>
      </c>
      <c r="E9765" s="1" t="s">
        <v>19405</v>
      </c>
      <c r="F9765" s="1" t="s">
        <v>95</v>
      </c>
    </row>
    <row r="9766" spans="1:6" ht="30" customHeight="1" x14ac:dyDescent="0.25">
      <c r="A9766" s="1" t="s">
        <v>19406</v>
      </c>
      <c r="B9766" s="1" t="str">
        <f>"9780199749010"</f>
        <v>9780199749010</v>
      </c>
      <c r="C9766" s="1" t="s">
        <v>1123</v>
      </c>
      <c r="D9766" s="2">
        <v>38953</v>
      </c>
      <c r="E9766" s="1" t="s">
        <v>19407</v>
      </c>
      <c r="F9766" s="1" t="s">
        <v>13</v>
      </c>
    </row>
    <row r="9767" spans="1:6" ht="30" customHeight="1" x14ac:dyDescent="0.25">
      <c r="A9767" s="1" t="s">
        <v>19408</v>
      </c>
      <c r="B9767" s="1" t="str">
        <f>"9780199747740"</f>
        <v>9780199747740</v>
      </c>
      <c r="C9767" s="1" t="s">
        <v>1123</v>
      </c>
      <c r="D9767" s="2">
        <v>36776</v>
      </c>
      <c r="E9767" s="1" t="s">
        <v>19409</v>
      </c>
      <c r="F9767" s="1" t="s">
        <v>13</v>
      </c>
    </row>
    <row r="9768" spans="1:6" ht="30" customHeight="1" x14ac:dyDescent="0.25">
      <c r="A9768" s="1" t="s">
        <v>19410</v>
      </c>
      <c r="B9768" s="1" t="str">
        <f>"9780199748792"</f>
        <v>9780199748792</v>
      </c>
      <c r="C9768" s="1" t="s">
        <v>1123</v>
      </c>
      <c r="D9768" s="2">
        <v>35887</v>
      </c>
      <c r="E9768" s="1" t="s">
        <v>19411</v>
      </c>
      <c r="F9768" s="1" t="s">
        <v>205</v>
      </c>
    </row>
    <row r="9769" spans="1:6" ht="30" customHeight="1" x14ac:dyDescent="0.25">
      <c r="A9769" s="1" t="s">
        <v>7555</v>
      </c>
      <c r="B9769" s="1" t="str">
        <f>"9780199748419"</f>
        <v>9780199748419</v>
      </c>
      <c r="C9769" s="1" t="s">
        <v>1123</v>
      </c>
      <c r="D9769" s="2">
        <v>39845</v>
      </c>
      <c r="E9769" s="1" t="s">
        <v>19412</v>
      </c>
      <c r="F9769" s="1" t="s">
        <v>13</v>
      </c>
    </row>
    <row r="9770" spans="1:6" ht="30" customHeight="1" x14ac:dyDescent="0.25">
      <c r="A9770" s="1" t="s">
        <v>19413</v>
      </c>
      <c r="B9770" s="1" t="str">
        <f>"9780199748105"</f>
        <v>9780199748105</v>
      </c>
      <c r="C9770" s="1" t="s">
        <v>1123</v>
      </c>
      <c r="D9770" s="2">
        <v>38246</v>
      </c>
      <c r="E9770" s="1" t="s">
        <v>16565</v>
      </c>
      <c r="F9770" s="1" t="s">
        <v>21</v>
      </c>
    </row>
    <row r="9771" spans="1:6" ht="30" customHeight="1" x14ac:dyDescent="0.25">
      <c r="A9771" s="1" t="s">
        <v>19414</v>
      </c>
      <c r="B9771" s="1" t="str">
        <f>"9780199748730"</f>
        <v>9780199748730</v>
      </c>
      <c r="C9771" s="1" t="s">
        <v>1123</v>
      </c>
      <c r="D9771" s="2">
        <v>33871</v>
      </c>
      <c r="E9771" s="1" t="s">
        <v>19415</v>
      </c>
      <c r="F9771" s="1" t="s">
        <v>95</v>
      </c>
    </row>
    <row r="9772" spans="1:6" ht="30" customHeight="1" x14ac:dyDescent="0.25">
      <c r="A9772" s="1" t="s">
        <v>19416</v>
      </c>
      <c r="B9772" s="1" t="str">
        <f>"9780199759743"</f>
        <v>9780199759743</v>
      </c>
      <c r="C9772" s="1" t="s">
        <v>1123</v>
      </c>
      <c r="D9772" s="2">
        <v>35173</v>
      </c>
      <c r="E9772" s="1" t="s">
        <v>19417</v>
      </c>
      <c r="F9772" s="1" t="s">
        <v>599</v>
      </c>
    </row>
    <row r="9773" spans="1:6" ht="30" customHeight="1" x14ac:dyDescent="0.25">
      <c r="A9773" s="1" t="s">
        <v>19418</v>
      </c>
      <c r="B9773" s="1" t="str">
        <f>"9780199748259"</f>
        <v>9780199748259</v>
      </c>
      <c r="C9773" s="1" t="s">
        <v>1123</v>
      </c>
      <c r="D9773" s="2">
        <v>39326</v>
      </c>
      <c r="E9773" s="1" t="s">
        <v>19419</v>
      </c>
      <c r="F9773" s="1" t="s">
        <v>13</v>
      </c>
    </row>
    <row r="9774" spans="1:6" ht="30" customHeight="1" x14ac:dyDescent="0.25">
      <c r="A9774" s="1" t="s">
        <v>19420</v>
      </c>
      <c r="B9774" s="1" t="str">
        <f>"9780199748341"</f>
        <v>9780199748341</v>
      </c>
      <c r="C9774" s="1" t="s">
        <v>1120</v>
      </c>
      <c r="D9774" s="2">
        <v>39316</v>
      </c>
      <c r="E9774" s="1" t="s">
        <v>19421</v>
      </c>
      <c r="F9774" s="1" t="s">
        <v>214</v>
      </c>
    </row>
    <row r="9775" spans="1:6" ht="30" customHeight="1" x14ac:dyDescent="0.25">
      <c r="A9775" s="1" t="s">
        <v>19422</v>
      </c>
      <c r="B9775" s="1" t="str">
        <f>"9780199748181"</f>
        <v>9780199748181</v>
      </c>
      <c r="C9775" s="1" t="s">
        <v>1123</v>
      </c>
      <c r="D9775" s="2">
        <v>38435</v>
      </c>
      <c r="E9775" s="1" t="s">
        <v>19423</v>
      </c>
      <c r="F9775" s="1" t="s">
        <v>95</v>
      </c>
    </row>
    <row r="9776" spans="1:6" ht="30" customHeight="1" x14ac:dyDescent="0.25">
      <c r="A9776" s="1" t="s">
        <v>19424</v>
      </c>
      <c r="B9776" s="1" t="str">
        <f>"9780199759828"</f>
        <v>9780199759828</v>
      </c>
      <c r="C9776" s="1" t="s">
        <v>1123</v>
      </c>
      <c r="D9776" s="2">
        <v>37861</v>
      </c>
      <c r="E9776" s="1" t="s">
        <v>19365</v>
      </c>
      <c r="F9776" s="1" t="s">
        <v>21</v>
      </c>
    </row>
    <row r="9777" spans="1:6" ht="30" customHeight="1" x14ac:dyDescent="0.25">
      <c r="A9777" s="1" t="s">
        <v>19425</v>
      </c>
      <c r="B9777" s="1" t="str">
        <f>"9780199748969"</f>
        <v>9780199748969</v>
      </c>
      <c r="C9777" s="1" t="s">
        <v>1123</v>
      </c>
      <c r="D9777" s="2">
        <v>37469</v>
      </c>
      <c r="E9777" s="1" t="s">
        <v>19426</v>
      </c>
      <c r="F9777" s="1" t="s">
        <v>95</v>
      </c>
    </row>
    <row r="9778" spans="1:6" ht="30" customHeight="1" x14ac:dyDescent="0.25">
      <c r="A9778" s="1" t="s">
        <v>19427</v>
      </c>
      <c r="B9778" s="1" t="str">
        <f>"9780199748907"</f>
        <v>9780199748907</v>
      </c>
      <c r="C9778" s="1" t="s">
        <v>1123</v>
      </c>
      <c r="D9778" s="2">
        <v>37917</v>
      </c>
      <c r="E9778" s="1" t="s">
        <v>19428</v>
      </c>
      <c r="F9778" s="1" t="s">
        <v>21</v>
      </c>
    </row>
    <row r="9779" spans="1:6" ht="30" customHeight="1" x14ac:dyDescent="0.25">
      <c r="A9779" s="1" t="s">
        <v>19429</v>
      </c>
      <c r="B9779" s="1" t="str">
        <f>"9780199748822"</f>
        <v>9780199748822</v>
      </c>
      <c r="C9779" s="1" t="s">
        <v>1123</v>
      </c>
      <c r="D9779" s="2">
        <v>35530</v>
      </c>
      <c r="E9779" s="1" t="s">
        <v>19430</v>
      </c>
      <c r="F9779" s="1" t="s">
        <v>3261</v>
      </c>
    </row>
    <row r="9780" spans="1:6" ht="30" customHeight="1" x14ac:dyDescent="0.25">
      <c r="A9780" s="1" t="s">
        <v>19431</v>
      </c>
      <c r="B9780" s="1" t="str">
        <f>"9780199708628"</f>
        <v>9780199708628</v>
      </c>
      <c r="C9780" s="1" t="s">
        <v>1120</v>
      </c>
      <c r="D9780" s="2">
        <v>39911</v>
      </c>
      <c r="E9780" s="1" t="s">
        <v>19432</v>
      </c>
      <c r="F9780" s="1" t="s">
        <v>13</v>
      </c>
    </row>
    <row r="9781" spans="1:6" ht="30" customHeight="1" x14ac:dyDescent="0.25">
      <c r="A9781" s="1" t="s">
        <v>19433</v>
      </c>
      <c r="B9781" s="1" t="str">
        <f>"9780199749089"</f>
        <v>9780199749089</v>
      </c>
      <c r="C9781" s="1" t="s">
        <v>1123</v>
      </c>
      <c r="D9781" s="2">
        <v>37910</v>
      </c>
      <c r="E9781" s="1" t="s">
        <v>19434</v>
      </c>
      <c r="F9781" s="1" t="s">
        <v>114</v>
      </c>
    </row>
    <row r="9782" spans="1:6" ht="30" customHeight="1" x14ac:dyDescent="0.25">
      <c r="A9782" s="1" t="s">
        <v>19435</v>
      </c>
      <c r="B9782" s="1" t="str">
        <f>"9780199704927"</f>
        <v>9780199704927</v>
      </c>
      <c r="C9782" s="1" t="s">
        <v>1120</v>
      </c>
      <c r="D9782" s="2">
        <v>40240</v>
      </c>
      <c r="E9782" s="1" t="s">
        <v>19436</v>
      </c>
      <c r="F9782" s="1" t="s">
        <v>95</v>
      </c>
    </row>
    <row r="9783" spans="1:6" ht="30" customHeight="1" x14ac:dyDescent="0.25">
      <c r="A9783" s="1" t="s">
        <v>19437</v>
      </c>
      <c r="B9783" s="1" t="str">
        <f>"9780199759835"</f>
        <v>9780199759835</v>
      </c>
      <c r="C9783" s="1" t="s">
        <v>1123</v>
      </c>
      <c r="D9783" s="2">
        <v>38505</v>
      </c>
      <c r="E9783" s="1" t="s">
        <v>19438</v>
      </c>
      <c r="F9783" s="1" t="s">
        <v>205</v>
      </c>
    </row>
    <row r="9784" spans="1:6" ht="30" customHeight="1" x14ac:dyDescent="0.25">
      <c r="A9784" s="1" t="s">
        <v>19439</v>
      </c>
      <c r="B9784" s="1" t="str">
        <f>"9780199748891"</f>
        <v>9780199748891</v>
      </c>
      <c r="C9784" s="1" t="s">
        <v>1123</v>
      </c>
      <c r="D9784" s="2">
        <v>36692</v>
      </c>
      <c r="E9784" s="1" t="s">
        <v>19440</v>
      </c>
      <c r="F9784" s="1" t="s">
        <v>95</v>
      </c>
    </row>
    <row r="9785" spans="1:6" ht="30" customHeight="1" x14ac:dyDescent="0.25">
      <c r="A9785" s="1" t="s">
        <v>19441</v>
      </c>
      <c r="B9785" s="1" t="str">
        <f>"9780199748914"</f>
        <v>9780199748914</v>
      </c>
      <c r="C9785" s="1" t="s">
        <v>1120</v>
      </c>
      <c r="D9785" s="2">
        <v>36972</v>
      </c>
      <c r="E9785" s="1" t="s">
        <v>19442</v>
      </c>
      <c r="F9785" s="1" t="s">
        <v>33</v>
      </c>
    </row>
    <row r="9786" spans="1:6" ht="30" customHeight="1" x14ac:dyDescent="0.25">
      <c r="A9786" s="1" t="s">
        <v>19443</v>
      </c>
      <c r="B9786" s="1" t="str">
        <f>"9780199748273"</f>
        <v>9780199748273</v>
      </c>
      <c r="C9786" s="1" t="s">
        <v>1123</v>
      </c>
      <c r="D9786" s="2">
        <v>39417</v>
      </c>
      <c r="E9786" s="1" t="s">
        <v>19444</v>
      </c>
      <c r="F9786" s="1" t="s">
        <v>13</v>
      </c>
    </row>
    <row r="9787" spans="1:6" ht="30" customHeight="1" x14ac:dyDescent="0.25">
      <c r="A9787" s="1" t="s">
        <v>19445</v>
      </c>
      <c r="B9787" s="1" t="str">
        <f>"9780199759842"</f>
        <v>9780199759842</v>
      </c>
      <c r="C9787" s="1" t="s">
        <v>1123</v>
      </c>
      <c r="D9787" s="2">
        <v>37561</v>
      </c>
      <c r="E9787" s="1" t="s">
        <v>19446</v>
      </c>
      <c r="F9787" s="1" t="s">
        <v>30</v>
      </c>
    </row>
    <row r="9788" spans="1:6" ht="30" customHeight="1" x14ac:dyDescent="0.25">
      <c r="A9788" s="1" t="s">
        <v>19447</v>
      </c>
      <c r="B9788" s="1" t="str">
        <f>"9780199705221"</f>
        <v>9780199705221</v>
      </c>
      <c r="C9788" s="1" t="s">
        <v>1120</v>
      </c>
      <c r="D9788" s="2">
        <v>40149</v>
      </c>
      <c r="E9788" s="1" t="s">
        <v>19448</v>
      </c>
      <c r="F9788" s="1" t="s">
        <v>137</v>
      </c>
    </row>
    <row r="9789" spans="1:6" ht="30" customHeight="1" x14ac:dyDescent="0.25">
      <c r="A9789" s="1" t="s">
        <v>19266</v>
      </c>
      <c r="B9789" s="1" t="str">
        <f>"9780199747849"</f>
        <v>9780199747849</v>
      </c>
      <c r="C9789" s="1" t="s">
        <v>1123</v>
      </c>
      <c r="D9789" s="2">
        <v>37165</v>
      </c>
      <c r="E9789" s="1" t="s">
        <v>19449</v>
      </c>
      <c r="F9789" s="1" t="s">
        <v>158</v>
      </c>
    </row>
    <row r="9790" spans="1:6" ht="30" customHeight="1" x14ac:dyDescent="0.25">
      <c r="A9790" s="1" t="s">
        <v>19450</v>
      </c>
      <c r="B9790" s="1" t="str">
        <f>"9780199747931"</f>
        <v>9780199747931</v>
      </c>
      <c r="C9790" s="1" t="s">
        <v>1123</v>
      </c>
      <c r="D9790" s="2">
        <v>37294</v>
      </c>
      <c r="E9790" s="1" t="s">
        <v>19451</v>
      </c>
      <c r="F9790" s="1" t="s">
        <v>95</v>
      </c>
    </row>
    <row r="9791" spans="1:6" ht="30" customHeight="1" x14ac:dyDescent="0.25">
      <c r="A9791" s="1" t="s">
        <v>19452</v>
      </c>
      <c r="B9791" s="1" t="str">
        <f>"9780199748129"</f>
        <v>9780199748129</v>
      </c>
      <c r="C9791" s="1" t="s">
        <v>1123</v>
      </c>
      <c r="D9791" s="2">
        <v>38673</v>
      </c>
      <c r="E9791" s="1" t="s">
        <v>19453</v>
      </c>
      <c r="F9791" s="1" t="s">
        <v>13</v>
      </c>
    </row>
    <row r="9792" spans="1:6" ht="30" customHeight="1" x14ac:dyDescent="0.25">
      <c r="A9792" s="1" t="s">
        <v>19454</v>
      </c>
      <c r="B9792" s="1" t="str">
        <f>"9780199748754"</f>
        <v>9780199748754</v>
      </c>
      <c r="C9792" s="1" t="s">
        <v>1123</v>
      </c>
      <c r="D9792" s="2">
        <v>34284</v>
      </c>
      <c r="E9792" s="1" t="s">
        <v>19455</v>
      </c>
      <c r="F9792" s="1" t="s">
        <v>205</v>
      </c>
    </row>
    <row r="9793" spans="1:6" ht="30" customHeight="1" x14ac:dyDescent="0.25">
      <c r="A9793" s="1" t="s">
        <v>19456</v>
      </c>
      <c r="B9793" s="1" t="str">
        <f>"9780199748051"</f>
        <v>9780199748051</v>
      </c>
      <c r="C9793" s="1" t="s">
        <v>1123</v>
      </c>
      <c r="D9793" s="2">
        <v>38015</v>
      </c>
      <c r="E9793" s="1" t="s">
        <v>7160</v>
      </c>
      <c r="F9793" s="1" t="s">
        <v>13</v>
      </c>
    </row>
    <row r="9794" spans="1:6" ht="30" customHeight="1" x14ac:dyDescent="0.25">
      <c r="A9794" s="1" t="s">
        <v>19457</v>
      </c>
      <c r="B9794" s="1" t="str">
        <f>"9780199759705"</f>
        <v>9780199759705</v>
      </c>
      <c r="C9794" s="1" t="s">
        <v>1123</v>
      </c>
      <c r="D9794" s="2">
        <v>36370</v>
      </c>
      <c r="E9794" s="1" t="s">
        <v>19458</v>
      </c>
      <c r="F9794" s="1" t="s">
        <v>367</v>
      </c>
    </row>
    <row r="9795" spans="1:6" ht="30" customHeight="1" x14ac:dyDescent="0.25">
      <c r="A9795" s="1" t="s">
        <v>19459</v>
      </c>
      <c r="B9795" s="1" t="str">
        <f>"9780199748839"</f>
        <v>9780199748839</v>
      </c>
      <c r="C9795" s="1" t="s">
        <v>1120</v>
      </c>
      <c r="D9795" s="2">
        <v>36587</v>
      </c>
      <c r="E9795" s="1" t="s">
        <v>19460</v>
      </c>
      <c r="F9795" s="1" t="s">
        <v>176</v>
      </c>
    </row>
    <row r="9796" spans="1:6" ht="30" customHeight="1" x14ac:dyDescent="0.25">
      <c r="A9796" s="1" t="s">
        <v>1924</v>
      </c>
      <c r="B9796" s="1" t="str">
        <f>"9780199725144"</f>
        <v>9780199725144</v>
      </c>
      <c r="C9796" s="1" t="s">
        <v>1120</v>
      </c>
      <c r="D9796" s="2">
        <v>39955</v>
      </c>
      <c r="E9796" s="1" t="s">
        <v>19461</v>
      </c>
      <c r="F9796" s="1" t="s">
        <v>13</v>
      </c>
    </row>
    <row r="9797" spans="1:6" ht="30" customHeight="1" x14ac:dyDescent="0.25">
      <c r="A9797" s="1" t="s">
        <v>19462</v>
      </c>
      <c r="B9797" s="1" t="str">
        <f>"9780199717293"</f>
        <v>9780199717293</v>
      </c>
      <c r="C9797" s="1" t="s">
        <v>1120</v>
      </c>
      <c r="D9797" s="2">
        <v>40527</v>
      </c>
      <c r="E9797" s="1" t="s">
        <v>19463</v>
      </c>
      <c r="F9797" s="1" t="s">
        <v>158</v>
      </c>
    </row>
    <row r="9798" spans="1:6" ht="30" customHeight="1" x14ac:dyDescent="0.25">
      <c r="A9798" s="1" t="s">
        <v>19464</v>
      </c>
      <c r="B9798" s="1" t="str">
        <f>"9780199720873"</f>
        <v>9780199720873</v>
      </c>
      <c r="C9798" s="1" t="s">
        <v>1123</v>
      </c>
      <c r="D9798" s="2">
        <v>40546</v>
      </c>
      <c r="E9798" s="1" t="s">
        <v>19465</v>
      </c>
      <c r="F9798" s="1" t="s">
        <v>13</v>
      </c>
    </row>
    <row r="9799" spans="1:6" ht="30" customHeight="1" x14ac:dyDescent="0.25">
      <c r="A9799" s="1" t="s">
        <v>19466</v>
      </c>
      <c r="B9799" s="1" t="str">
        <f>"9780191575754"</f>
        <v>9780191575754</v>
      </c>
      <c r="C9799" s="1" t="s">
        <v>1120</v>
      </c>
      <c r="D9799" s="2">
        <v>40255</v>
      </c>
      <c r="E9799" s="1" t="s">
        <v>19467</v>
      </c>
      <c r="F9799" s="1" t="s">
        <v>13</v>
      </c>
    </row>
    <row r="9800" spans="1:6" ht="30" customHeight="1" x14ac:dyDescent="0.25">
      <c r="A9800" s="1" t="s">
        <v>19468</v>
      </c>
      <c r="B9800" s="1" t="str">
        <f>"9780199856275"</f>
        <v>9780199856275</v>
      </c>
      <c r="C9800" s="1" t="s">
        <v>1123</v>
      </c>
      <c r="D9800" s="2">
        <v>41093</v>
      </c>
      <c r="E9800" s="1" t="s">
        <v>19469</v>
      </c>
      <c r="F9800" s="1" t="s">
        <v>21</v>
      </c>
    </row>
    <row r="9801" spans="1:6" ht="30" customHeight="1" x14ac:dyDescent="0.25">
      <c r="A9801" s="1" t="s">
        <v>19470</v>
      </c>
      <c r="B9801" s="1" t="str">
        <f>"9780199921379"</f>
        <v>9780199921379</v>
      </c>
      <c r="C9801" s="1" t="s">
        <v>1123</v>
      </c>
      <c r="D9801" s="2">
        <v>41122</v>
      </c>
      <c r="E9801" s="1" t="s">
        <v>19471</v>
      </c>
      <c r="F9801" s="1" t="s">
        <v>13</v>
      </c>
    </row>
    <row r="9802" spans="1:6" ht="30" customHeight="1" x14ac:dyDescent="0.25">
      <c r="A9802" s="1" t="s">
        <v>19472</v>
      </c>
      <c r="B9802" s="1" t="str">
        <f>"9780191660245"</f>
        <v>9780191660245</v>
      </c>
      <c r="C9802" s="1" t="s">
        <v>1123</v>
      </c>
      <c r="D9802" s="2">
        <v>36586</v>
      </c>
      <c r="E9802" s="1" t="s">
        <v>19473</v>
      </c>
      <c r="F9802" s="1" t="s">
        <v>304</v>
      </c>
    </row>
    <row r="9803" spans="1:6" ht="30" customHeight="1" x14ac:dyDescent="0.25">
      <c r="A9803" s="1" t="s">
        <v>19474</v>
      </c>
      <c r="B9803" s="1" t="str">
        <f>"9780471710486"</f>
        <v>9780471710486</v>
      </c>
      <c r="C9803" s="1" t="s">
        <v>65</v>
      </c>
      <c r="D9803" s="2">
        <v>38457</v>
      </c>
      <c r="E9803" s="1" t="s">
        <v>19475</v>
      </c>
      <c r="F9803" s="1" t="s">
        <v>13</v>
      </c>
    </row>
    <row r="9804" spans="1:6" ht="30" customHeight="1" x14ac:dyDescent="0.25">
      <c r="A9804" s="1" t="s">
        <v>19476</v>
      </c>
      <c r="B9804" s="1" t="str">
        <f>"9780471755661"</f>
        <v>9780471755661</v>
      </c>
      <c r="C9804" s="1" t="s">
        <v>11</v>
      </c>
      <c r="D9804" s="2">
        <v>37861</v>
      </c>
      <c r="E9804" s="1" t="s">
        <v>19477</v>
      </c>
      <c r="F9804" s="1" t="s">
        <v>13</v>
      </c>
    </row>
    <row r="9805" spans="1:6" ht="30" customHeight="1" x14ac:dyDescent="0.25">
      <c r="A9805" s="1" t="s">
        <v>19478</v>
      </c>
      <c r="B9805" s="1" t="str">
        <f>"9781118203941"</f>
        <v>9781118203941</v>
      </c>
      <c r="C9805" s="1" t="s">
        <v>19479</v>
      </c>
      <c r="D9805" s="2">
        <v>40829</v>
      </c>
      <c r="E9805" s="1" t="s">
        <v>19480</v>
      </c>
      <c r="F9805" s="1" t="s">
        <v>148</v>
      </c>
    </row>
    <row r="9806" spans="1:6" ht="30" customHeight="1" x14ac:dyDescent="0.25">
      <c r="A9806" s="1" t="s">
        <v>19481</v>
      </c>
      <c r="B9806" s="1" t="str">
        <f>"9780470961575"</f>
        <v>9780470961575</v>
      </c>
      <c r="C9806" s="1" t="s">
        <v>19482</v>
      </c>
      <c r="D9806" s="2">
        <v>40834</v>
      </c>
      <c r="E9806" s="1" t="s">
        <v>19483</v>
      </c>
      <c r="F9806" s="1" t="s">
        <v>2243</v>
      </c>
    </row>
    <row r="9807" spans="1:6" ht="30" customHeight="1" x14ac:dyDescent="0.25">
      <c r="A9807" s="1" t="s">
        <v>19484</v>
      </c>
      <c r="B9807" s="1" t="str">
        <f>"9781118640593"</f>
        <v>9781118640593</v>
      </c>
      <c r="C9807" s="1" t="s">
        <v>11</v>
      </c>
      <c r="D9807" s="2">
        <v>42170</v>
      </c>
      <c r="E9807" s="1" t="s">
        <v>19485</v>
      </c>
      <c r="F9807" s="1" t="s">
        <v>13</v>
      </c>
    </row>
    <row r="9808" spans="1:6" ht="30" customHeight="1" x14ac:dyDescent="0.25">
      <c r="A9808" s="1" t="s">
        <v>19486</v>
      </c>
      <c r="B9808" s="1" t="str">
        <f>"9781482221206"</f>
        <v>9781482221206</v>
      </c>
      <c r="C9808" s="1" t="s">
        <v>99</v>
      </c>
      <c r="D9808" s="2">
        <v>32720</v>
      </c>
      <c r="E9808" s="1" t="s">
        <v>19487</v>
      </c>
      <c r="F9808" s="1" t="s">
        <v>13</v>
      </c>
    </row>
    <row r="9809" spans="1:6" ht="30" customHeight="1" x14ac:dyDescent="0.25">
      <c r="A9809" s="1" t="s">
        <v>19488</v>
      </c>
      <c r="B9809" s="1" t="str">
        <f>"9780203016411"</f>
        <v>9780203016411</v>
      </c>
      <c r="C9809" s="1" t="s">
        <v>172</v>
      </c>
      <c r="D9809" s="2">
        <v>33878</v>
      </c>
      <c r="E9809" s="1" t="s">
        <v>19489</v>
      </c>
      <c r="F9809" s="1" t="s">
        <v>176</v>
      </c>
    </row>
    <row r="9810" spans="1:6" ht="30" customHeight="1" x14ac:dyDescent="0.25">
      <c r="A9810" s="1" t="s">
        <v>19490</v>
      </c>
      <c r="B9810" s="1" t="str">
        <f>"9780203092392"</f>
        <v>9780203092392</v>
      </c>
      <c r="C9810" s="1" t="s">
        <v>172</v>
      </c>
      <c r="D9810" s="2">
        <v>35947</v>
      </c>
      <c r="E9810" s="1" t="s">
        <v>19491</v>
      </c>
      <c r="F9810" s="1" t="s">
        <v>13</v>
      </c>
    </row>
    <row r="9811" spans="1:6" ht="30" customHeight="1" x14ac:dyDescent="0.25">
      <c r="A9811" s="1" t="s">
        <v>19492</v>
      </c>
      <c r="B9811" s="1" t="str">
        <f>"9780203092415"</f>
        <v>9780203092415</v>
      </c>
      <c r="C9811" s="1" t="s">
        <v>172</v>
      </c>
      <c r="D9811" s="2">
        <v>35947</v>
      </c>
      <c r="E9811" s="1" t="s">
        <v>19493</v>
      </c>
      <c r="F9811" s="1" t="s">
        <v>13</v>
      </c>
    </row>
    <row r="9812" spans="1:6" ht="30" customHeight="1" x14ac:dyDescent="0.25">
      <c r="A9812" s="1" t="s">
        <v>19494</v>
      </c>
      <c r="B9812" s="1" t="str">
        <f>"9780415804738"</f>
        <v>9780415804738</v>
      </c>
      <c r="C9812" s="1" t="s">
        <v>172</v>
      </c>
      <c r="D9812" s="2">
        <v>35947</v>
      </c>
      <c r="E9812" s="1" t="s">
        <v>19495</v>
      </c>
      <c r="F9812" s="1" t="s">
        <v>13</v>
      </c>
    </row>
    <row r="9813" spans="1:6" ht="30" customHeight="1" x14ac:dyDescent="0.25">
      <c r="A9813" s="1" t="s">
        <v>19496</v>
      </c>
      <c r="B9813" s="1" t="str">
        <f>"9780203092385"</f>
        <v>9780203092385</v>
      </c>
      <c r="C9813" s="1" t="s">
        <v>172</v>
      </c>
      <c r="D9813" s="2">
        <v>35582</v>
      </c>
      <c r="E9813" s="1" t="s">
        <v>19497</v>
      </c>
      <c r="F9813" s="1" t="s">
        <v>13</v>
      </c>
    </row>
    <row r="9814" spans="1:6" ht="30" customHeight="1" x14ac:dyDescent="0.25">
      <c r="A9814" s="1" t="s">
        <v>19498</v>
      </c>
      <c r="B9814" s="1" t="str">
        <f>"9780203092408"</f>
        <v>9780203092408</v>
      </c>
      <c r="C9814" s="1" t="s">
        <v>172</v>
      </c>
      <c r="D9814" s="2">
        <v>35947</v>
      </c>
      <c r="E9814" s="1" t="s">
        <v>19499</v>
      </c>
      <c r="F9814" s="1" t="s">
        <v>13</v>
      </c>
    </row>
    <row r="9815" spans="1:6" ht="30" customHeight="1" x14ac:dyDescent="0.25">
      <c r="A9815" s="1" t="s">
        <v>19500</v>
      </c>
      <c r="B9815" s="1" t="str">
        <f>"9781482221022"</f>
        <v>9781482221022</v>
      </c>
      <c r="C9815" s="1" t="s">
        <v>172</v>
      </c>
      <c r="D9815" s="2">
        <v>33178</v>
      </c>
      <c r="E9815" s="1" t="s">
        <v>19501</v>
      </c>
      <c r="F9815" s="1" t="s">
        <v>13</v>
      </c>
    </row>
    <row r="9816" spans="1:6" ht="30" customHeight="1" x14ac:dyDescent="0.25">
      <c r="A9816" s="1" t="s">
        <v>19502</v>
      </c>
      <c r="B9816" s="1" t="str">
        <f>"9781482295214"</f>
        <v>9781482295214</v>
      </c>
      <c r="C9816" s="1" t="s">
        <v>99</v>
      </c>
      <c r="D9816" s="2">
        <v>41750</v>
      </c>
      <c r="E9816" s="1" t="s">
        <v>19503</v>
      </c>
      <c r="F9816" s="1" t="s">
        <v>268</v>
      </c>
    </row>
    <row r="9817" spans="1:6" ht="30" customHeight="1" x14ac:dyDescent="0.25">
      <c r="A9817" s="1" t="s">
        <v>19504</v>
      </c>
      <c r="B9817" s="1" t="str">
        <f>"9780203910900"</f>
        <v>9780203910900</v>
      </c>
      <c r="C9817" s="1" t="s">
        <v>19505</v>
      </c>
      <c r="D9817" s="2">
        <v>36312</v>
      </c>
      <c r="E9817" s="1" t="s">
        <v>19506</v>
      </c>
      <c r="F9817" s="1" t="s">
        <v>13</v>
      </c>
    </row>
    <row r="9818" spans="1:6" ht="30" customHeight="1" x14ac:dyDescent="0.25">
      <c r="A9818" s="1" t="s">
        <v>19507</v>
      </c>
      <c r="B9818" s="1" t="str">
        <f>"9780824746544"</f>
        <v>9780824746544</v>
      </c>
      <c r="C9818" s="1" t="s">
        <v>99</v>
      </c>
      <c r="D9818" s="2">
        <v>36609</v>
      </c>
      <c r="E9818" s="1" t="s">
        <v>19508</v>
      </c>
      <c r="F9818" s="1" t="s">
        <v>13</v>
      </c>
    </row>
    <row r="9819" spans="1:6" ht="30" customHeight="1" x14ac:dyDescent="0.25">
      <c r="A9819" s="1" t="s">
        <v>18551</v>
      </c>
      <c r="B9819" s="1" t="str">
        <f>"9780824746452"</f>
        <v>9780824746452</v>
      </c>
      <c r="C9819" s="1" t="s">
        <v>99</v>
      </c>
      <c r="D9819" s="2">
        <v>36586</v>
      </c>
      <c r="E9819" s="1" t="s">
        <v>19509</v>
      </c>
      <c r="F9819" s="1" t="s">
        <v>13</v>
      </c>
    </row>
    <row r="9820" spans="1:6" ht="30" customHeight="1" x14ac:dyDescent="0.25">
      <c r="A9820" s="1" t="s">
        <v>19510</v>
      </c>
      <c r="B9820" s="1" t="str">
        <f>"9780824746308"</f>
        <v>9780824746308</v>
      </c>
      <c r="C9820" s="1" t="s">
        <v>172</v>
      </c>
      <c r="D9820" s="2">
        <v>36100</v>
      </c>
      <c r="E9820" s="1" t="s">
        <v>19511</v>
      </c>
      <c r="F9820" s="1" t="s">
        <v>268</v>
      </c>
    </row>
    <row r="9821" spans="1:6" ht="30" customHeight="1" x14ac:dyDescent="0.25">
      <c r="A9821" s="1" t="s">
        <v>19512</v>
      </c>
      <c r="B9821" s="1" t="str">
        <f>"9780203483701"</f>
        <v>9780203483701</v>
      </c>
      <c r="C9821" s="1" t="s">
        <v>172</v>
      </c>
      <c r="D9821" s="2">
        <v>37510</v>
      </c>
      <c r="E9821" s="1" t="s">
        <v>19513</v>
      </c>
      <c r="F9821" s="1" t="s">
        <v>137</v>
      </c>
    </row>
    <row r="9822" spans="1:6" ht="30" customHeight="1" x14ac:dyDescent="0.25">
      <c r="A9822" s="1" t="s">
        <v>19514</v>
      </c>
      <c r="B9822" s="1" t="str">
        <f>"9780203483114"</f>
        <v>9780203483114</v>
      </c>
      <c r="C9822" s="1" t="s">
        <v>172</v>
      </c>
      <c r="D9822" s="2">
        <v>35827</v>
      </c>
      <c r="E9822" s="1" t="s">
        <v>19515</v>
      </c>
      <c r="F9822" s="1" t="s">
        <v>268</v>
      </c>
    </row>
    <row r="9823" spans="1:6" ht="30" customHeight="1" x14ac:dyDescent="0.25">
      <c r="A9823" s="1" t="s">
        <v>19516</v>
      </c>
      <c r="B9823" s="1" t="str">
        <f>"9781420052947"</f>
        <v>9781420052947</v>
      </c>
      <c r="C9823" s="1" t="s">
        <v>172</v>
      </c>
      <c r="D9823" s="2">
        <v>39569</v>
      </c>
      <c r="E9823" s="1" t="s">
        <v>19517</v>
      </c>
      <c r="F9823" s="1" t="s">
        <v>13</v>
      </c>
    </row>
    <row r="9824" spans="1:6" ht="30" customHeight="1" x14ac:dyDescent="0.25">
      <c r="A9824" s="1" t="s">
        <v>19518</v>
      </c>
      <c r="B9824" s="1" t="str">
        <f>"9781420054682"</f>
        <v>9781420054682</v>
      </c>
      <c r="C9824" s="1" t="s">
        <v>172</v>
      </c>
      <c r="D9824" s="2">
        <v>39508</v>
      </c>
      <c r="E9824" s="1" t="s">
        <v>19519</v>
      </c>
      <c r="F9824" s="1" t="s">
        <v>13</v>
      </c>
    </row>
    <row r="9825" spans="1:6" ht="30" customHeight="1" x14ac:dyDescent="0.25">
      <c r="A9825" s="1" t="s">
        <v>19520</v>
      </c>
      <c r="B9825" s="1" t="str">
        <f>"9781420045260"</f>
        <v>9781420045260</v>
      </c>
      <c r="C9825" s="1" t="s">
        <v>99</v>
      </c>
      <c r="D9825" s="2">
        <v>39596</v>
      </c>
      <c r="E9825" s="1" t="s">
        <v>14034</v>
      </c>
      <c r="F9825" s="1" t="s">
        <v>137</v>
      </c>
    </row>
    <row r="9826" spans="1:6" ht="30" customHeight="1" x14ac:dyDescent="0.25">
      <c r="A9826" s="1" t="s">
        <v>19521</v>
      </c>
      <c r="B9826" s="1" t="str">
        <f>"9780203441053"</f>
        <v>9780203441053</v>
      </c>
      <c r="C9826" s="1" t="s">
        <v>68</v>
      </c>
      <c r="D9826" s="2">
        <v>35643</v>
      </c>
      <c r="E9826" s="1" t="s">
        <v>19522</v>
      </c>
      <c r="F9826" s="1" t="s">
        <v>13</v>
      </c>
    </row>
    <row r="9827" spans="1:6" ht="30" customHeight="1" x14ac:dyDescent="0.25">
      <c r="A9827" s="1" t="s">
        <v>19523</v>
      </c>
      <c r="B9827" s="1" t="str">
        <f>"9780203404379"</f>
        <v>9780203404379</v>
      </c>
      <c r="C9827" s="1" t="s">
        <v>68</v>
      </c>
      <c r="D9827" s="2">
        <v>31673</v>
      </c>
      <c r="E9827" s="1" t="s">
        <v>19524</v>
      </c>
      <c r="F9827" s="1" t="s">
        <v>599</v>
      </c>
    </row>
    <row r="9828" spans="1:6" ht="30" customHeight="1" x14ac:dyDescent="0.25">
      <c r="A9828" s="1" t="s">
        <v>19525</v>
      </c>
      <c r="B9828" s="1" t="str">
        <f>"9780203171943"</f>
        <v>9780203171943</v>
      </c>
      <c r="C9828" s="1" t="s">
        <v>68</v>
      </c>
      <c r="D9828" s="2">
        <v>35339</v>
      </c>
      <c r="E9828" s="1" t="s">
        <v>19526</v>
      </c>
      <c r="F9828" s="1" t="s">
        <v>13</v>
      </c>
    </row>
    <row r="9829" spans="1:6" ht="30" customHeight="1" x14ac:dyDescent="0.25">
      <c r="A9829" s="1" t="s">
        <v>19527</v>
      </c>
      <c r="B9829" s="1" t="str">
        <f>"9780203986059"</f>
        <v>9780203986059</v>
      </c>
      <c r="C9829" s="1" t="s">
        <v>68</v>
      </c>
      <c r="D9829" s="2">
        <v>38568</v>
      </c>
      <c r="E9829" s="1" t="s">
        <v>19528</v>
      </c>
      <c r="F9829" s="1" t="s">
        <v>30</v>
      </c>
    </row>
    <row r="9830" spans="1:6" ht="30" customHeight="1" x14ac:dyDescent="0.25">
      <c r="A9830" s="1" t="s">
        <v>19529</v>
      </c>
      <c r="B9830" s="1" t="str">
        <f>"9780203359624"</f>
        <v>9780203359624</v>
      </c>
      <c r="C9830" s="1" t="s">
        <v>68</v>
      </c>
      <c r="D9830" s="2">
        <v>34242</v>
      </c>
      <c r="E9830" s="1" t="s">
        <v>19530</v>
      </c>
      <c r="F9830" s="1" t="s">
        <v>13</v>
      </c>
    </row>
    <row r="9831" spans="1:6" ht="30" customHeight="1" x14ac:dyDescent="0.25">
      <c r="A9831" s="1" t="s">
        <v>19531</v>
      </c>
      <c r="B9831" s="1" t="str">
        <f>"9781844654215"</f>
        <v>9781844654215</v>
      </c>
      <c r="C9831" s="1" t="s">
        <v>93</v>
      </c>
      <c r="D9831" s="2">
        <v>39680</v>
      </c>
      <c r="E9831" s="1" t="s">
        <v>19532</v>
      </c>
      <c r="F9831" s="1" t="s">
        <v>599</v>
      </c>
    </row>
    <row r="9832" spans="1:6" ht="30" customHeight="1" x14ac:dyDescent="0.25">
      <c r="A9832" s="1" t="s">
        <v>19533</v>
      </c>
      <c r="B9832" s="1" t="str">
        <f>"9781315711843"</f>
        <v>9781315711843</v>
      </c>
      <c r="C9832" s="1" t="s">
        <v>19534</v>
      </c>
      <c r="D9832" s="2">
        <v>39387</v>
      </c>
      <c r="E9832" s="1" t="s">
        <v>15165</v>
      </c>
      <c r="F9832" s="1" t="s">
        <v>13</v>
      </c>
    </row>
    <row r="9833" spans="1:6" ht="30" customHeight="1" x14ac:dyDescent="0.25">
      <c r="A9833" s="1" t="s">
        <v>19535</v>
      </c>
      <c r="B9833" s="1" t="str">
        <f>"9781315711850"</f>
        <v>9781315711850</v>
      </c>
      <c r="C9833" s="1" t="s">
        <v>19534</v>
      </c>
      <c r="D9833" s="2">
        <v>39326</v>
      </c>
      <c r="E9833" s="1" t="s">
        <v>19536</v>
      </c>
      <c r="F9833" s="1" t="s">
        <v>21</v>
      </c>
    </row>
    <row r="9834" spans="1:6" ht="30" customHeight="1" x14ac:dyDescent="0.25">
      <c r="A9834" s="1" t="s">
        <v>19537</v>
      </c>
      <c r="B9834" s="1" t="str">
        <f>"9781618110749"</f>
        <v>9781618110749</v>
      </c>
      <c r="C9834" s="1" t="s">
        <v>19538</v>
      </c>
      <c r="D9834" s="2">
        <v>40909</v>
      </c>
      <c r="E9834" s="1" t="s">
        <v>19539</v>
      </c>
      <c r="F9834" s="1" t="s">
        <v>13</v>
      </c>
    </row>
    <row r="9835" spans="1:6" ht="30" customHeight="1" x14ac:dyDescent="0.25">
      <c r="A9835" s="1" t="s">
        <v>19540</v>
      </c>
      <c r="B9835" s="1" t="str">
        <f>"9781618111050"</f>
        <v>9781618111050</v>
      </c>
      <c r="C9835" s="1" t="s">
        <v>19538</v>
      </c>
      <c r="D9835" s="2">
        <v>41881</v>
      </c>
      <c r="E9835" s="1" t="s">
        <v>19541</v>
      </c>
      <c r="F9835" s="1" t="s">
        <v>291</v>
      </c>
    </row>
    <row r="9836" spans="1:6" ht="30" customHeight="1" x14ac:dyDescent="0.25">
      <c r="A9836" s="1" t="s">
        <v>19542</v>
      </c>
      <c r="B9836" s="1" t="str">
        <f>"9789292547165"</f>
        <v>9789292547165</v>
      </c>
      <c r="C9836" s="1" t="s">
        <v>19543</v>
      </c>
      <c r="D9836" s="2">
        <v>39814</v>
      </c>
      <c r="E9836" s="1" t="s">
        <v>19544</v>
      </c>
      <c r="F9836" s="1" t="s">
        <v>19545</v>
      </c>
    </row>
    <row r="9837" spans="1:6" ht="30" customHeight="1" x14ac:dyDescent="0.25">
      <c r="A9837" s="1" t="s">
        <v>19546</v>
      </c>
      <c r="B9837" s="1" t="str">
        <f>"9789292547172"</f>
        <v>9789292547172</v>
      </c>
      <c r="C9837" s="1" t="s">
        <v>19547</v>
      </c>
      <c r="D9837" s="2">
        <v>39814</v>
      </c>
      <c r="E9837" s="1" t="s">
        <v>19547</v>
      </c>
      <c r="F9837" s="1" t="s">
        <v>19548</v>
      </c>
    </row>
    <row r="9838" spans="1:6" ht="30" customHeight="1" x14ac:dyDescent="0.25">
      <c r="A9838" s="1" t="s">
        <v>19549</v>
      </c>
      <c r="B9838" s="1" t="str">
        <f>"9789292543013"</f>
        <v>9789292543013</v>
      </c>
      <c r="C9838" s="1" t="s">
        <v>19543</v>
      </c>
      <c r="D9838" s="2">
        <v>41275</v>
      </c>
      <c r="E9838" s="1" t="s">
        <v>19550</v>
      </c>
      <c r="F9838" s="1" t="s">
        <v>30</v>
      </c>
    </row>
    <row r="9839" spans="1:6" ht="30" customHeight="1" x14ac:dyDescent="0.25">
      <c r="A9839" s="1" t="s">
        <v>19551</v>
      </c>
      <c r="B9839" s="1" t="str">
        <f>"9789292544454"</f>
        <v>9789292544454</v>
      </c>
      <c r="C9839" s="1" t="s">
        <v>19543</v>
      </c>
      <c r="D9839" s="2">
        <v>41989</v>
      </c>
      <c r="E9839" s="1" t="s">
        <v>19547</v>
      </c>
      <c r="F9839" s="1" t="s">
        <v>95</v>
      </c>
    </row>
    <row r="9840" spans="1:6" ht="30" customHeight="1" x14ac:dyDescent="0.25">
      <c r="A9840" s="1" t="s">
        <v>19552</v>
      </c>
      <c r="B9840" s="1" t="str">
        <f>""</f>
        <v/>
      </c>
      <c r="C9840" s="1" t="s">
        <v>19553</v>
      </c>
      <c r="D9840" s="2">
        <v>39508</v>
      </c>
      <c r="E9840" s="1" t="s">
        <v>19554</v>
      </c>
      <c r="F9840" s="1" t="s">
        <v>30</v>
      </c>
    </row>
    <row r="9841" spans="1:6" ht="30" customHeight="1" x14ac:dyDescent="0.25">
      <c r="A9841" s="1" t="s">
        <v>19555</v>
      </c>
      <c r="B9841" s="1" t="str">
        <f>"9781282030916"</f>
        <v>9781282030916</v>
      </c>
      <c r="C9841" s="1" t="s">
        <v>19553</v>
      </c>
      <c r="D9841" s="2">
        <v>39569</v>
      </c>
      <c r="E9841" s="1" t="s">
        <v>19556</v>
      </c>
      <c r="F9841" s="1" t="s">
        <v>95</v>
      </c>
    </row>
    <row r="9842" spans="1:6" ht="30" customHeight="1" x14ac:dyDescent="0.25">
      <c r="A9842" s="1" t="s">
        <v>19557</v>
      </c>
      <c r="B9842" s="1" t="str">
        <f>""</f>
        <v/>
      </c>
      <c r="C9842" s="1" t="s">
        <v>19553</v>
      </c>
      <c r="D9842" s="2">
        <v>41091</v>
      </c>
      <c r="E9842" s="1" t="s">
        <v>19558</v>
      </c>
      <c r="F9842" s="1" t="s">
        <v>13</v>
      </c>
    </row>
    <row r="9843" spans="1:6" ht="30" customHeight="1" x14ac:dyDescent="0.25">
      <c r="A9843" s="1" t="s">
        <v>19559</v>
      </c>
      <c r="B9843" s="1" t="str">
        <f>""</f>
        <v/>
      </c>
      <c r="C9843" s="1" t="s">
        <v>19553</v>
      </c>
      <c r="D9843" s="2">
        <v>38991</v>
      </c>
      <c r="E9843" s="1" t="s">
        <v>19560</v>
      </c>
      <c r="F9843" s="1" t="s">
        <v>13</v>
      </c>
    </row>
    <row r="9844" spans="1:6" ht="30" customHeight="1" x14ac:dyDescent="0.25">
      <c r="A9844" s="1" t="s">
        <v>19561</v>
      </c>
      <c r="B9844" s="1" t="str">
        <f>""</f>
        <v/>
      </c>
      <c r="C9844" s="1" t="s">
        <v>19553</v>
      </c>
      <c r="D9844" s="2">
        <v>38443</v>
      </c>
      <c r="E9844" s="1" t="s">
        <v>19562</v>
      </c>
      <c r="F9844" s="1" t="s">
        <v>30</v>
      </c>
    </row>
    <row r="9845" spans="1:6" ht="30" customHeight="1" x14ac:dyDescent="0.25">
      <c r="A9845" s="1" t="s">
        <v>19563</v>
      </c>
      <c r="B9845" s="1" t="str">
        <f>""</f>
        <v/>
      </c>
      <c r="C9845" s="1" t="s">
        <v>19553</v>
      </c>
      <c r="D9845" s="2">
        <v>40360</v>
      </c>
      <c r="E9845" s="1" t="s">
        <v>19564</v>
      </c>
      <c r="F9845" s="1" t="s">
        <v>33</v>
      </c>
    </row>
    <row r="9846" spans="1:6" ht="30" customHeight="1" x14ac:dyDescent="0.25">
      <c r="A9846" s="1" t="s">
        <v>19565</v>
      </c>
      <c r="B9846" s="1" t="str">
        <f>""</f>
        <v/>
      </c>
      <c r="C9846" s="1" t="s">
        <v>19566</v>
      </c>
      <c r="D9846" s="2">
        <v>37226</v>
      </c>
      <c r="E9846" s="1" t="s">
        <v>19567</v>
      </c>
      <c r="F9846" s="1" t="s">
        <v>30</v>
      </c>
    </row>
    <row r="9847" spans="1:6" ht="30" customHeight="1" x14ac:dyDescent="0.25">
      <c r="A9847" s="1" t="s">
        <v>19568</v>
      </c>
      <c r="B9847" s="1" t="str">
        <f>"9781936190287"</f>
        <v>9781936190287</v>
      </c>
      <c r="C9847" s="1" t="s">
        <v>19569</v>
      </c>
      <c r="D9847" s="2">
        <v>36526</v>
      </c>
      <c r="E9847" s="1" t="s">
        <v>19570</v>
      </c>
      <c r="F9847" s="1" t="s">
        <v>13</v>
      </c>
    </row>
    <row r="9848" spans="1:6" ht="30" customHeight="1" x14ac:dyDescent="0.25">
      <c r="A9848" s="1" t="s">
        <v>19571</v>
      </c>
      <c r="B9848" s="1" t="str">
        <f>"9781936190164"</f>
        <v>9781936190164</v>
      </c>
      <c r="C9848" s="1" t="s">
        <v>19569</v>
      </c>
      <c r="D9848" s="2">
        <v>36526</v>
      </c>
      <c r="E9848" s="1" t="s">
        <v>19572</v>
      </c>
      <c r="F9848" s="1" t="s">
        <v>158</v>
      </c>
    </row>
    <row r="9849" spans="1:6" ht="30" customHeight="1" x14ac:dyDescent="0.25">
      <c r="A9849" s="1" t="s">
        <v>19573</v>
      </c>
      <c r="B9849" s="1" t="str">
        <f>"9781936481088"</f>
        <v>9781936481088</v>
      </c>
      <c r="C9849" s="1" t="s">
        <v>19569</v>
      </c>
      <c r="D9849" s="2">
        <v>39417</v>
      </c>
      <c r="E9849" s="1" t="s">
        <v>19574</v>
      </c>
      <c r="F9849" s="1" t="s">
        <v>13</v>
      </c>
    </row>
    <row r="9850" spans="1:6" ht="30" customHeight="1" x14ac:dyDescent="0.25">
      <c r="A9850" s="1" t="s">
        <v>19575</v>
      </c>
      <c r="B9850" s="1" t="str">
        <f>""</f>
        <v/>
      </c>
      <c r="C9850" s="1" t="s">
        <v>19576</v>
      </c>
      <c r="D9850" s="2">
        <v>40513</v>
      </c>
      <c r="E9850" s="1" t="s">
        <v>19577</v>
      </c>
      <c r="F9850" s="1" t="s">
        <v>214</v>
      </c>
    </row>
    <row r="9851" spans="1:6" ht="30" customHeight="1" x14ac:dyDescent="0.25">
      <c r="A9851" s="1" t="s">
        <v>19578</v>
      </c>
      <c r="B9851" s="1" t="str">
        <f>"9781585283002"</f>
        <v>9781585283002</v>
      </c>
      <c r="C9851" s="1" t="s">
        <v>19579</v>
      </c>
      <c r="D9851" s="2">
        <v>41773</v>
      </c>
      <c r="E9851" s="1" t="s">
        <v>19580</v>
      </c>
      <c r="F9851" s="1" t="s">
        <v>137</v>
      </c>
    </row>
    <row r="9852" spans="1:6" ht="30" customHeight="1" x14ac:dyDescent="0.25">
      <c r="A9852" s="1" t="s">
        <v>19581</v>
      </c>
      <c r="B9852" s="1" t="str">
        <f>"9781585283323"</f>
        <v>9781585283323</v>
      </c>
      <c r="C9852" s="1" t="s">
        <v>19582</v>
      </c>
      <c r="D9852" s="2">
        <v>40261</v>
      </c>
      <c r="E9852" s="1" t="s">
        <v>19583</v>
      </c>
      <c r="F9852" s="1" t="s">
        <v>137</v>
      </c>
    </row>
    <row r="9853" spans="1:6" ht="30" customHeight="1" x14ac:dyDescent="0.25">
      <c r="A9853" s="1" t="s">
        <v>19584</v>
      </c>
      <c r="B9853" s="1" t="str">
        <f>"9781585283224"</f>
        <v>9781585283224</v>
      </c>
      <c r="C9853" s="1" t="s">
        <v>19582</v>
      </c>
      <c r="D9853" s="2">
        <v>40087</v>
      </c>
      <c r="E9853" s="1" t="s">
        <v>19585</v>
      </c>
      <c r="F9853" s="1" t="s">
        <v>137</v>
      </c>
    </row>
    <row r="9854" spans="1:6" ht="30" customHeight="1" x14ac:dyDescent="0.25">
      <c r="A9854" s="1" t="s">
        <v>19586</v>
      </c>
      <c r="B9854" s="1" t="str">
        <f>"9781585282968"</f>
        <v>9781585282968</v>
      </c>
      <c r="C9854" s="1" t="s">
        <v>19579</v>
      </c>
      <c r="D9854" s="2">
        <v>39995</v>
      </c>
      <c r="E9854" s="1" t="s">
        <v>19587</v>
      </c>
      <c r="F9854" s="1" t="s">
        <v>268</v>
      </c>
    </row>
    <row r="9855" spans="1:6" ht="30" customHeight="1" x14ac:dyDescent="0.25">
      <c r="A9855" s="1" t="s">
        <v>19588</v>
      </c>
      <c r="B9855" s="1" t="str">
        <f>"9781585283729"</f>
        <v>9781585283729</v>
      </c>
      <c r="C9855" s="1" t="s">
        <v>19579</v>
      </c>
      <c r="D9855" s="2">
        <v>41773</v>
      </c>
      <c r="E9855" s="1" t="s">
        <v>19589</v>
      </c>
      <c r="F9855" s="1" t="s">
        <v>268</v>
      </c>
    </row>
    <row r="9856" spans="1:6" ht="30" customHeight="1" x14ac:dyDescent="0.25">
      <c r="A9856" s="1" t="s">
        <v>19590</v>
      </c>
      <c r="B9856" s="1" t="str">
        <f>"9781585282753"</f>
        <v>9781585282753</v>
      </c>
      <c r="C9856" s="1" t="s">
        <v>19579</v>
      </c>
      <c r="D9856" s="2">
        <v>41773</v>
      </c>
      <c r="E9856" s="1" t="s">
        <v>19591</v>
      </c>
      <c r="F9856" s="1" t="s">
        <v>2168</v>
      </c>
    </row>
    <row r="9857" spans="1:6" ht="30" customHeight="1" x14ac:dyDescent="0.25">
      <c r="A9857" s="1" t="s">
        <v>19592</v>
      </c>
      <c r="B9857" s="1" t="str">
        <f>"9781585283590"</f>
        <v>9781585283590</v>
      </c>
      <c r="C9857" s="1" t="s">
        <v>19582</v>
      </c>
      <c r="D9857" s="2">
        <v>41367</v>
      </c>
      <c r="E9857" s="1" t="s">
        <v>19593</v>
      </c>
      <c r="F9857" s="1" t="s">
        <v>268</v>
      </c>
    </row>
    <row r="9858" spans="1:6" ht="30" customHeight="1" x14ac:dyDescent="0.25">
      <c r="A9858" s="1" t="s">
        <v>19594</v>
      </c>
      <c r="B9858" s="1" t="str">
        <f>"9781585282692"</f>
        <v>9781585282692</v>
      </c>
      <c r="C9858" s="1" t="s">
        <v>19579</v>
      </c>
      <c r="D9858" s="2">
        <v>41773</v>
      </c>
      <c r="E9858" s="1" t="s">
        <v>19595</v>
      </c>
      <c r="F9858" s="1" t="s">
        <v>268</v>
      </c>
    </row>
    <row r="9859" spans="1:6" ht="30" customHeight="1" x14ac:dyDescent="0.25">
      <c r="A9859" s="1" t="s">
        <v>19596</v>
      </c>
      <c r="B9859" s="1" t="str">
        <f>"9781585282814"</f>
        <v>9781585282814</v>
      </c>
      <c r="C9859" s="1" t="s">
        <v>19582</v>
      </c>
      <c r="D9859" s="2">
        <v>39743</v>
      </c>
      <c r="E9859" s="1" t="s">
        <v>19597</v>
      </c>
      <c r="F9859" s="1" t="s">
        <v>268</v>
      </c>
    </row>
    <row r="9860" spans="1:6" ht="30" customHeight="1" x14ac:dyDescent="0.25">
      <c r="A9860" s="1" t="s">
        <v>19598</v>
      </c>
      <c r="B9860" s="1" t="str">
        <f>"9781585282852"</f>
        <v>9781585282852</v>
      </c>
      <c r="C9860" s="1" t="s">
        <v>19579</v>
      </c>
      <c r="D9860" s="2">
        <v>41773</v>
      </c>
      <c r="E9860" s="1" t="s">
        <v>19599</v>
      </c>
      <c r="F9860" s="1" t="s">
        <v>4011</v>
      </c>
    </row>
    <row r="9861" spans="1:6" ht="30" customHeight="1" x14ac:dyDescent="0.25">
      <c r="A9861" s="1" t="s">
        <v>19600</v>
      </c>
      <c r="B9861" s="1" t="str">
        <f>"9781585282890"</f>
        <v>9781585282890</v>
      </c>
      <c r="C9861" s="1" t="s">
        <v>19582</v>
      </c>
      <c r="D9861" s="2">
        <v>39989</v>
      </c>
      <c r="E9861" s="1" t="s">
        <v>19601</v>
      </c>
      <c r="F9861" s="1" t="s">
        <v>158</v>
      </c>
    </row>
    <row r="9862" spans="1:6" ht="30" customHeight="1" x14ac:dyDescent="0.25">
      <c r="A9862" s="1" t="s">
        <v>19602</v>
      </c>
      <c r="B9862" s="1" t="str">
        <f>"9781585282913"</f>
        <v>9781585282913</v>
      </c>
      <c r="C9862" s="1" t="s">
        <v>19582</v>
      </c>
      <c r="D9862" s="2">
        <v>40379</v>
      </c>
      <c r="E9862" s="1" t="s">
        <v>19603</v>
      </c>
      <c r="F9862" s="1" t="s">
        <v>1992</v>
      </c>
    </row>
    <row r="9863" spans="1:6" ht="30" customHeight="1" x14ac:dyDescent="0.25">
      <c r="A9863" s="1" t="s">
        <v>19604</v>
      </c>
      <c r="B9863" s="1" t="str">
        <f>"9781585282791"</f>
        <v>9781585282791</v>
      </c>
      <c r="C9863" s="1" t="s">
        <v>19579</v>
      </c>
      <c r="D9863" s="2">
        <v>39173</v>
      </c>
      <c r="E9863" s="1" t="s">
        <v>19605</v>
      </c>
      <c r="F9863" s="1" t="s">
        <v>3261</v>
      </c>
    </row>
    <row r="9864" spans="1:6" ht="30" customHeight="1" x14ac:dyDescent="0.25">
      <c r="A9864" s="1" t="s">
        <v>19606</v>
      </c>
      <c r="B9864" s="1" t="str">
        <f>"9781585283910"</f>
        <v>9781585283910</v>
      </c>
      <c r="C9864" s="1" t="s">
        <v>19582</v>
      </c>
      <c r="D9864" s="2">
        <v>41122</v>
      </c>
      <c r="E9864" s="1" t="s">
        <v>19579</v>
      </c>
      <c r="F9864" s="1" t="s">
        <v>19607</v>
      </c>
    </row>
    <row r="9865" spans="1:6" ht="30" customHeight="1" x14ac:dyDescent="0.25">
      <c r="A9865" s="1" t="s">
        <v>19608</v>
      </c>
      <c r="B9865" s="1" t="str">
        <f>"9781585283200"</f>
        <v>9781585283200</v>
      </c>
      <c r="C9865" s="1" t="s">
        <v>19582</v>
      </c>
      <c r="D9865" s="2">
        <v>40199</v>
      </c>
      <c r="E9865" s="1" t="s">
        <v>19609</v>
      </c>
      <c r="F9865" s="1" t="s">
        <v>13</v>
      </c>
    </row>
    <row r="9866" spans="1:6" ht="30" customHeight="1" x14ac:dyDescent="0.25">
      <c r="A9866" s="1" t="s">
        <v>19610</v>
      </c>
      <c r="B9866" s="1" t="str">
        <f>"9781585283088"</f>
        <v>9781585283088</v>
      </c>
      <c r="C9866" s="1" t="s">
        <v>19579</v>
      </c>
      <c r="D9866" s="2">
        <v>41773</v>
      </c>
      <c r="E9866" s="1" t="s">
        <v>19611</v>
      </c>
      <c r="F9866" s="1" t="s">
        <v>30</v>
      </c>
    </row>
    <row r="9867" spans="1:6" ht="30" customHeight="1" x14ac:dyDescent="0.25">
      <c r="A9867" s="1" t="s">
        <v>19612</v>
      </c>
      <c r="B9867" s="1" t="str">
        <f>"9781585283309"</f>
        <v>9781585283309</v>
      </c>
      <c r="C9867" s="1" t="s">
        <v>19582</v>
      </c>
      <c r="D9867" s="2">
        <v>39845</v>
      </c>
      <c r="E9867" s="1" t="s">
        <v>19613</v>
      </c>
      <c r="F9867" s="1" t="s">
        <v>268</v>
      </c>
    </row>
    <row r="9868" spans="1:6" ht="30" customHeight="1" x14ac:dyDescent="0.25">
      <c r="A9868" s="1" t="s">
        <v>19614</v>
      </c>
      <c r="B9868" s="1" t="str">
        <f>"9781585282982"</f>
        <v>9781585282982</v>
      </c>
      <c r="C9868" s="1" t="s">
        <v>19582</v>
      </c>
      <c r="D9868" s="2">
        <v>40498</v>
      </c>
      <c r="E9868" s="1" t="s">
        <v>19615</v>
      </c>
      <c r="F9868" s="1" t="s">
        <v>268</v>
      </c>
    </row>
    <row r="9869" spans="1:6" ht="30" customHeight="1" x14ac:dyDescent="0.25">
      <c r="A9869" s="1" t="s">
        <v>19616</v>
      </c>
      <c r="B9869" s="1" t="str">
        <f>"9781585283385"</f>
        <v>9781585283385</v>
      </c>
      <c r="C9869" s="1" t="s">
        <v>19582</v>
      </c>
      <c r="D9869" s="2">
        <v>40190</v>
      </c>
      <c r="E9869" s="1" t="s">
        <v>19617</v>
      </c>
      <c r="F9869" s="1" t="s">
        <v>137</v>
      </c>
    </row>
    <row r="9870" spans="1:6" ht="30" customHeight="1" x14ac:dyDescent="0.25">
      <c r="A9870" s="1" t="s">
        <v>19618</v>
      </c>
      <c r="B9870" s="1" t="str">
        <f>"9781585282777"</f>
        <v>9781585282777</v>
      </c>
      <c r="C9870" s="1" t="s">
        <v>19579</v>
      </c>
      <c r="D9870" s="2">
        <v>41773</v>
      </c>
      <c r="E9870" s="1" t="s">
        <v>19619</v>
      </c>
      <c r="F9870" s="1" t="s">
        <v>268</v>
      </c>
    </row>
    <row r="9871" spans="1:6" ht="30" customHeight="1" x14ac:dyDescent="0.25">
      <c r="A9871" s="1" t="s">
        <v>19620</v>
      </c>
      <c r="B9871" s="1" t="str">
        <f>"9781585283125"</f>
        <v>9781585283125</v>
      </c>
      <c r="C9871" s="1" t="s">
        <v>19582</v>
      </c>
      <c r="D9871" s="2">
        <v>39559</v>
      </c>
      <c r="E9871" s="1" t="s">
        <v>19621</v>
      </c>
      <c r="F9871" s="1" t="s">
        <v>30</v>
      </c>
    </row>
    <row r="9872" spans="1:6" ht="30" customHeight="1" x14ac:dyDescent="0.25">
      <c r="A9872" s="1" t="s">
        <v>19622</v>
      </c>
      <c r="B9872" s="1" t="str">
        <f>"9781585283026"</f>
        <v>9781585283026</v>
      </c>
      <c r="C9872" s="1" t="s">
        <v>19582</v>
      </c>
      <c r="D9872" s="2">
        <v>40273</v>
      </c>
      <c r="E9872" s="1" t="s">
        <v>19623</v>
      </c>
      <c r="F9872" s="1" t="s">
        <v>30</v>
      </c>
    </row>
    <row r="9873" spans="1:6" ht="30" customHeight="1" x14ac:dyDescent="0.25">
      <c r="A9873" s="1" t="s">
        <v>19624</v>
      </c>
      <c r="B9873" s="1" t="str">
        <f>"9781585283064"</f>
        <v>9781585283064</v>
      </c>
      <c r="C9873" s="1" t="s">
        <v>19582</v>
      </c>
      <c r="D9873" s="2">
        <v>40431</v>
      </c>
      <c r="E9873" s="1" t="s">
        <v>19625</v>
      </c>
      <c r="F9873" s="1" t="s">
        <v>137</v>
      </c>
    </row>
    <row r="9874" spans="1:6" ht="30" customHeight="1" x14ac:dyDescent="0.25">
      <c r="A9874" s="1" t="s">
        <v>19626</v>
      </c>
      <c r="B9874" s="1" t="str">
        <f>"9781585284092"</f>
        <v>9781585284092</v>
      </c>
      <c r="C9874" s="1" t="s">
        <v>19582</v>
      </c>
      <c r="D9874" s="2">
        <v>39743</v>
      </c>
      <c r="E9874" s="1" t="s">
        <v>19627</v>
      </c>
      <c r="F9874" s="1" t="s">
        <v>137</v>
      </c>
    </row>
    <row r="9875" spans="1:6" ht="30" customHeight="1" x14ac:dyDescent="0.25">
      <c r="A9875" s="1" t="s">
        <v>19628</v>
      </c>
      <c r="B9875" s="1" t="str">
        <f>"9781585284139"</f>
        <v>9781585284139</v>
      </c>
      <c r="C9875" s="1" t="s">
        <v>19579</v>
      </c>
      <c r="D9875" s="2">
        <v>41773</v>
      </c>
      <c r="E9875" s="1" t="s">
        <v>19629</v>
      </c>
      <c r="F9875" s="1" t="s">
        <v>19630</v>
      </c>
    </row>
    <row r="9876" spans="1:6" ht="30" customHeight="1" x14ac:dyDescent="0.25">
      <c r="A9876" s="1" t="s">
        <v>19631</v>
      </c>
      <c r="B9876" s="1" t="str">
        <f>"9781585284054"</f>
        <v>9781585284054</v>
      </c>
      <c r="C9876" s="1" t="s">
        <v>19582</v>
      </c>
      <c r="D9876" s="2">
        <v>38518</v>
      </c>
      <c r="E9876" s="1" t="s">
        <v>19632</v>
      </c>
      <c r="F9876" s="1" t="s">
        <v>148</v>
      </c>
    </row>
    <row r="9877" spans="1:6" ht="30" customHeight="1" x14ac:dyDescent="0.25">
      <c r="A9877" s="1" t="s">
        <v>19633</v>
      </c>
      <c r="B9877" s="1" t="str">
        <f>"9781585283941"</f>
        <v>9781585283941</v>
      </c>
      <c r="C9877" s="1" t="s">
        <v>19582</v>
      </c>
      <c r="D9877" s="2">
        <v>41543</v>
      </c>
      <c r="E9877" s="1" t="s">
        <v>19634</v>
      </c>
      <c r="F9877" s="1" t="s">
        <v>268</v>
      </c>
    </row>
    <row r="9878" spans="1:6" ht="30" customHeight="1" x14ac:dyDescent="0.25">
      <c r="A9878" s="1" t="s">
        <v>19635</v>
      </c>
      <c r="B9878" s="1" t="str">
        <f>"9781585283880"</f>
        <v>9781585283880</v>
      </c>
      <c r="C9878" s="1" t="s">
        <v>19579</v>
      </c>
      <c r="D9878" s="2">
        <v>41703</v>
      </c>
      <c r="E9878" s="1" t="s">
        <v>19636</v>
      </c>
      <c r="F9878" s="1" t="s">
        <v>137</v>
      </c>
    </row>
    <row r="9879" spans="1:6" ht="30" customHeight="1" x14ac:dyDescent="0.25">
      <c r="A9879" s="1" t="s">
        <v>19637</v>
      </c>
      <c r="B9879" s="1" t="str">
        <f>"9781585284009"</f>
        <v>9781585284009</v>
      </c>
      <c r="C9879" s="1" t="s">
        <v>19579</v>
      </c>
      <c r="D9879" s="2">
        <v>41748</v>
      </c>
      <c r="E9879" s="1" t="s">
        <v>19638</v>
      </c>
      <c r="F9879" s="1" t="s">
        <v>137</v>
      </c>
    </row>
    <row r="9880" spans="1:6" ht="30" customHeight="1" x14ac:dyDescent="0.25">
      <c r="A9880" s="1" t="s">
        <v>19639</v>
      </c>
      <c r="B9880" s="1" t="str">
        <f>"9781585284269"</f>
        <v>9781585284269</v>
      </c>
      <c r="C9880" s="1" t="s">
        <v>19579</v>
      </c>
      <c r="D9880" s="2">
        <v>41953</v>
      </c>
      <c r="E9880" s="1" t="s">
        <v>19640</v>
      </c>
      <c r="F9880" s="1" t="s">
        <v>268</v>
      </c>
    </row>
    <row r="9881" spans="1:6" ht="30" customHeight="1" x14ac:dyDescent="0.25">
      <c r="A9881" s="1" t="s">
        <v>19641</v>
      </c>
      <c r="B9881" s="1" t="str">
        <f>"9781585284030"</f>
        <v>9781585284030</v>
      </c>
      <c r="C9881" s="1" t="s">
        <v>19579</v>
      </c>
      <c r="D9881" s="2">
        <v>42034</v>
      </c>
      <c r="E9881" s="1" t="s">
        <v>19642</v>
      </c>
      <c r="F9881" s="1" t="s">
        <v>95</v>
      </c>
    </row>
    <row r="9882" spans="1:6" ht="30" customHeight="1" x14ac:dyDescent="0.25">
      <c r="A9882" s="1" t="s">
        <v>19643</v>
      </c>
      <c r="B9882" s="1" t="str">
        <f>"9781585284658"</f>
        <v>9781585284658</v>
      </c>
      <c r="C9882" s="1" t="s">
        <v>19582</v>
      </c>
      <c r="D9882" s="2">
        <v>42125</v>
      </c>
      <c r="E9882" s="1" t="s">
        <v>19644</v>
      </c>
      <c r="F9882" s="1" t="s">
        <v>137</v>
      </c>
    </row>
    <row r="9883" spans="1:6" ht="30" customHeight="1" x14ac:dyDescent="0.25">
      <c r="A9883" s="1" t="s">
        <v>19645</v>
      </c>
      <c r="B9883" s="1" t="str">
        <f>"9781585284740"</f>
        <v>9781585284740</v>
      </c>
      <c r="C9883" s="1" t="s">
        <v>19579</v>
      </c>
      <c r="D9883" s="2">
        <v>42154</v>
      </c>
      <c r="E9883" s="1" t="s">
        <v>19646</v>
      </c>
      <c r="F9883" s="1" t="s">
        <v>268</v>
      </c>
    </row>
    <row r="9884" spans="1:6" ht="30" customHeight="1" x14ac:dyDescent="0.25">
      <c r="A9884" s="1" t="s">
        <v>19647</v>
      </c>
      <c r="B9884" s="1" t="str">
        <f>""</f>
        <v/>
      </c>
      <c r="C9884" s="1" t="s">
        <v>19648</v>
      </c>
      <c r="D9884" s="2">
        <v>40848</v>
      </c>
      <c r="E9884" s="1" t="s">
        <v>19649</v>
      </c>
      <c r="F9884" s="1" t="s">
        <v>6786</v>
      </c>
    </row>
    <row r="9885" spans="1:6" ht="30" customHeight="1" x14ac:dyDescent="0.25">
      <c r="A9885" s="1" t="s">
        <v>19650</v>
      </c>
      <c r="B9885" s="1" t="str">
        <f>""</f>
        <v/>
      </c>
      <c r="C9885" s="1" t="s">
        <v>19648</v>
      </c>
      <c r="D9885" s="2">
        <v>39083</v>
      </c>
      <c r="E9885" s="1" t="s">
        <v>19651</v>
      </c>
      <c r="F9885" s="1" t="s">
        <v>13</v>
      </c>
    </row>
    <row r="9886" spans="1:6" ht="30" customHeight="1" x14ac:dyDescent="0.25">
      <c r="A9886" s="1" t="s">
        <v>19652</v>
      </c>
      <c r="B9886" s="1" t="str">
        <f>""</f>
        <v/>
      </c>
      <c r="C9886" s="1" t="s">
        <v>19648</v>
      </c>
      <c r="D9886" s="2">
        <v>41244</v>
      </c>
      <c r="E9886" s="1" t="s">
        <v>19653</v>
      </c>
      <c r="F9886" s="1" t="s">
        <v>13</v>
      </c>
    </row>
    <row r="9887" spans="1:6" ht="30" customHeight="1" x14ac:dyDescent="0.25">
      <c r="A9887" s="1" t="s">
        <v>19654</v>
      </c>
      <c r="B9887" s="1" t="str">
        <f>""</f>
        <v/>
      </c>
      <c r="C9887" s="1" t="s">
        <v>19648</v>
      </c>
      <c r="D9887" s="2">
        <v>39083</v>
      </c>
      <c r="E9887" s="1" t="s">
        <v>19655</v>
      </c>
      <c r="F9887" s="1" t="s">
        <v>13</v>
      </c>
    </row>
    <row r="9888" spans="1:6" ht="30" customHeight="1" x14ac:dyDescent="0.25">
      <c r="A9888" s="1" t="s">
        <v>19656</v>
      </c>
      <c r="B9888" s="1" t="str">
        <f>""</f>
        <v/>
      </c>
      <c r="C9888" s="1" t="s">
        <v>19648</v>
      </c>
      <c r="D9888" s="2">
        <v>40299</v>
      </c>
      <c r="E9888" s="1" t="s">
        <v>19657</v>
      </c>
      <c r="F9888" s="1" t="s">
        <v>13</v>
      </c>
    </row>
    <row r="9889" spans="1:6" ht="30" customHeight="1" x14ac:dyDescent="0.25">
      <c r="A9889" s="1" t="s">
        <v>19658</v>
      </c>
      <c r="B9889" s="1" t="str">
        <f>""</f>
        <v/>
      </c>
      <c r="C9889" s="1" t="s">
        <v>19648</v>
      </c>
      <c r="D9889" s="2">
        <v>39873</v>
      </c>
      <c r="E9889" s="1" t="s">
        <v>19659</v>
      </c>
      <c r="F9889" s="1" t="s">
        <v>30</v>
      </c>
    </row>
    <row r="9890" spans="1:6" ht="30" customHeight="1" x14ac:dyDescent="0.25">
      <c r="A9890" s="1" t="s">
        <v>19660</v>
      </c>
      <c r="B9890" s="1" t="str">
        <f>""</f>
        <v/>
      </c>
      <c r="C9890" s="1" t="s">
        <v>19648</v>
      </c>
      <c r="D9890" s="2">
        <v>40909</v>
      </c>
      <c r="E9890" s="1" t="s">
        <v>19661</v>
      </c>
      <c r="F9890" s="1" t="s">
        <v>95</v>
      </c>
    </row>
    <row r="9891" spans="1:6" ht="30" customHeight="1" x14ac:dyDescent="0.25">
      <c r="A9891" s="1" t="s">
        <v>19662</v>
      </c>
      <c r="B9891" s="1" t="str">
        <f>"9780838643389"</f>
        <v>9780838643389</v>
      </c>
      <c r="C9891" s="1" t="s">
        <v>19663</v>
      </c>
      <c r="D9891" s="2">
        <v>39995</v>
      </c>
      <c r="E9891" s="1" t="s">
        <v>19664</v>
      </c>
      <c r="F9891" s="1" t="s">
        <v>30</v>
      </c>
    </row>
    <row r="9892" spans="1:6" ht="30" customHeight="1" x14ac:dyDescent="0.25">
      <c r="A9892" s="1" t="s">
        <v>19665</v>
      </c>
      <c r="B9892" s="1" t="str">
        <f>"9780845346051"</f>
        <v>9780845346051</v>
      </c>
      <c r="C9892" s="1" t="s">
        <v>10271</v>
      </c>
      <c r="D9892" s="2">
        <v>37195</v>
      </c>
      <c r="E9892" s="1" t="s">
        <v>19666</v>
      </c>
      <c r="F9892" s="1" t="s">
        <v>13</v>
      </c>
    </row>
    <row r="9893" spans="1:6" ht="30" customHeight="1" x14ac:dyDescent="0.25">
      <c r="A9893" s="1" t="s">
        <v>19667</v>
      </c>
      <c r="B9893" s="1" t="str">
        <f>"9781613000250"</f>
        <v>9781613000250</v>
      </c>
      <c r="C9893" s="1" t="s">
        <v>19668</v>
      </c>
      <c r="D9893" s="2">
        <v>38687</v>
      </c>
      <c r="E9893" s="1" t="s">
        <v>19669</v>
      </c>
      <c r="F9893" s="1" t="s">
        <v>19548</v>
      </c>
    </row>
    <row r="9894" spans="1:6" ht="30" customHeight="1" x14ac:dyDescent="0.25">
      <c r="A9894" s="1" t="s">
        <v>19670</v>
      </c>
      <c r="B9894" s="1" t="str">
        <f>""</f>
        <v/>
      </c>
      <c r="C9894" s="1" t="s">
        <v>19671</v>
      </c>
      <c r="D9894" s="2">
        <v>34060</v>
      </c>
      <c r="E9894" s="1" t="s">
        <v>19672</v>
      </c>
      <c r="F9894" s="1" t="s">
        <v>538</v>
      </c>
    </row>
    <row r="9895" spans="1:6" ht="30" customHeight="1" x14ac:dyDescent="0.25">
      <c r="A9895" s="1" t="s">
        <v>19673</v>
      </c>
      <c r="B9895" s="1" t="str">
        <f>"9781937440251"</f>
        <v>9781937440251</v>
      </c>
      <c r="C9895" s="1" t="s">
        <v>19674</v>
      </c>
      <c r="D9895" s="2">
        <v>40909</v>
      </c>
      <c r="E9895" s="1" t="s">
        <v>19675</v>
      </c>
      <c r="F9895" s="1" t="s">
        <v>13</v>
      </c>
    </row>
    <row r="9896" spans="1:6" ht="30" customHeight="1" x14ac:dyDescent="0.25">
      <c r="A9896" s="1" t="s">
        <v>19676</v>
      </c>
      <c r="B9896" s="1" t="str">
        <f>"9781937440282"</f>
        <v>9781937440282</v>
      </c>
      <c r="C9896" s="1" t="s">
        <v>19674</v>
      </c>
      <c r="D9896" s="2">
        <v>40909</v>
      </c>
      <c r="E9896" s="1" t="s">
        <v>19675</v>
      </c>
      <c r="F9896" s="1" t="s">
        <v>13</v>
      </c>
    </row>
    <row r="9897" spans="1:6" ht="30" customHeight="1" x14ac:dyDescent="0.25">
      <c r="A9897" s="1" t="s">
        <v>19677</v>
      </c>
      <c r="B9897" s="1" t="str">
        <f>"9781937440220"</f>
        <v>9781937440220</v>
      </c>
      <c r="C9897" s="1" t="s">
        <v>19674</v>
      </c>
      <c r="D9897" s="2">
        <v>40878</v>
      </c>
      <c r="E9897" s="1" t="s">
        <v>19675</v>
      </c>
      <c r="F9897" s="1" t="s">
        <v>13</v>
      </c>
    </row>
    <row r="9898" spans="1:6" ht="30" customHeight="1" x14ac:dyDescent="0.25">
      <c r="A9898" s="1" t="s">
        <v>19678</v>
      </c>
      <c r="B9898" s="1" t="str">
        <f>"9781937440169"</f>
        <v>9781937440169</v>
      </c>
      <c r="C9898" s="1" t="s">
        <v>19674</v>
      </c>
      <c r="D9898" s="2">
        <v>40909</v>
      </c>
      <c r="E9898" s="1" t="s">
        <v>19675</v>
      </c>
      <c r="F9898" s="1" t="s">
        <v>13</v>
      </c>
    </row>
    <row r="9899" spans="1:6" ht="30" customHeight="1" x14ac:dyDescent="0.25">
      <c r="A9899" s="1" t="s">
        <v>19679</v>
      </c>
      <c r="B9899" s="1" t="str">
        <f>"9781937440176"</f>
        <v>9781937440176</v>
      </c>
      <c r="C9899" s="1" t="s">
        <v>19674</v>
      </c>
      <c r="D9899" s="2">
        <v>40909</v>
      </c>
      <c r="E9899" s="1" t="s">
        <v>19675</v>
      </c>
      <c r="F9899" s="1" t="s">
        <v>13</v>
      </c>
    </row>
    <row r="9900" spans="1:6" ht="30" customHeight="1" x14ac:dyDescent="0.25">
      <c r="A9900" s="1" t="s">
        <v>19680</v>
      </c>
      <c r="B9900" s="1" t="str">
        <f>"9781937440206"</f>
        <v>9781937440206</v>
      </c>
      <c r="C9900" s="1" t="s">
        <v>19674</v>
      </c>
      <c r="D9900" s="2">
        <v>40909</v>
      </c>
      <c r="E9900" s="1" t="s">
        <v>19675</v>
      </c>
      <c r="F9900" s="1" t="s">
        <v>13</v>
      </c>
    </row>
    <row r="9901" spans="1:6" ht="30" customHeight="1" x14ac:dyDescent="0.25">
      <c r="A9901" s="1" t="s">
        <v>19681</v>
      </c>
      <c r="B9901" s="1" t="str">
        <f>"9781937440299"</f>
        <v>9781937440299</v>
      </c>
      <c r="C9901" s="1" t="s">
        <v>19674</v>
      </c>
      <c r="D9901" s="2">
        <v>40909</v>
      </c>
      <c r="E9901" s="1" t="s">
        <v>19675</v>
      </c>
      <c r="F9901" s="1" t="s">
        <v>13</v>
      </c>
    </row>
    <row r="9902" spans="1:6" ht="30" customHeight="1" x14ac:dyDescent="0.25">
      <c r="A9902" s="1" t="s">
        <v>19682</v>
      </c>
      <c r="B9902" s="1" t="str">
        <f>"9781937440237"</f>
        <v>9781937440237</v>
      </c>
      <c r="C9902" s="1" t="s">
        <v>19674</v>
      </c>
      <c r="D9902" s="2">
        <v>40909</v>
      </c>
      <c r="E9902" s="1" t="s">
        <v>19675</v>
      </c>
      <c r="F9902" s="1" t="s">
        <v>176</v>
      </c>
    </row>
    <row r="9903" spans="1:6" ht="30" customHeight="1" x14ac:dyDescent="0.25">
      <c r="A9903" s="1" t="s">
        <v>19683</v>
      </c>
      <c r="B9903" s="1" t="str">
        <f>"9781937440329"</f>
        <v>9781937440329</v>
      </c>
      <c r="C9903" s="1" t="s">
        <v>19674</v>
      </c>
      <c r="D9903" s="2">
        <v>40909</v>
      </c>
      <c r="E9903" s="1" t="s">
        <v>19675</v>
      </c>
      <c r="F9903" s="1" t="s">
        <v>13</v>
      </c>
    </row>
    <row r="9904" spans="1:6" ht="30" customHeight="1" x14ac:dyDescent="0.25">
      <c r="A9904" s="1" t="s">
        <v>19684</v>
      </c>
      <c r="B9904" s="1" t="str">
        <f>"9781937440275"</f>
        <v>9781937440275</v>
      </c>
      <c r="C9904" s="1" t="s">
        <v>19674</v>
      </c>
      <c r="D9904" s="2">
        <v>40909</v>
      </c>
      <c r="E9904" s="1" t="s">
        <v>19675</v>
      </c>
      <c r="F9904" s="1" t="s">
        <v>13</v>
      </c>
    </row>
    <row r="9905" spans="1:6" ht="30" customHeight="1" x14ac:dyDescent="0.25">
      <c r="A9905" s="1" t="s">
        <v>19685</v>
      </c>
      <c r="B9905" s="1" t="str">
        <f>"9781937440213"</f>
        <v>9781937440213</v>
      </c>
      <c r="C9905" s="1" t="s">
        <v>19674</v>
      </c>
      <c r="D9905" s="2">
        <v>40909</v>
      </c>
      <c r="E9905" s="1" t="s">
        <v>19675</v>
      </c>
      <c r="F9905" s="1" t="s">
        <v>13</v>
      </c>
    </row>
    <row r="9906" spans="1:6" ht="30" customHeight="1" x14ac:dyDescent="0.25">
      <c r="A9906" s="1" t="s">
        <v>19686</v>
      </c>
      <c r="B9906" s="1" t="str">
        <f>"9781937440244"</f>
        <v>9781937440244</v>
      </c>
      <c r="C9906" s="1" t="s">
        <v>19674</v>
      </c>
      <c r="D9906" s="2">
        <v>40909</v>
      </c>
      <c r="E9906" s="1" t="s">
        <v>19675</v>
      </c>
      <c r="F9906" s="1" t="s">
        <v>13</v>
      </c>
    </row>
    <row r="9907" spans="1:6" ht="30" customHeight="1" x14ac:dyDescent="0.25">
      <c r="A9907" s="1" t="s">
        <v>19687</v>
      </c>
      <c r="B9907" s="1" t="str">
        <f>"9781937440305"</f>
        <v>9781937440305</v>
      </c>
      <c r="C9907" s="1" t="s">
        <v>19674</v>
      </c>
      <c r="D9907" s="2">
        <v>40909</v>
      </c>
      <c r="E9907" s="1" t="s">
        <v>19675</v>
      </c>
      <c r="F9907" s="1" t="s">
        <v>13</v>
      </c>
    </row>
    <row r="9908" spans="1:6" ht="30" customHeight="1" x14ac:dyDescent="0.25">
      <c r="A9908" s="1" t="s">
        <v>19688</v>
      </c>
      <c r="B9908" s="1" t="str">
        <f>"9781438083827"</f>
        <v>9781438083827</v>
      </c>
      <c r="C9908" s="1" t="s">
        <v>19689</v>
      </c>
      <c r="D9908" s="2">
        <v>41214</v>
      </c>
      <c r="E9908" s="1" t="s">
        <v>19690</v>
      </c>
      <c r="F9908" s="1" t="s">
        <v>13</v>
      </c>
    </row>
    <row r="9909" spans="1:6" ht="30" customHeight="1" x14ac:dyDescent="0.25">
      <c r="A9909" s="1" t="s">
        <v>19691</v>
      </c>
      <c r="B9909" s="1" t="str">
        <f>"9781438067001"</f>
        <v>9781438067001</v>
      </c>
      <c r="C9909" s="1" t="s">
        <v>19689</v>
      </c>
      <c r="D9909" s="2">
        <v>41821</v>
      </c>
      <c r="E9909" s="1" t="s">
        <v>19692</v>
      </c>
      <c r="F9909" s="1" t="s">
        <v>137</v>
      </c>
    </row>
    <row r="9910" spans="1:6" ht="30" customHeight="1" x14ac:dyDescent="0.25">
      <c r="A9910" s="1" t="s">
        <v>19693</v>
      </c>
      <c r="B9910" s="1" t="str">
        <f>"9780895034830"</f>
        <v>9780895034830</v>
      </c>
      <c r="C9910" s="1" t="s">
        <v>19694</v>
      </c>
      <c r="D9910" s="2">
        <v>36892</v>
      </c>
      <c r="E9910" s="1" t="s">
        <v>19695</v>
      </c>
      <c r="F9910" s="1" t="s">
        <v>13</v>
      </c>
    </row>
    <row r="9911" spans="1:6" ht="30" customHeight="1" x14ac:dyDescent="0.25">
      <c r="A9911" s="1" t="s">
        <v>19696</v>
      </c>
      <c r="B9911" s="1" t="str">
        <f>"9780895034687"</f>
        <v>9780895034687</v>
      </c>
      <c r="C9911" s="1" t="s">
        <v>19694</v>
      </c>
      <c r="D9911" s="2">
        <v>40909</v>
      </c>
      <c r="E9911" s="1" t="s">
        <v>19697</v>
      </c>
      <c r="F9911" s="1" t="s">
        <v>95</v>
      </c>
    </row>
    <row r="9912" spans="1:6" ht="30" customHeight="1" x14ac:dyDescent="0.25">
      <c r="A9912" s="1" t="s">
        <v>19698</v>
      </c>
      <c r="B9912" s="1" t="str">
        <f>"9780895034069"</f>
        <v>9780895034069</v>
      </c>
      <c r="C9912" s="1" t="s">
        <v>19694</v>
      </c>
      <c r="D9912" s="2">
        <v>40544</v>
      </c>
      <c r="E9912" s="1" t="s">
        <v>19699</v>
      </c>
      <c r="F9912" s="1" t="s">
        <v>95</v>
      </c>
    </row>
    <row r="9913" spans="1:6" ht="30" customHeight="1" x14ac:dyDescent="0.25">
      <c r="A9913" s="1" t="s">
        <v>19700</v>
      </c>
      <c r="B9913" s="1" t="str">
        <f>"9780895037336"</f>
        <v>9780895037336</v>
      </c>
      <c r="C9913" s="1" t="s">
        <v>68</v>
      </c>
      <c r="D9913" s="2">
        <v>40009</v>
      </c>
      <c r="E9913" s="1" t="s">
        <v>19701</v>
      </c>
      <c r="F9913" s="1" t="s">
        <v>13</v>
      </c>
    </row>
    <row r="9914" spans="1:6" ht="30" customHeight="1" x14ac:dyDescent="0.25">
      <c r="A9914" s="1" t="s">
        <v>19702</v>
      </c>
      <c r="B9914" s="1" t="str">
        <f>"9780895034724"</f>
        <v>9780895034724</v>
      </c>
      <c r="C9914" s="1" t="s">
        <v>19694</v>
      </c>
      <c r="D9914" s="2">
        <v>40848</v>
      </c>
      <c r="E9914" s="1" t="s">
        <v>19703</v>
      </c>
      <c r="F9914" s="1" t="s">
        <v>13</v>
      </c>
    </row>
    <row r="9915" spans="1:6" ht="30" customHeight="1" x14ac:dyDescent="0.25">
      <c r="A9915" s="1" t="s">
        <v>19704</v>
      </c>
      <c r="B9915" s="1" t="str">
        <f>"9780895038814"</f>
        <v>9780895038814</v>
      </c>
      <c r="C9915" s="1" t="s">
        <v>68</v>
      </c>
      <c r="D9915" s="2">
        <v>41973</v>
      </c>
      <c r="E9915" s="1" t="s">
        <v>19705</v>
      </c>
      <c r="F9915" s="1" t="s">
        <v>30</v>
      </c>
    </row>
    <row r="9916" spans="1:6" ht="30" customHeight="1" x14ac:dyDescent="0.25">
      <c r="A9916" s="1" t="s">
        <v>19706</v>
      </c>
      <c r="B9916" s="1" t="str">
        <f>"9780807028100"</f>
        <v>9780807028100</v>
      </c>
      <c r="C9916" s="1" t="s">
        <v>19707</v>
      </c>
      <c r="D9916" s="2">
        <v>36994</v>
      </c>
      <c r="E9916" s="1" t="s">
        <v>19708</v>
      </c>
      <c r="F9916" s="1" t="s">
        <v>176</v>
      </c>
    </row>
    <row r="9917" spans="1:6" ht="30" customHeight="1" x14ac:dyDescent="0.25">
      <c r="A9917" s="1" t="s">
        <v>19709</v>
      </c>
      <c r="B9917" s="1" t="str">
        <f>"9780807072493"</f>
        <v>9780807072493</v>
      </c>
      <c r="C9917" s="1" t="s">
        <v>19707</v>
      </c>
      <c r="D9917" s="2">
        <v>37591</v>
      </c>
      <c r="E9917" s="1" t="s">
        <v>19710</v>
      </c>
      <c r="F9917" s="1" t="s">
        <v>13</v>
      </c>
    </row>
    <row r="9918" spans="1:6" ht="30" customHeight="1" x14ac:dyDescent="0.25">
      <c r="A9918" s="1" t="s">
        <v>19711</v>
      </c>
      <c r="B9918" s="1" t="str">
        <f>"9780807096840"</f>
        <v>9780807096840</v>
      </c>
      <c r="C9918" s="1" t="s">
        <v>19707</v>
      </c>
      <c r="D9918" s="2">
        <v>39722</v>
      </c>
      <c r="E9918" s="1" t="s">
        <v>19712</v>
      </c>
      <c r="F9918" s="1" t="s">
        <v>13</v>
      </c>
    </row>
    <row r="9919" spans="1:6" ht="30" customHeight="1" x14ac:dyDescent="0.25">
      <c r="A9919" s="1" t="s">
        <v>19713</v>
      </c>
      <c r="B9919" s="1" t="str">
        <f>"9780807097595"</f>
        <v>9780807097595</v>
      </c>
      <c r="C9919" s="1" t="s">
        <v>19707</v>
      </c>
      <c r="D9919" s="2">
        <v>40148</v>
      </c>
      <c r="E9919" s="1" t="s">
        <v>19714</v>
      </c>
      <c r="F9919" s="1" t="s">
        <v>126</v>
      </c>
    </row>
    <row r="9920" spans="1:6" ht="30" customHeight="1" x14ac:dyDescent="0.25">
      <c r="A9920" s="1" t="s">
        <v>19715</v>
      </c>
      <c r="B9920" s="1" t="str">
        <f>"9780807035030"</f>
        <v>9780807035030</v>
      </c>
      <c r="C9920" s="1" t="s">
        <v>19707</v>
      </c>
      <c r="D9920" s="2">
        <v>40179</v>
      </c>
      <c r="E9920" s="1" t="s">
        <v>19716</v>
      </c>
      <c r="F9920" s="1" t="s">
        <v>30</v>
      </c>
    </row>
    <row r="9921" spans="1:6" ht="30" customHeight="1" x14ac:dyDescent="0.25">
      <c r="A9921" s="1" t="s">
        <v>19717</v>
      </c>
      <c r="B9921" s="1" t="str">
        <f>"9780807085936"</f>
        <v>9780807085936</v>
      </c>
      <c r="C9921" s="1" t="s">
        <v>19707</v>
      </c>
      <c r="D9921" s="2">
        <v>40179</v>
      </c>
      <c r="E9921" s="1" t="s">
        <v>19718</v>
      </c>
      <c r="F9921" s="1" t="s">
        <v>148</v>
      </c>
    </row>
    <row r="9922" spans="1:6" ht="30" customHeight="1" x14ac:dyDescent="0.25">
      <c r="A9922" s="1" t="s">
        <v>19719</v>
      </c>
      <c r="B9922" s="1" t="str">
        <f>"9780807073216"</f>
        <v>9780807073216</v>
      </c>
      <c r="C9922" s="1" t="s">
        <v>19707</v>
      </c>
      <c r="D9922" s="2">
        <v>40179</v>
      </c>
      <c r="E9922" s="1" t="s">
        <v>19720</v>
      </c>
      <c r="F9922" s="1" t="s">
        <v>13</v>
      </c>
    </row>
    <row r="9923" spans="1:6" ht="30" customHeight="1" x14ac:dyDescent="0.25">
      <c r="A9923" s="1" t="s">
        <v>19721</v>
      </c>
      <c r="B9923" s="1" t="str">
        <f>"9780807097755"</f>
        <v>9780807097755</v>
      </c>
      <c r="C9923" s="1" t="s">
        <v>19707</v>
      </c>
      <c r="D9923" s="2">
        <v>40269</v>
      </c>
      <c r="E9923" s="1" t="s">
        <v>19722</v>
      </c>
      <c r="F9923" s="1" t="s">
        <v>158</v>
      </c>
    </row>
    <row r="9924" spans="1:6" ht="30" customHeight="1" x14ac:dyDescent="0.25">
      <c r="A9924" s="1" t="s">
        <v>19723</v>
      </c>
      <c r="B9924" s="1" t="str">
        <f>"9781598882216"</f>
        <v>9781598882216</v>
      </c>
      <c r="C9924" s="1" t="s">
        <v>19724</v>
      </c>
      <c r="D9924" s="2">
        <v>36982</v>
      </c>
      <c r="E9924" s="1" t="s">
        <v>19725</v>
      </c>
      <c r="F9924" s="1" t="s">
        <v>95</v>
      </c>
    </row>
    <row r="9925" spans="1:6" ht="30" customHeight="1" x14ac:dyDescent="0.25">
      <c r="A9925" s="1" t="s">
        <v>19726</v>
      </c>
      <c r="B9925" s="1" t="str">
        <f>"9781598881097"</f>
        <v>9781598881097</v>
      </c>
      <c r="C9925" s="1" t="s">
        <v>19724</v>
      </c>
      <c r="D9925" s="2">
        <v>38777</v>
      </c>
      <c r="E9925" s="1" t="s">
        <v>19727</v>
      </c>
      <c r="F9925" s="1" t="s">
        <v>7163</v>
      </c>
    </row>
    <row r="9926" spans="1:6" ht="30" customHeight="1" x14ac:dyDescent="0.25">
      <c r="A9926" s="1" t="s">
        <v>19728</v>
      </c>
      <c r="B9926" s="1" t="str">
        <f>"9781589839717"</f>
        <v>9781589839717</v>
      </c>
      <c r="C9926" s="1" t="s">
        <v>19729</v>
      </c>
      <c r="D9926" s="2">
        <v>41640</v>
      </c>
      <c r="E9926" s="1" t="s">
        <v>19730</v>
      </c>
      <c r="F9926" s="1" t="s">
        <v>15294</v>
      </c>
    </row>
    <row r="9927" spans="1:6" ht="30" customHeight="1" x14ac:dyDescent="0.25">
      <c r="A9927" s="1" t="s">
        <v>19731</v>
      </c>
      <c r="B9927" s="1" t="str">
        <f>"9781612771892"</f>
        <v>9781612771892</v>
      </c>
      <c r="C9927" s="1" t="s">
        <v>19732</v>
      </c>
      <c r="D9927" s="2">
        <v>41255</v>
      </c>
      <c r="E9927" s="1" t="s">
        <v>19733</v>
      </c>
      <c r="F9927" s="1" t="s">
        <v>13</v>
      </c>
    </row>
    <row r="9928" spans="1:6" ht="30" customHeight="1" x14ac:dyDescent="0.25">
      <c r="A9928" s="1" t="s">
        <v>19734</v>
      </c>
      <c r="B9928" s="1" t="str">
        <f>"9781936128624"</f>
        <v>9781936128624</v>
      </c>
      <c r="C9928" s="1" t="s">
        <v>17317</v>
      </c>
      <c r="D9928" s="2">
        <v>41522</v>
      </c>
      <c r="E9928" s="1" t="s">
        <v>19735</v>
      </c>
      <c r="F9928" s="1" t="s">
        <v>13</v>
      </c>
    </row>
    <row r="9929" spans="1:6" ht="30" customHeight="1" x14ac:dyDescent="0.25">
      <c r="A9929" s="1" t="s">
        <v>19736</v>
      </c>
      <c r="B9929" s="1" t="str">
        <f>"9781936128693"</f>
        <v>9781936128693</v>
      </c>
      <c r="C9929" s="1" t="s">
        <v>17317</v>
      </c>
      <c r="D9929" s="2">
        <v>41522</v>
      </c>
      <c r="E9929" s="1" t="s">
        <v>19737</v>
      </c>
      <c r="F9929" s="1" t="s">
        <v>13</v>
      </c>
    </row>
    <row r="9930" spans="1:6" ht="30" customHeight="1" x14ac:dyDescent="0.25">
      <c r="A9930" s="1" t="s">
        <v>19738</v>
      </c>
      <c r="B9930" s="1" t="str">
        <f>"9781612492735"</f>
        <v>9781612492735</v>
      </c>
      <c r="C9930" s="1" t="s">
        <v>19739</v>
      </c>
      <c r="D9930" s="2">
        <v>41456</v>
      </c>
      <c r="E9930" s="1" t="s">
        <v>19740</v>
      </c>
      <c r="F9930" s="1" t="s">
        <v>13</v>
      </c>
    </row>
    <row r="9931" spans="1:6" ht="30" customHeight="1" x14ac:dyDescent="0.25">
      <c r="A9931" s="1" t="s">
        <v>19741</v>
      </c>
      <c r="B9931" s="1" t="str">
        <f>"9781631010859"</f>
        <v>9781631010859</v>
      </c>
      <c r="C9931" s="1" t="s">
        <v>19732</v>
      </c>
      <c r="D9931" s="2">
        <v>41905</v>
      </c>
      <c r="E9931" s="1" t="s">
        <v>19742</v>
      </c>
      <c r="F9931" s="1" t="s">
        <v>95</v>
      </c>
    </row>
    <row r="9932" spans="1:6" ht="30" customHeight="1" x14ac:dyDescent="0.25">
      <c r="A9932" s="1" t="s">
        <v>19743</v>
      </c>
      <c r="B9932" s="1" t="str">
        <f>"9781612779652"</f>
        <v>9781612779652</v>
      </c>
      <c r="C9932" s="1" t="s">
        <v>19732</v>
      </c>
      <c r="D9932" s="2">
        <v>40898</v>
      </c>
      <c r="E9932" s="1" t="s">
        <v>19744</v>
      </c>
      <c r="F9932" s="1" t="s">
        <v>13</v>
      </c>
    </row>
    <row r="9933" spans="1:6" ht="30" customHeight="1" x14ac:dyDescent="0.25">
      <c r="A9933" s="1" t="s">
        <v>19745</v>
      </c>
      <c r="B9933" s="1" t="str">
        <f>""</f>
        <v/>
      </c>
      <c r="C9933" s="1" t="s">
        <v>19746</v>
      </c>
      <c r="D9933" s="2">
        <v>41518</v>
      </c>
      <c r="E9933" s="1" t="s">
        <v>19747</v>
      </c>
      <c r="F9933" s="1" t="s">
        <v>95</v>
      </c>
    </row>
    <row r="9934" spans="1:6" ht="30" customHeight="1" x14ac:dyDescent="0.25">
      <c r="A9934" s="1" t="s">
        <v>19748</v>
      </c>
      <c r="B9934" s="1" t="str">
        <f>""</f>
        <v/>
      </c>
      <c r="C9934" s="1" t="s">
        <v>19746</v>
      </c>
      <c r="D9934" s="2">
        <v>41518</v>
      </c>
      <c r="E9934" s="1" t="s">
        <v>2136</v>
      </c>
      <c r="F9934" s="1" t="s">
        <v>30</v>
      </c>
    </row>
    <row r="9935" spans="1:6" ht="30" customHeight="1" x14ac:dyDescent="0.25">
      <c r="A9935" s="1" t="s">
        <v>19749</v>
      </c>
      <c r="B9935" s="1" t="str">
        <f>"9781936128792"</f>
        <v>9781936128792</v>
      </c>
      <c r="C9935" s="1" t="s">
        <v>17317</v>
      </c>
      <c r="D9935" s="2">
        <v>41699</v>
      </c>
      <c r="E9935" s="1" t="s">
        <v>19750</v>
      </c>
      <c r="F9935" s="1" t="s">
        <v>13</v>
      </c>
    </row>
    <row r="9936" spans="1:6" ht="30" customHeight="1" x14ac:dyDescent="0.25">
      <c r="A9936" s="1" t="s">
        <v>19751</v>
      </c>
      <c r="B9936" s="1" t="str">
        <f>"9781780405988"</f>
        <v>9781780405988</v>
      </c>
      <c r="C9936" s="1" t="s">
        <v>19746</v>
      </c>
      <c r="D9936" s="2">
        <v>41579</v>
      </c>
      <c r="E9936" s="1" t="s">
        <v>19752</v>
      </c>
      <c r="F9936" s="1" t="s">
        <v>30</v>
      </c>
    </row>
    <row r="9937" spans="1:6" ht="30" customHeight="1" x14ac:dyDescent="0.25">
      <c r="A9937" s="1" t="s">
        <v>19753</v>
      </c>
      <c r="B9937" s="1" t="str">
        <f>"9781937661656"</f>
        <v>9781937661656</v>
      </c>
      <c r="C9937" s="1" t="s">
        <v>17317</v>
      </c>
      <c r="D9937" s="2">
        <v>41913</v>
      </c>
      <c r="E9937" s="1" t="s">
        <v>19754</v>
      </c>
      <c r="F9937" s="1" t="s">
        <v>13</v>
      </c>
    </row>
    <row r="9938" spans="1:6" ht="30" customHeight="1" x14ac:dyDescent="0.25">
      <c r="A9938" s="1" t="s">
        <v>19755</v>
      </c>
      <c r="B9938" s="1" t="str">
        <f>"9781937661540"</f>
        <v>9781937661540</v>
      </c>
      <c r="C9938" s="1" t="s">
        <v>17317</v>
      </c>
      <c r="D9938" s="2">
        <v>41913</v>
      </c>
      <c r="E9938" s="1" t="s">
        <v>19756</v>
      </c>
      <c r="F9938" s="1" t="s">
        <v>742</v>
      </c>
    </row>
    <row r="9939" spans="1:6" ht="30" customHeight="1" x14ac:dyDescent="0.25">
      <c r="A9939" s="1" t="s">
        <v>19757</v>
      </c>
      <c r="B9939" s="1" t="str">
        <f>"9781937661526"</f>
        <v>9781937661526</v>
      </c>
      <c r="C9939" s="1" t="s">
        <v>17317</v>
      </c>
      <c r="D9939" s="2">
        <v>41820</v>
      </c>
      <c r="E9939" s="1" t="s">
        <v>19758</v>
      </c>
      <c r="F9939" s="1" t="s">
        <v>13</v>
      </c>
    </row>
    <row r="9940" spans="1:6" ht="30" customHeight="1" x14ac:dyDescent="0.25">
      <c r="A9940" s="1" t="s">
        <v>19759</v>
      </c>
      <c r="B9940" s="1" t="str">
        <f>"9781559570084"</f>
        <v>9781559570084</v>
      </c>
      <c r="C9940" s="1" t="s">
        <v>17317</v>
      </c>
      <c r="D9940" s="2">
        <v>41944</v>
      </c>
      <c r="E9940" s="1" t="s">
        <v>19760</v>
      </c>
      <c r="F9940" s="1" t="s">
        <v>13</v>
      </c>
    </row>
    <row r="9941" spans="1:6" ht="30" customHeight="1" x14ac:dyDescent="0.25">
      <c r="A9941" s="1" t="s">
        <v>19761</v>
      </c>
      <c r="B9941" s="1" t="str">
        <f>"9781936128730"</f>
        <v>9781936128730</v>
      </c>
      <c r="C9941" s="1" t="s">
        <v>17317</v>
      </c>
      <c r="D9941" s="2">
        <v>41578</v>
      </c>
      <c r="E9941" s="1" t="s">
        <v>19762</v>
      </c>
      <c r="F9941" s="1" t="s">
        <v>13</v>
      </c>
    </row>
    <row r="9942" spans="1:6" ht="30" customHeight="1" x14ac:dyDescent="0.25">
      <c r="A9942" s="1" t="s">
        <v>19763</v>
      </c>
      <c r="B9942" s="1" t="str">
        <f>"9781937661502"</f>
        <v>9781937661502</v>
      </c>
      <c r="C9942" s="1" t="s">
        <v>17317</v>
      </c>
      <c r="D9942" s="2">
        <v>42005</v>
      </c>
      <c r="E9942" s="1" t="s">
        <v>19764</v>
      </c>
      <c r="F9942" s="1" t="s">
        <v>13</v>
      </c>
    </row>
    <row r="9943" spans="1:6" ht="30" customHeight="1" x14ac:dyDescent="0.25">
      <c r="A9943" s="1" t="s">
        <v>19765</v>
      </c>
      <c r="B9943" s="1" t="str">
        <f>"9780986005831"</f>
        <v>9780986005831</v>
      </c>
      <c r="C9943" s="1" t="s">
        <v>19766</v>
      </c>
      <c r="D9943" s="2">
        <v>40087</v>
      </c>
      <c r="E9943" s="1" t="s">
        <v>19767</v>
      </c>
      <c r="F9943" s="1" t="s">
        <v>294</v>
      </c>
    </row>
    <row r="9944" spans="1:6" ht="30" customHeight="1" x14ac:dyDescent="0.25">
      <c r="A9944" s="1" t="s">
        <v>19768</v>
      </c>
      <c r="B9944" s="1" t="str">
        <f>"9780813215945"</f>
        <v>9780813215945</v>
      </c>
      <c r="C9944" s="1" t="s">
        <v>19769</v>
      </c>
      <c r="D9944" s="2">
        <v>38139</v>
      </c>
      <c r="E9944" s="1" t="s">
        <v>19770</v>
      </c>
      <c r="F9944" s="1" t="s">
        <v>1879</v>
      </c>
    </row>
    <row r="9945" spans="1:6" ht="30" customHeight="1" x14ac:dyDescent="0.25">
      <c r="A9945" s="1" t="s">
        <v>19771</v>
      </c>
      <c r="B9945" s="1" t="str">
        <f>"9780813217772"</f>
        <v>9780813217772</v>
      </c>
      <c r="C9945" s="1" t="s">
        <v>19769</v>
      </c>
      <c r="D9945" s="2">
        <v>40120</v>
      </c>
      <c r="E9945" s="1" t="s">
        <v>19772</v>
      </c>
      <c r="F9945" s="1" t="s">
        <v>11473</v>
      </c>
    </row>
    <row r="9946" spans="1:6" ht="30" customHeight="1" x14ac:dyDescent="0.25">
      <c r="A9946" s="1" t="s">
        <v>19773</v>
      </c>
      <c r="B9946" s="1" t="str">
        <f>"9780813218052"</f>
        <v>9780813218052</v>
      </c>
      <c r="C9946" s="1" t="s">
        <v>19769</v>
      </c>
      <c r="D9946" s="2">
        <v>40224</v>
      </c>
      <c r="E9946" s="1" t="s">
        <v>19772</v>
      </c>
      <c r="F9946" s="1" t="s">
        <v>205</v>
      </c>
    </row>
    <row r="9947" spans="1:6" ht="30" customHeight="1" x14ac:dyDescent="0.25">
      <c r="A9947" s="1" t="s">
        <v>19774</v>
      </c>
      <c r="B9947" s="1" t="str">
        <f>"9780813220819"</f>
        <v>9780813220819</v>
      </c>
      <c r="C9947" s="1" t="s">
        <v>19769</v>
      </c>
      <c r="D9947" s="2">
        <v>39183</v>
      </c>
      <c r="E9947" s="1" t="s">
        <v>19775</v>
      </c>
      <c r="F9947" s="1" t="s">
        <v>6200</v>
      </c>
    </row>
    <row r="9948" spans="1:6" ht="30" customHeight="1" x14ac:dyDescent="0.25">
      <c r="A9948" s="1" t="s">
        <v>19776</v>
      </c>
      <c r="B9948" s="1" t="str">
        <f>"9780813219332"</f>
        <v>9780813219332</v>
      </c>
      <c r="C9948" s="1" t="s">
        <v>19769</v>
      </c>
      <c r="D9948" s="2">
        <v>40800</v>
      </c>
      <c r="E9948" s="1" t="s">
        <v>19777</v>
      </c>
      <c r="F9948" s="1" t="s">
        <v>13</v>
      </c>
    </row>
    <row r="9949" spans="1:6" ht="30" customHeight="1" x14ac:dyDescent="0.25">
      <c r="A9949" s="1" t="s">
        <v>19778</v>
      </c>
      <c r="B9949" s="1" t="str">
        <f>""</f>
        <v/>
      </c>
      <c r="C9949" s="1" t="s">
        <v>19779</v>
      </c>
      <c r="D9949" s="2">
        <v>38322</v>
      </c>
      <c r="E9949" s="1" t="s">
        <v>19780</v>
      </c>
      <c r="F9949" s="1" t="s">
        <v>8695</v>
      </c>
    </row>
    <row r="9950" spans="1:6" ht="30" customHeight="1" x14ac:dyDescent="0.25">
      <c r="A9950" s="1" t="s">
        <v>19781</v>
      </c>
      <c r="B9950" s="1" t="str">
        <f>"9781133964391"</f>
        <v>9781133964391</v>
      </c>
      <c r="C9950" s="1" t="s">
        <v>19779</v>
      </c>
      <c r="D9950" s="2">
        <v>40717</v>
      </c>
      <c r="E9950" s="1" t="s">
        <v>19782</v>
      </c>
      <c r="F9950" s="1" t="s">
        <v>13</v>
      </c>
    </row>
    <row r="9951" spans="1:6" ht="30" customHeight="1" x14ac:dyDescent="0.25">
      <c r="A9951" s="1" t="s">
        <v>19783</v>
      </c>
      <c r="B9951" s="1" t="str">
        <f>"9789639776883"</f>
        <v>9789639776883</v>
      </c>
      <c r="C9951" s="1" t="s">
        <v>19784</v>
      </c>
      <c r="D9951" s="2">
        <v>40483</v>
      </c>
      <c r="E9951" s="1" t="s">
        <v>19785</v>
      </c>
      <c r="F9951" s="1" t="s">
        <v>30</v>
      </c>
    </row>
    <row r="9952" spans="1:6" ht="30" customHeight="1" x14ac:dyDescent="0.25">
      <c r="A9952" s="1" t="s">
        <v>19786</v>
      </c>
      <c r="B9952" s="1" t="str">
        <f>"9789639776876"</f>
        <v>9789639776876</v>
      </c>
      <c r="C9952" s="1" t="s">
        <v>19784</v>
      </c>
      <c r="D9952" s="2">
        <v>40513</v>
      </c>
      <c r="E9952" s="1" t="s">
        <v>19787</v>
      </c>
      <c r="F9952" s="1" t="s">
        <v>33</v>
      </c>
    </row>
    <row r="9953" spans="1:6" ht="30" customHeight="1" x14ac:dyDescent="0.25">
      <c r="A9953" s="1" t="s">
        <v>19788</v>
      </c>
      <c r="B9953" s="1" t="str">
        <f>""</f>
        <v/>
      </c>
      <c r="C9953" s="1" t="s">
        <v>19789</v>
      </c>
      <c r="D9953" s="2">
        <v>37956</v>
      </c>
      <c r="E9953" s="1" t="s">
        <v>19789</v>
      </c>
      <c r="F9953" s="1" t="s">
        <v>30</v>
      </c>
    </row>
    <row r="9954" spans="1:6" ht="30" customHeight="1" x14ac:dyDescent="0.25">
      <c r="A9954" s="1" t="s">
        <v>19790</v>
      </c>
      <c r="B9954" s="1" t="str">
        <f>""</f>
        <v/>
      </c>
      <c r="C9954" s="1" t="s">
        <v>19791</v>
      </c>
      <c r="D9954" s="2">
        <v>36373</v>
      </c>
      <c r="E9954" s="1" t="s">
        <v>19792</v>
      </c>
      <c r="F9954" s="1" t="s">
        <v>349</v>
      </c>
    </row>
    <row r="9955" spans="1:6" ht="30" customHeight="1" x14ac:dyDescent="0.25">
      <c r="A9955" s="1" t="s">
        <v>19793</v>
      </c>
      <c r="B9955" s="1" t="str">
        <f>""</f>
        <v/>
      </c>
      <c r="C9955" s="1" t="s">
        <v>19791</v>
      </c>
      <c r="D9955" s="2">
        <v>37226</v>
      </c>
      <c r="E9955" s="1" t="s">
        <v>19794</v>
      </c>
      <c r="F9955" s="1" t="s">
        <v>3696</v>
      </c>
    </row>
    <row r="9956" spans="1:6" ht="30" customHeight="1" x14ac:dyDescent="0.25">
      <c r="A9956" s="1" t="s">
        <v>19795</v>
      </c>
      <c r="B9956" s="1" t="str">
        <f>"9780801459368"</f>
        <v>9780801459368</v>
      </c>
      <c r="C9956" s="1" t="s">
        <v>19796</v>
      </c>
      <c r="D9956" s="2">
        <v>39933</v>
      </c>
      <c r="E9956" s="1" t="s">
        <v>19797</v>
      </c>
      <c r="F9956" s="1" t="s">
        <v>30</v>
      </c>
    </row>
    <row r="9957" spans="1:6" ht="30" customHeight="1" x14ac:dyDescent="0.25">
      <c r="A9957" s="1" t="s">
        <v>19798</v>
      </c>
      <c r="B9957" s="1" t="str">
        <f>"9780801458781"</f>
        <v>9780801458781</v>
      </c>
      <c r="C9957" s="1" t="s">
        <v>19796</v>
      </c>
      <c r="D9957" s="2">
        <v>40045</v>
      </c>
      <c r="E9957" s="1" t="s">
        <v>19799</v>
      </c>
      <c r="F9957" s="1" t="s">
        <v>13</v>
      </c>
    </row>
    <row r="9958" spans="1:6" ht="30" customHeight="1" x14ac:dyDescent="0.25">
      <c r="A9958" s="1" t="s">
        <v>19800</v>
      </c>
      <c r="B9958" s="1" t="str">
        <f>"9780801459931"</f>
        <v>9780801459931</v>
      </c>
      <c r="C9958" s="1" t="s">
        <v>19796</v>
      </c>
      <c r="D9958" s="2">
        <v>39600</v>
      </c>
      <c r="E9958" s="1" t="s">
        <v>19801</v>
      </c>
      <c r="F9958" s="1" t="s">
        <v>30</v>
      </c>
    </row>
    <row r="9959" spans="1:6" ht="30" customHeight="1" x14ac:dyDescent="0.25">
      <c r="A9959" s="1" t="s">
        <v>19802</v>
      </c>
      <c r="B9959" s="1" t="str">
        <f>"9780801460470"</f>
        <v>9780801460470</v>
      </c>
      <c r="C9959" s="1" t="s">
        <v>19796</v>
      </c>
      <c r="D9959" s="2">
        <v>39290</v>
      </c>
      <c r="E9959" s="1" t="s">
        <v>19803</v>
      </c>
      <c r="F9959" s="1" t="s">
        <v>95</v>
      </c>
    </row>
    <row r="9960" spans="1:6" ht="30" customHeight="1" x14ac:dyDescent="0.25">
      <c r="A9960" s="1" t="s">
        <v>19804</v>
      </c>
      <c r="B9960" s="1" t="str">
        <f>"9780801458644"</f>
        <v>9780801458644</v>
      </c>
      <c r="C9960" s="1" t="s">
        <v>19796</v>
      </c>
      <c r="D9960" s="2">
        <v>40179</v>
      </c>
      <c r="E9960" s="1" t="s">
        <v>19805</v>
      </c>
      <c r="F9960" s="1" t="s">
        <v>126</v>
      </c>
    </row>
    <row r="9961" spans="1:6" ht="30" customHeight="1" x14ac:dyDescent="0.25">
      <c r="A9961" s="1" t="s">
        <v>19806</v>
      </c>
      <c r="B9961" s="1" t="str">
        <f>"9780801458507"</f>
        <v>9780801458507</v>
      </c>
      <c r="C9961" s="1" t="s">
        <v>19796</v>
      </c>
      <c r="D9961" s="2">
        <v>40087</v>
      </c>
      <c r="E9961" s="1" t="s">
        <v>19807</v>
      </c>
      <c r="F9961" s="1" t="s">
        <v>30</v>
      </c>
    </row>
    <row r="9962" spans="1:6" ht="30" customHeight="1" x14ac:dyDescent="0.25">
      <c r="A9962" s="1" t="s">
        <v>19808</v>
      </c>
      <c r="B9962" s="1" t="str">
        <f>"9780801459948"</f>
        <v>9780801459948</v>
      </c>
      <c r="C9962" s="1" t="s">
        <v>19796</v>
      </c>
      <c r="D9962" s="2">
        <v>40179</v>
      </c>
      <c r="E9962" s="1" t="s">
        <v>19809</v>
      </c>
      <c r="F9962" s="1" t="s">
        <v>13</v>
      </c>
    </row>
    <row r="9963" spans="1:6" ht="30" customHeight="1" x14ac:dyDescent="0.25">
      <c r="A9963" s="1" t="s">
        <v>19810</v>
      </c>
      <c r="B9963" s="1" t="str">
        <f>"9780801459078"</f>
        <v>9780801459078</v>
      </c>
      <c r="C9963" s="1" t="s">
        <v>19796</v>
      </c>
      <c r="D9963" s="2">
        <v>40179</v>
      </c>
      <c r="E9963" s="1" t="s">
        <v>19811</v>
      </c>
      <c r="F9963" s="1" t="s">
        <v>87</v>
      </c>
    </row>
    <row r="9964" spans="1:6" ht="30" customHeight="1" x14ac:dyDescent="0.25">
      <c r="A9964" s="1" t="s">
        <v>19812</v>
      </c>
      <c r="B9964" s="1" t="str">
        <f>"9780801458576"</f>
        <v>9780801458576</v>
      </c>
      <c r="C9964" s="1" t="s">
        <v>19796</v>
      </c>
      <c r="D9964" s="2">
        <v>39934</v>
      </c>
      <c r="E9964" s="1" t="s">
        <v>19813</v>
      </c>
      <c r="F9964" s="1" t="s">
        <v>95</v>
      </c>
    </row>
    <row r="9965" spans="1:6" ht="30" customHeight="1" x14ac:dyDescent="0.25">
      <c r="A9965" s="1" t="s">
        <v>19814</v>
      </c>
      <c r="B9965" s="1" t="str">
        <f>"9780801459023"</f>
        <v>9780801459023</v>
      </c>
      <c r="C9965" s="1" t="s">
        <v>19796</v>
      </c>
      <c r="D9965" s="2">
        <v>39722</v>
      </c>
      <c r="E9965" s="1" t="s">
        <v>19815</v>
      </c>
      <c r="F9965" s="1" t="s">
        <v>7163</v>
      </c>
    </row>
    <row r="9966" spans="1:6" ht="30" customHeight="1" x14ac:dyDescent="0.25">
      <c r="A9966" s="1" t="s">
        <v>19816</v>
      </c>
      <c r="B9966" s="1" t="str">
        <f>"9780801460135"</f>
        <v>9780801460135</v>
      </c>
      <c r="C9966" s="1" t="s">
        <v>19796</v>
      </c>
      <c r="D9966" s="2">
        <v>39783</v>
      </c>
      <c r="E9966" s="1" t="s">
        <v>19817</v>
      </c>
      <c r="F9966" s="1" t="s">
        <v>95</v>
      </c>
    </row>
    <row r="9967" spans="1:6" ht="30" customHeight="1" x14ac:dyDescent="0.25">
      <c r="A9967" s="1" t="s">
        <v>19818</v>
      </c>
      <c r="B9967" s="1" t="str">
        <f>"9780801463495"</f>
        <v>9780801463495</v>
      </c>
      <c r="C9967" s="1" t="s">
        <v>19796</v>
      </c>
      <c r="D9967" s="2">
        <v>39730</v>
      </c>
      <c r="E9967" s="1" t="s">
        <v>19819</v>
      </c>
      <c r="F9967" s="1" t="s">
        <v>13</v>
      </c>
    </row>
    <row r="9968" spans="1:6" ht="30" customHeight="1" x14ac:dyDescent="0.25">
      <c r="A9968" s="1" t="s">
        <v>19820</v>
      </c>
      <c r="B9968" s="1" t="str">
        <f>"9780801460609"</f>
        <v>9780801460609</v>
      </c>
      <c r="C9968" s="1" t="s">
        <v>19796</v>
      </c>
      <c r="D9968" s="2">
        <v>40597</v>
      </c>
      <c r="E9968" s="1" t="s">
        <v>19821</v>
      </c>
      <c r="F9968" s="1" t="s">
        <v>13</v>
      </c>
    </row>
    <row r="9969" spans="1:6" ht="30" customHeight="1" x14ac:dyDescent="0.25">
      <c r="A9969" s="1" t="s">
        <v>19822</v>
      </c>
      <c r="B9969" s="1" t="str">
        <f>"9780801460807"</f>
        <v>9780801460807</v>
      </c>
      <c r="C9969" s="1" t="s">
        <v>19796</v>
      </c>
      <c r="D9969" s="2">
        <v>40597</v>
      </c>
      <c r="E9969" s="1" t="s">
        <v>19823</v>
      </c>
      <c r="F9969" s="1" t="s">
        <v>30</v>
      </c>
    </row>
    <row r="9970" spans="1:6" ht="30" customHeight="1" x14ac:dyDescent="0.25">
      <c r="A9970" s="1" t="s">
        <v>19824</v>
      </c>
      <c r="B9970" s="1" t="str">
        <f>"9780801460906"</f>
        <v>9780801460906</v>
      </c>
      <c r="C9970" s="1" t="s">
        <v>19796</v>
      </c>
      <c r="D9970" s="2">
        <v>40549</v>
      </c>
      <c r="E9970" s="1" t="s">
        <v>19825</v>
      </c>
      <c r="F9970" s="1" t="s">
        <v>13</v>
      </c>
    </row>
    <row r="9971" spans="1:6" ht="30" customHeight="1" x14ac:dyDescent="0.25">
      <c r="A9971" s="1" t="s">
        <v>19826</v>
      </c>
      <c r="B9971" s="1" t="str">
        <f>"9780801462320"</f>
        <v>9780801462320</v>
      </c>
      <c r="C9971" s="1" t="s">
        <v>19796</v>
      </c>
      <c r="D9971" s="2">
        <v>40483</v>
      </c>
      <c r="E9971" s="1" t="s">
        <v>19827</v>
      </c>
      <c r="F9971" s="1" t="s">
        <v>30</v>
      </c>
    </row>
    <row r="9972" spans="1:6" ht="30" customHeight="1" x14ac:dyDescent="0.25">
      <c r="A9972" s="1" t="s">
        <v>19828</v>
      </c>
      <c r="B9972" s="1" t="str">
        <f>"9780801462429"</f>
        <v>9780801462429</v>
      </c>
      <c r="C9972" s="1" t="s">
        <v>19796</v>
      </c>
      <c r="D9972" s="2">
        <v>40107</v>
      </c>
      <c r="E9972" s="1" t="s">
        <v>19829</v>
      </c>
      <c r="F9972" s="1" t="s">
        <v>13</v>
      </c>
    </row>
    <row r="9973" spans="1:6" ht="30" customHeight="1" x14ac:dyDescent="0.25">
      <c r="A9973" s="1" t="s">
        <v>19830</v>
      </c>
      <c r="B9973" s="1" t="str">
        <f>"9780801460708"</f>
        <v>9780801460708</v>
      </c>
      <c r="C9973" s="1" t="s">
        <v>19796</v>
      </c>
      <c r="D9973" s="2">
        <v>40544</v>
      </c>
      <c r="E9973" s="1" t="s">
        <v>19831</v>
      </c>
      <c r="F9973" s="1" t="s">
        <v>13</v>
      </c>
    </row>
    <row r="9974" spans="1:6" ht="30" customHeight="1" x14ac:dyDescent="0.25">
      <c r="A9974" s="1" t="s">
        <v>19832</v>
      </c>
      <c r="B9974" s="1" t="str">
        <f>"9780801463310"</f>
        <v>9780801463310</v>
      </c>
      <c r="C9974" s="1" t="s">
        <v>19796</v>
      </c>
      <c r="D9974" s="2">
        <v>40731</v>
      </c>
      <c r="E9974" s="1" t="s">
        <v>19833</v>
      </c>
      <c r="F9974" s="1" t="s">
        <v>95</v>
      </c>
    </row>
    <row r="9975" spans="1:6" ht="30" customHeight="1" x14ac:dyDescent="0.25">
      <c r="A9975" s="1" t="s">
        <v>19834</v>
      </c>
      <c r="B9975" s="1" t="str">
        <f>"9780801464935"</f>
        <v>9780801464935</v>
      </c>
      <c r="C9975" s="1" t="s">
        <v>19796</v>
      </c>
      <c r="D9975" s="2">
        <v>39527</v>
      </c>
      <c r="E9975" s="1" t="s">
        <v>19835</v>
      </c>
      <c r="F9975" s="1" t="s">
        <v>19836</v>
      </c>
    </row>
    <row r="9976" spans="1:6" ht="30" customHeight="1" x14ac:dyDescent="0.25">
      <c r="A9976" s="1" t="s">
        <v>19837</v>
      </c>
      <c r="B9976" s="1" t="str">
        <f>"9780801464928"</f>
        <v>9780801464928</v>
      </c>
      <c r="C9976" s="1" t="s">
        <v>19796</v>
      </c>
      <c r="D9976" s="2">
        <v>37622</v>
      </c>
      <c r="E9976" s="1" t="s">
        <v>19838</v>
      </c>
      <c r="F9976" s="1" t="s">
        <v>126</v>
      </c>
    </row>
    <row r="9977" spans="1:6" ht="30" customHeight="1" x14ac:dyDescent="0.25">
      <c r="A9977" s="1" t="s">
        <v>19839</v>
      </c>
      <c r="B9977" s="1" t="str">
        <f>"9780801464188"</f>
        <v>9780801464188</v>
      </c>
      <c r="C9977" s="1" t="s">
        <v>19796</v>
      </c>
      <c r="D9977" s="2">
        <v>41009</v>
      </c>
      <c r="E9977" s="1" t="s">
        <v>19840</v>
      </c>
      <c r="F9977" s="1" t="s">
        <v>30</v>
      </c>
    </row>
    <row r="9978" spans="1:6" ht="30" customHeight="1" x14ac:dyDescent="0.25">
      <c r="A9978" s="1" t="s">
        <v>19841</v>
      </c>
      <c r="B9978" s="1" t="str">
        <f>"9780801463921"</f>
        <v>9780801463921</v>
      </c>
      <c r="C9978" s="1" t="s">
        <v>19796</v>
      </c>
      <c r="D9978" s="2">
        <v>41030</v>
      </c>
      <c r="E9978" s="1" t="s">
        <v>19842</v>
      </c>
      <c r="F9978" s="1" t="s">
        <v>30</v>
      </c>
    </row>
    <row r="9979" spans="1:6" ht="30" customHeight="1" x14ac:dyDescent="0.25">
      <c r="A9979" s="1" t="s">
        <v>19843</v>
      </c>
      <c r="B9979" s="1" t="str">
        <f>"9780801465055"</f>
        <v>9780801465055</v>
      </c>
      <c r="C9979" s="1" t="s">
        <v>19796</v>
      </c>
      <c r="D9979" s="2">
        <v>38932</v>
      </c>
      <c r="E9979" s="1" t="s">
        <v>19844</v>
      </c>
      <c r="F9979" s="1" t="s">
        <v>126</v>
      </c>
    </row>
    <row r="9980" spans="1:6" ht="30" customHeight="1" x14ac:dyDescent="0.25">
      <c r="A9980" s="1" t="s">
        <v>19845</v>
      </c>
      <c r="B9980" s="1" t="str">
        <f>"9780801465048"</f>
        <v>9780801465048</v>
      </c>
      <c r="C9980" s="1" t="s">
        <v>19796</v>
      </c>
      <c r="D9980" s="2">
        <v>38428</v>
      </c>
      <c r="E9980" s="1" t="s">
        <v>19805</v>
      </c>
      <c r="F9980" s="1" t="s">
        <v>126</v>
      </c>
    </row>
    <row r="9981" spans="1:6" ht="30" customHeight="1" x14ac:dyDescent="0.25">
      <c r="A9981" s="1" t="s">
        <v>19846</v>
      </c>
      <c r="B9981" s="1" t="str">
        <f>"9780801464003"</f>
        <v>9780801464003</v>
      </c>
      <c r="C9981" s="1" t="s">
        <v>19796</v>
      </c>
      <c r="D9981" s="2">
        <v>41044</v>
      </c>
      <c r="E9981" s="1" t="s">
        <v>19847</v>
      </c>
      <c r="F9981" s="1" t="s">
        <v>30</v>
      </c>
    </row>
    <row r="9982" spans="1:6" ht="30" customHeight="1" x14ac:dyDescent="0.25">
      <c r="A9982" s="1" t="s">
        <v>19848</v>
      </c>
      <c r="B9982" s="1" t="str">
        <f>"9780801464072"</f>
        <v>9780801464072</v>
      </c>
      <c r="C9982" s="1" t="s">
        <v>19796</v>
      </c>
      <c r="D9982" s="2">
        <v>41022</v>
      </c>
      <c r="E9982" s="1" t="s">
        <v>19849</v>
      </c>
      <c r="F9982" s="1" t="s">
        <v>13</v>
      </c>
    </row>
    <row r="9983" spans="1:6" ht="30" customHeight="1" x14ac:dyDescent="0.25">
      <c r="A9983" s="1" t="s">
        <v>19850</v>
      </c>
      <c r="B9983" s="1" t="str">
        <f>"9780801466007"</f>
        <v>9780801466007</v>
      </c>
      <c r="C9983" s="1" t="s">
        <v>19796</v>
      </c>
      <c r="D9983" s="2">
        <v>41102</v>
      </c>
      <c r="E9983" s="1" t="s">
        <v>19851</v>
      </c>
      <c r="F9983" s="1" t="s">
        <v>13</v>
      </c>
    </row>
    <row r="9984" spans="1:6" ht="30" customHeight="1" x14ac:dyDescent="0.25">
      <c r="A9984" s="1" t="s">
        <v>19852</v>
      </c>
      <c r="B9984" s="1" t="str">
        <f>"9780801465031"</f>
        <v>9780801465031</v>
      </c>
      <c r="C9984" s="1" t="s">
        <v>19796</v>
      </c>
      <c r="D9984" s="2">
        <v>39366</v>
      </c>
      <c r="E9984" s="1" t="s">
        <v>19853</v>
      </c>
      <c r="F9984" s="1" t="s">
        <v>126</v>
      </c>
    </row>
    <row r="9985" spans="1:6" ht="30" customHeight="1" x14ac:dyDescent="0.25">
      <c r="A9985" s="1" t="s">
        <v>19854</v>
      </c>
      <c r="B9985" s="1" t="str">
        <f>"9780801465802"</f>
        <v>9780801465802</v>
      </c>
      <c r="C9985" s="1" t="s">
        <v>19796</v>
      </c>
      <c r="D9985" s="2">
        <v>41193</v>
      </c>
      <c r="E9985" s="1" t="s">
        <v>19855</v>
      </c>
      <c r="F9985" s="1" t="s">
        <v>13</v>
      </c>
    </row>
    <row r="9986" spans="1:6" ht="30" customHeight="1" x14ac:dyDescent="0.25">
      <c r="A9986" s="1" t="s">
        <v>19856</v>
      </c>
      <c r="B9986" s="1" t="str">
        <f>"9780801465789"</f>
        <v>9780801465789</v>
      </c>
      <c r="C9986" s="1" t="s">
        <v>19796</v>
      </c>
      <c r="D9986" s="2">
        <v>41222</v>
      </c>
      <c r="E9986" s="1" t="s">
        <v>19857</v>
      </c>
      <c r="F9986" s="1" t="s">
        <v>70</v>
      </c>
    </row>
    <row r="9987" spans="1:6" ht="30" customHeight="1" x14ac:dyDescent="0.25">
      <c r="A9987" s="1" t="s">
        <v>19858</v>
      </c>
      <c r="B9987" s="1" t="str">
        <f>"9780801467691"</f>
        <v>9780801467691</v>
      </c>
      <c r="C9987" s="1" t="s">
        <v>19796</v>
      </c>
      <c r="D9987" s="2">
        <v>41324</v>
      </c>
      <c r="E9987" s="1" t="s">
        <v>19859</v>
      </c>
      <c r="F9987" s="1" t="s">
        <v>30</v>
      </c>
    </row>
    <row r="9988" spans="1:6" ht="30" customHeight="1" x14ac:dyDescent="0.25">
      <c r="A9988" s="1" t="s">
        <v>19860</v>
      </c>
      <c r="B9988" s="1" t="str">
        <f>"9780801468155"</f>
        <v>9780801468155</v>
      </c>
      <c r="C9988" s="1" t="s">
        <v>19796</v>
      </c>
      <c r="D9988" s="2">
        <v>41284</v>
      </c>
      <c r="E9988" s="1" t="s">
        <v>19861</v>
      </c>
      <c r="F9988" s="1" t="s">
        <v>13</v>
      </c>
    </row>
    <row r="9989" spans="1:6" ht="30" customHeight="1" x14ac:dyDescent="0.25">
      <c r="A9989" s="1" t="s">
        <v>19862</v>
      </c>
      <c r="B9989" s="1" t="str">
        <f>"9780801467653"</f>
        <v>9780801467653</v>
      </c>
      <c r="C9989" s="1" t="s">
        <v>19796</v>
      </c>
      <c r="D9989" s="2">
        <v>41341</v>
      </c>
      <c r="E9989" s="1" t="s">
        <v>19863</v>
      </c>
      <c r="F9989" s="1" t="s">
        <v>234</v>
      </c>
    </row>
    <row r="9990" spans="1:6" ht="30" customHeight="1" x14ac:dyDescent="0.25">
      <c r="A9990" s="1" t="s">
        <v>19864</v>
      </c>
      <c r="B9990" s="1" t="str">
        <f>"9780801467998"</f>
        <v>9780801467998</v>
      </c>
      <c r="C9990" s="1" t="s">
        <v>19796</v>
      </c>
      <c r="D9990" s="2">
        <v>41414</v>
      </c>
      <c r="E9990" s="1" t="s">
        <v>19865</v>
      </c>
      <c r="F9990" s="1" t="s">
        <v>158</v>
      </c>
    </row>
    <row r="9991" spans="1:6" ht="30" customHeight="1" x14ac:dyDescent="0.25">
      <c r="A9991" s="1" t="s">
        <v>19866</v>
      </c>
      <c r="B9991" s="1" t="str">
        <f>"9780801469824"</f>
        <v>9780801469824</v>
      </c>
      <c r="C9991" s="1" t="s">
        <v>19796</v>
      </c>
      <c r="D9991" s="2">
        <v>41537</v>
      </c>
      <c r="E9991" s="1" t="s">
        <v>19867</v>
      </c>
      <c r="F9991" s="1" t="s">
        <v>95</v>
      </c>
    </row>
    <row r="9992" spans="1:6" ht="30" customHeight="1" x14ac:dyDescent="0.25">
      <c r="A9992" s="1" t="s">
        <v>19868</v>
      </c>
      <c r="B9992" s="1" t="str">
        <f>"9780801469220"</f>
        <v>9780801469220</v>
      </c>
      <c r="C9992" s="1" t="s">
        <v>19796</v>
      </c>
      <c r="D9992" s="2">
        <v>41568</v>
      </c>
      <c r="E9992" s="1" t="s">
        <v>19869</v>
      </c>
      <c r="F9992" s="1" t="s">
        <v>13</v>
      </c>
    </row>
    <row r="9993" spans="1:6" ht="30" customHeight="1" x14ac:dyDescent="0.25">
      <c r="A9993" s="1" t="s">
        <v>19870</v>
      </c>
      <c r="B9993" s="1" t="str">
        <f>"9780801470837"</f>
        <v>9780801470837</v>
      </c>
      <c r="C9993" s="1" t="s">
        <v>19796</v>
      </c>
      <c r="D9993" s="2">
        <v>41705</v>
      </c>
      <c r="E9993" s="1" t="s">
        <v>19871</v>
      </c>
      <c r="F9993" s="1" t="s">
        <v>13</v>
      </c>
    </row>
    <row r="9994" spans="1:6" ht="30" customHeight="1" x14ac:dyDescent="0.25">
      <c r="A9994" s="1" t="s">
        <v>19872</v>
      </c>
      <c r="B9994" s="1" t="str">
        <f>"9780801471551"</f>
        <v>9780801471551</v>
      </c>
      <c r="C9994" s="1" t="s">
        <v>19796</v>
      </c>
      <c r="D9994" s="2">
        <v>35796</v>
      </c>
      <c r="E9994" s="1" t="s">
        <v>19873</v>
      </c>
      <c r="F9994" s="1" t="s">
        <v>13</v>
      </c>
    </row>
    <row r="9995" spans="1:6" ht="30" customHeight="1" x14ac:dyDescent="0.25">
      <c r="A9995" s="1" t="s">
        <v>19874</v>
      </c>
      <c r="B9995" s="1" t="str">
        <f>"9780801454899"</f>
        <v>9780801454899</v>
      </c>
      <c r="C9995" s="1" t="s">
        <v>19796</v>
      </c>
      <c r="D9995" s="2">
        <v>41978</v>
      </c>
      <c r="E9995" s="1" t="s">
        <v>19875</v>
      </c>
      <c r="F9995" s="1" t="s">
        <v>33</v>
      </c>
    </row>
    <row r="9996" spans="1:6" ht="30" customHeight="1" x14ac:dyDescent="0.25">
      <c r="A9996" s="1" t="s">
        <v>19876</v>
      </c>
      <c r="B9996" s="1" t="str">
        <f>"9780801455421"</f>
        <v>9780801455421</v>
      </c>
      <c r="C9996" s="1" t="s">
        <v>19796</v>
      </c>
      <c r="D9996" s="2">
        <v>42068</v>
      </c>
      <c r="E9996" s="1" t="s">
        <v>19877</v>
      </c>
      <c r="F9996" s="1" t="s">
        <v>30</v>
      </c>
    </row>
    <row r="9997" spans="1:6" ht="30" customHeight="1" x14ac:dyDescent="0.25">
      <c r="A9997" s="1" t="s">
        <v>19878</v>
      </c>
      <c r="B9997" s="1" t="str">
        <f>"9789287180162"</f>
        <v>9789287180162</v>
      </c>
      <c r="C9997" s="1" t="s">
        <v>19879</v>
      </c>
      <c r="D9997" s="2">
        <v>41942</v>
      </c>
      <c r="E9997" s="1" t="s">
        <v>19879</v>
      </c>
      <c r="F9997" s="1" t="s">
        <v>30</v>
      </c>
    </row>
    <row r="9998" spans="1:6" ht="30" customHeight="1" x14ac:dyDescent="0.25">
      <c r="A9998" s="1" t="s">
        <v>19880</v>
      </c>
      <c r="B9998" s="1" t="str">
        <f>"9781935790273"</f>
        <v>9781935790273</v>
      </c>
      <c r="C9998" s="1" t="s">
        <v>19881</v>
      </c>
      <c r="D9998" s="2">
        <v>38808</v>
      </c>
      <c r="E9998" s="1" t="s">
        <v>19882</v>
      </c>
      <c r="F9998" s="1" t="s">
        <v>13</v>
      </c>
    </row>
    <row r="9999" spans="1:6" ht="30" customHeight="1" x14ac:dyDescent="0.25">
      <c r="A9999" s="1" t="s">
        <v>19883</v>
      </c>
      <c r="B9999" s="1" t="str">
        <f>"9781935790082"</f>
        <v>9781935790082</v>
      </c>
      <c r="C9999" s="1" t="s">
        <v>19881</v>
      </c>
      <c r="D9999" s="2">
        <v>39052</v>
      </c>
      <c r="E9999" s="1" t="s">
        <v>19884</v>
      </c>
      <c r="F9999" s="1" t="s">
        <v>13</v>
      </c>
    </row>
    <row r="10000" spans="1:6" ht="30" customHeight="1" x14ac:dyDescent="0.25">
      <c r="A10000" s="1" t="s">
        <v>19885</v>
      </c>
      <c r="B10000" s="1" t="str">
        <f>"9782759802555"</f>
        <v>9782759802555</v>
      </c>
      <c r="C10000" s="1" t="s">
        <v>19886</v>
      </c>
      <c r="D10000" s="2">
        <v>41773</v>
      </c>
      <c r="E10000" s="1" t="s">
        <v>19887</v>
      </c>
      <c r="F10000" s="1" t="s">
        <v>13</v>
      </c>
    </row>
    <row r="10001" spans="1:6" ht="30" customHeight="1" x14ac:dyDescent="0.25">
      <c r="A10001" s="1" t="s">
        <v>19888</v>
      </c>
      <c r="B10001" s="1" t="str">
        <f>"9782842542351"</f>
        <v>9782842542351</v>
      </c>
      <c r="C10001" s="1" t="s">
        <v>19886</v>
      </c>
      <c r="D10001" s="2">
        <v>41773</v>
      </c>
      <c r="E10001" s="1" t="s">
        <v>19889</v>
      </c>
      <c r="F10001" s="1" t="s">
        <v>13</v>
      </c>
    </row>
    <row r="10002" spans="1:6" ht="30" customHeight="1" x14ac:dyDescent="0.25">
      <c r="A10002" s="1" t="s">
        <v>19890</v>
      </c>
      <c r="B10002" s="1" t="str">
        <f>"9782759816361"</f>
        <v>9782759816361</v>
      </c>
      <c r="C10002" s="1" t="s">
        <v>19886</v>
      </c>
      <c r="D10002" s="2">
        <v>39814</v>
      </c>
      <c r="E10002" s="1" t="s">
        <v>19891</v>
      </c>
      <c r="F10002" s="1" t="s">
        <v>268</v>
      </c>
    </row>
    <row r="10003" spans="1:6" ht="30" customHeight="1" x14ac:dyDescent="0.25">
      <c r="A10003" s="1" t="s">
        <v>19892</v>
      </c>
      <c r="B10003" s="1" t="str">
        <f>""</f>
        <v/>
      </c>
      <c r="C10003" s="1" t="s">
        <v>19893</v>
      </c>
      <c r="D10003" s="2">
        <v>37226</v>
      </c>
      <c r="E10003" s="1" t="s">
        <v>19894</v>
      </c>
      <c r="F10003" s="1" t="s">
        <v>3261</v>
      </c>
    </row>
    <row r="10004" spans="1:6" ht="30" customHeight="1" x14ac:dyDescent="0.25">
      <c r="A10004" s="1" t="s">
        <v>19895</v>
      </c>
      <c r="B10004" s="1" t="str">
        <f>""</f>
        <v/>
      </c>
      <c r="C10004" s="1" t="s">
        <v>19893</v>
      </c>
      <c r="D10004" s="2">
        <v>36495</v>
      </c>
      <c r="E10004" s="1" t="s">
        <v>19896</v>
      </c>
      <c r="F10004" s="1" t="s">
        <v>30</v>
      </c>
    </row>
    <row r="10005" spans="1:6" ht="30" customHeight="1" x14ac:dyDescent="0.25">
      <c r="A10005" s="1" t="s">
        <v>19897</v>
      </c>
      <c r="B10005" s="1" t="str">
        <f>""</f>
        <v/>
      </c>
      <c r="C10005" s="1" t="s">
        <v>19893</v>
      </c>
      <c r="D10005" s="2">
        <v>36495</v>
      </c>
      <c r="E10005" s="1" t="s">
        <v>19898</v>
      </c>
      <c r="F10005" s="1" t="s">
        <v>3261</v>
      </c>
    </row>
    <row r="10006" spans="1:6" ht="30" customHeight="1" x14ac:dyDescent="0.25">
      <c r="A10006" s="1" t="s">
        <v>19899</v>
      </c>
      <c r="B10006" s="1" t="str">
        <f>""</f>
        <v/>
      </c>
      <c r="C10006" s="1" t="s">
        <v>19893</v>
      </c>
      <c r="D10006" s="2">
        <v>37226</v>
      </c>
      <c r="E10006" s="1" t="s">
        <v>19900</v>
      </c>
      <c r="F10006" s="1" t="s">
        <v>95</v>
      </c>
    </row>
    <row r="10007" spans="1:6" ht="30" customHeight="1" x14ac:dyDescent="0.25">
      <c r="A10007" s="1" t="s">
        <v>19901</v>
      </c>
      <c r="B10007" s="1" t="str">
        <f>"9781936704620"</f>
        <v>9781936704620</v>
      </c>
      <c r="C10007" s="1" t="s">
        <v>19902</v>
      </c>
      <c r="D10007" s="2">
        <v>41061</v>
      </c>
      <c r="E10007" s="1" t="s">
        <v>19903</v>
      </c>
      <c r="F10007" s="1" t="s">
        <v>13</v>
      </c>
    </row>
    <row r="10008" spans="1:6" ht="30" customHeight="1" x14ac:dyDescent="0.25">
      <c r="A10008" s="1" t="s">
        <v>19904</v>
      </c>
      <c r="B10008" s="1" t="str">
        <f>"9781936704583"</f>
        <v>9781936704583</v>
      </c>
      <c r="C10008" s="1" t="s">
        <v>19902</v>
      </c>
      <c r="D10008" s="2">
        <v>40787</v>
      </c>
      <c r="E10008" s="1" t="s">
        <v>19905</v>
      </c>
      <c r="F10008" s="1" t="s">
        <v>13</v>
      </c>
    </row>
    <row r="10009" spans="1:6" ht="30" customHeight="1" x14ac:dyDescent="0.25">
      <c r="A10009" s="1" t="s">
        <v>19906</v>
      </c>
      <c r="B10009" s="1" t="str">
        <f>"9781936704606"</f>
        <v>9781936704606</v>
      </c>
      <c r="C10009" s="1" t="s">
        <v>19902</v>
      </c>
      <c r="D10009" s="2">
        <v>40513</v>
      </c>
      <c r="E10009" s="1" t="s">
        <v>19907</v>
      </c>
      <c r="F10009" s="1" t="s">
        <v>13</v>
      </c>
    </row>
    <row r="10010" spans="1:6" ht="30" customHeight="1" x14ac:dyDescent="0.25">
      <c r="A10010" s="1" t="s">
        <v>19906</v>
      </c>
      <c r="B10010" s="1" t="str">
        <f>"9781936704613"</f>
        <v>9781936704613</v>
      </c>
      <c r="C10010" s="1" t="s">
        <v>19902</v>
      </c>
      <c r="D10010" s="2">
        <v>41061</v>
      </c>
      <c r="E10010" s="1" t="s">
        <v>19905</v>
      </c>
      <c r="F10010" s="1" t="s">
        <v>13</v>
      </c>
    </row>
    <row r="10011" spans="1:6" ht="30" customHeight="1" x14ac:dyDescent="0.25">
      <c r="A10011" s="1" t="s">
        <v>19904</v>
      </c>
      <c r="B10011" s="1" t="str">
        <f>"9781936704590"</f>
        <v>9781936704590</v>
      </c>
      <c r="C10011" s="1" t="s">
        <v>19902</v>
      </c>
      <c r="D10011" s="2">
        <v>41334</v>
      </c>
      <c r="E10011" s="1" t="s">
        <v>19908</v>
      </c>
      <c r="F10011" s="1" t="s">
        <v>13</v>
      </c>
    </row>
    <row r="10012" spans="1:6" ht="30" customHeight="1" x14ac:dyDescent="0.25">
      <c r="A10012" s="1" t="s">
        <v>19909</v>
      </c>
      <c r="B10012" s="1" t="str">
        <f>"9781936704637"</f>
        <v>9781936704637</v>
      </c>
      <c r="C10012" s="1" t="s">
        <v>19902</v>
      </c>
      <c r="D10012" s="2">
        <v>41334</v>
      </c>
      <c r="E10012" s="1" t="s">
        <v>19908</v>
      </c>
      <c r="F10012" s="1" t="s">
        <v>13</v>
      </c>
    </row>
    <row r="10013" spans="1:6" ht="30" customHeight="1" x14ac:dyDescent="0.25">
      <c r="A10013" s="1" t="s">
        <v>19910</v>
      </c>
      <c r="B10013" s="1" t="str">
        <f>"9781936704668"</f>
        <v>9781936704668</v>
      </c>
      <c r="C10013" s="1" t="s">
        <v>19902</v>
      </c>
      <c r="D10013" s="2">
        <v>41334</v>
      </c>
      <c r="E10013" s="1" t="s">
        <v>19908</v>
      </c>
      <c r="F10013" s="1" t="s">
        <v>30</v>
      </c>
    </row>
    <row r="10014" spans="1:6" ht="30" customHeight="1" x14ac:dyDescent="0.25">
      <c r="A10014" s="1" t="s">
        <v>19911</v>
      </c>
      <c r="B10014" s="1" t="str">
        <f>"9781936704675"</f>
        <v>9781936704675</v>
      </c>
      <c r="C10014" s="1" t="s">
        <v>19902</v>
      </c>
      <c r="D10014" s="2">
        <v>40087</v>
      </c>
      <c r="E10014" s="1" t="s">
        <v>19908</v>
      </c>
      <c r="F10014" s="1" t="s">
        <v>13</v>
      </c>
    </row>
    <row r="10015" spans="1:6" ht="30" customHeight="1" x14ac:dyDescent="0.25">
      <c r="A10015" s="1" t="s">
        <v>19912</v>
      </c>
      <c r="B10015" s="1" t="str">
        <f>"9781589483941"</f>
        <v>9781589483941</v>
      </c>
      <c r="C10015" s="1" t="s">
        <v>19913</v>
      </c>
      <c r="D10015" s="2">
        <v>41880</v>
      </c>
      <c r="E10015" s="1" t="s">
        <v>19914</v>
      </c>
      <c r="F10015" s="1" t="s">
        <v>158</v>
      </c>
    </row>
    <row r="10016" spans="1:6" ht="30" customHeight="1" x14ac:dyDescent="0.25">
      <c r="A10016" s="1" t="s">
        <v>19915</v>
      </c>
      <c r="B10016" s="1" t="str">
        <f>""</f>
        <v/>
      </c>
      <c r="C10016" s="1" t="s">
        <v>19916</v>
      </c>
      <c r="D10016" s="2">
        <v>41306</v>
      </c>
      <c r="E10016" s="1" t="s">
        <v>19916</v>
      </c>
      <c r="F10016" s="1" t="s">
        <v>681</v>
      </c>
    </row>
    <row r="10017" spans="1:6" ht="30" customHeight="1" x14ac:dyDescent="0.25">
      <c r="A10017" s="1" t="s">
        <v>19917</v>
      </c>
      <c r="B10017" s="1" t="str">
        <f>"9789251076729"</f>
        <v>9789251076729</v>
      </c>
      <c r="C10017" s="1" t="s">
        <v>19918</v>
      </c>
      <c r="D10017" s="2">
        <v>41502</v>
      </c>
      <c r="E10017" s="1" t="s">
        <v>19919</v>
      </c>
      <c r="F10017" s="1" t="s">
        <v>19920</v>
      </c>
    </row>
    <row r="10018" spans="1:6" ht="30" customHeight="1" x14ac:dyDescent="0.25">
      <c r="A10018" s="1" t="s">
        <v>19921</v>
      </c>
      <c r="B10018" s="1" t="str">
        <f>""</f>
        <v/>
      </c>
      <c r="C10018" s="1" t="s">
        <v>19916</v>
      </c>
      <c r="D10018" s="2">
        <v>41214</v>
      </c>
      <c r="E10018" s="1" t="s">
        <v>19916</v>
      </c>
      <c r="F10018" s="1" t="s">
        <v>30</v>
      </c>
    </row>
    <row r="10019" spans="1:6" ht="30" customHeight="1" x14ac:dyDescent="0.25">
      <c r="A10019" s="1" t="s">
        <v>19922</v>
      </c>
      <c r="B10019" s="1" t="str">
        <f>""</f>
        <v/>
      </c>
      <c r="C10019" s="1" t="s">
        <v>19916</v>
      </c>
      <c r="D10019" s="2">
        <v>41348</v>
      </c>
      <c r="E10019" s="1" t="s">
        <v>19923</v>
      </c>
      <c r="F10019" s="1" t="s">
        <v>148</v>
      </c>
    </row>
    <row r="10020" spans="1:6" ht="30" customHeight="1" x14ac:dyDescent="0.25">
      <c r="A10020" s="1" t="s">
        <v>19924</v>
      </c>
      <c r="B10020" s="1" t="str">
        <f>"9780823253654"</f>
        <v>9780823253654</v>
      </c>
      <c r="C10020" s="1" t="s">
        <v>19925</v>
      </c>
      <c r="D10020" s="2">
        <v>41061</v>
      </c>
      <c r="E10020" s="1" t="s">
        <v>19926</v>
      </c>
      <c r="F10020" s="1" t="s">
        <v>13</v>
      </c>
    </row>
    <row r="10021" spans="1:6" ht="30" customHeight="1" x14ac:dyDescent="0.25">
      <c r="A10021" s="1" t="s">
        <v>19927</v>
      </c>
      <c r="B10021" s="1" t="str">
        <f>"9780823246519"</f>
        <v>9780823246519</v>
      </c>
      <c r="C10021" s="1" t="s">
        <v>19925</v>
      </c>
      <c r="D10021" s="2">
        <v>41014</v>
      </c>
      <c r="E10021" s="1" t="s">
        <v>19928</v>
      </c>
      <c r="F10021" s="1" t="s">
        <v>21</v>
      </c>
    </row>
    <row r="10022" spans="1:6" ht="30" customHeight="1" x14ac:dyDescent="0.25">
      <c r="A10022" s="1" t="s">
        <v>19929</v>
      </c>
      <c r="B10022" s="1" t="str">
        <f>"9780823249558"</f>
        <v>9780823249558</v>
      </c>
      <c r="C10022" s="1" t="s">
        <v>19925</v>
      </c>
      <c r="D10022" s="2">
        <v>40787</v>
      </c>
      <c r="E10022" s="1" t="s">
        <v>19930</v>
      </c>
      <c r="F10022" s="1" t="s">
        <v>13</v>
      </c>
    </row>
    <row r="10023" spans="1:6" ht="30" customHeight="1" x14ac:dyDescent="0.25">
      <c r="A10023" s="1" t="s">
        <v>19931</v>
      </c>
      <c r="B10023" s="1" t="str">
        <f>"9780823258475"</f>
        <v>9780823258475</v>
      </c>
      <c r="C10023" s="1" t="s">
        <v>19925</v>
      </c>
      <c r="D10023" s="2">
        <v>41135</v>
      </c>
      <c r="E10023" s="1" t="s">
        <v>19932</v>
      </c>
      <c r="F10023" s="1" t="s">
        <v>158</v>
      </c>
    </row>
    <row r="10024" spans="1:6" ht="30" customHeight="1" x14ac:dyDescent="0.25">
      <c r="A10024" s="1" t="s">
        <v>19933</v>
      </c>
      <c r="B10024" s="1" t="str">
        <f>"9780823250240"</f>
        <v>9780823250240</v>
      </c>
      <c r="C10024" s="1" t="s">
        <v>19925</v>
      </c>
      <c r="D10024" s="2">
        <v>41218</v>
      </c>
      <c r="E10024" s="1" t="s">
        <v>19934</v>
      </c>
      <c r="F10024" s="1" t="s">
        <v>1879</v>
      </c>
    </row>
    <row r="10025" spans="1:6" ht="30" customHeight="1" x14ac:dyDescent="0.25">
      <c r="A10025" s="1" t="s">
        <v>19935</v>
      </c>
      <c r="B10025" s="1" t="str">
        <f>"9780823254637"</f>
        <v>9780823254637</v>
      </c>
      <c r="C10025" s="1" t="s">
        <v>19925</v>
      </c>
      <c r="D10025" s="2">
        <v>41609</v>
      </c>
      <c r="E10025" s="1" t="s">
        <v>19936</v>
      </c>
      <c r="F10025" s="1" t="s">
        <v>291</v>
      </c>
    </row>
    <row r="10026" spans="1:6" ht="30" customHeight="1" x14ac:dyDescent="0.25">
      <c r="A10026" s="1" t="s">
        <v>19937</v>
      </c>
      <c r="B10026" s="1" t="str">
        <f>"9780823250448"</f>
        <v>9780823250448</v>
      </c>
      <c r="C10026" s="1" t="s">
        <v>19925</v>
      </c>
      <c r="D10026" s="2">
        <v>41511</v>
      </c>
      <c r="E10026" s="1" t="s">
        <v>19938</v>
      </c>
      <c r="F10026" s="1" t="s">
        <v>3393</v>
      </c>
    </row>
    <row r="10027" spans="1:6" ht="30" customHeight="1" x14ac:dyDescent="0.25">
      <c r="A10027" s="1" t="s">
        <v>19939</v>
      </c>
      <c r="B10027" s="1" t="str">
        <f>"9780823261840"</f>
        <v>9780823261840</v>
      </c>
      <c r="C10027" s="1" t="s">
        <v>19925</v>
      </c>
      <c r="D10027" s="2">
        <v>42005</v>
      </c>
      <c r="E10027" s="1" t="s">
        <v>19940</v>
      </c>
      <c r="F10027" s="1" t="s">
        <v>95</v>
      </c>
    </row>
    <row r="10028" spans="1:6" ht="30" customHeight="1" x14ac:dyDescent="0.25">
      <c r="A10028" s="1" t="s">
        <v>19941</v>
      </c>
      <c r="B10028" s="1" t="str">
        <f>"9781498807166"</f>
        <v>9781498807166</v>
      </c>
      <c r="C10028" s="1" t="s">
        <v>19942</v>
      </c>
      <c r="D10028" s="2">
        <v>42036</v>
      </c>
      <c r="E10028" s="1" t="s">
        <v>19943</v>
      </c>
      <c r="F10028" s="1" t="s">
        <v>13</v>
      </c>
    </row>
    <row r="10029" spans="1:6" ht="30" customHeight="1" x14ac:dyDescent="0.25">
      <c r="A10029" s="1" t="s">
        <v>19944</v>
      </c>
      <c r="B10029" s="1" t="str">
        <f>"9781498808378"</f>
        <v>9781498808378</v>
      </c>
      <c r="C10029" s="1" t="s">
        <v>19942</v>
      </c>
      <c r="D10029" s="2">
        <v>42036</v>
      </c>
      <c r="E10029" s="1" t="s">
        <v>19943</v>
      </c>
      <c r="F10029" s="1" t="s">
        <v>13</v>
      </c>
    </row>
    <row r="10030" spans="1:6" ht="30" customHeight="1" x14ac:dyDescent="0.25">
      <c r="A10030" s="1" t="s">
        <v>19945</v>
      </c>
      <c r="B10030" s="1" t="str">
        <f>"9781498806718"</f>
        <v>9781498806718</v>
      </c>
      <c r="C10030" s="1" t="s">
        <v>19942</v>
      </c>
      <c r="D10030" s="2">
        <v>42036</v>
      </c>
      <c r="E10030" s="1" t="s">
        <v>19943</v>
      </c>
      <c r="F10030" s="1" t="s">
        <v>30</v>
      </c>
    </row>
    <row r="10031" spans="1:6" ht="30" customHeight="1" x14ac:dyDescent="0.25">
      <c r="A10031" s="1" t="s">
        <v>19946</v>
      </c>
      <c r="B10031" s="1" t="str">
        <f>"9781498804288"</f>
        <v>9781498804288</v>
      </c>
      <c r="C10031" s="1" t="s">
        <v>19942</v>
      </c>
      <c r="D10031" s="2">
        <v>42036</v>
      </c>
      <c r="E10031" s="1" t="s">
        <v>19943</v>
      </c>
      <c r="F10031" s="1" t="s">
        <v>268</v>
      </c>
    </row>
    <row r="10032" spans="1:6" ht="30" customHeight="1" x14ac:dyDescent="0.25">
      <c r="A10032" s="1" t="s">
        <v>19947</v>
      </c>
      <c r="B10032" s="1" t="str">
        <f>"9780674039216"</f>
        <v>9780674039216</v>
      </c>
      <c r="C10032" s="1" t="s">
        <v>19110</v>
      </c>
      <c r="D10032" s="2">
        <v>33604</v>
      </c>
      <c r="E10032" s="1" t="s">
        <v>19948</v>
      </c>
      <c r="F10032" s="1" t="s">
        <v>70</v>
      </c>
    </row>
    <row r="10033" spans="1:6" ht="30" customHeight="1" x14ac:dyDescent="0.25">
      <c r="A10033" s="1" t="s">
        <v>19949</v>
      </c>
      <c r="B10033" s="1" t="str">
        <f>"9780674028821"</f>
        <v>9780674028821</v>
      </c>
      <c r="C10033" s="1" t="s">
        <v>19110</v>
      </c>
      <c r="D10033" s="2">
        <v>40025</v>
      </c>
      <c r="E10033" s="1" t="s">
        <v>19950</v>
      </c>
      <c r="F10033" s="1" t="s">
        <v>291</v>
      </c>
    </row>
    <row r="10034" spans="1:6" ht="30" customHeight="1" x14ac:dyDescent="0.25">
      <c r="A10034" s="1" t="s">
        <v>19951</v>
      </c>
      <c r="B10034" s="1" t="str">
        <f>"9780674039339"</f>
        <v>9780674039339</v>
      </c>
      <c r="C10034" s="1" t="s">
        <v>19110</v>
      </c>
      <c r="D10034" s="2">
        <v>38718</v>
      </c>
      <c r="E10034" s="1" t="s">
        <v>19952</v>
      </c>
      <c r="F10034" s="1" t="s">
        <v>13</v>
      </c>
    </row>
    <row r="10035" spans="1:6" ht="30" customHeight="1" x14ac:dyDescent="0.25">
      <c r="A10035" s="1" t="s">
        <v>19953</v>
      </c>
      <c r="B10035" s="1" t="str">
        <f>"9780674037786"</f>
        <v>9780674037786</v>
      </c>
      <c r="C10035" s="1" t="s">
        <v>19110</v>
      </c>
      <c r="D10035" s="2">
        <v>38353</v>
      </c>
      <c r="E10035" s="1" t="s">
        <v>19954</v>
      </c>
      <c r="F10035" s="1" t="s">
        <v>127</v>
      </c>
    </row>
    <row r="10036" spans="1:6" ht="30" customHeight="1" x14ac:dyDescent="0.25">
      <c r="A10036" s="1" t="s">
        <v>19955</v>
      </c>
      <c r="B10036" s="1" t="str">
        <f>"9780674043541"</f>
        <v>9780674043541</v>
      </c>
      <c r="C10036" s="1" t="s">
        <v>19110</v>
      </c>
      <c r="D10036" s="2">
        <v>38353</v>
      </c>
      <c r="E10036" s="1" t="s">
        <v>19956</v>
      </c>
      <c r="F10036" s="1" t="s">
        <v>13</v>
      </c>
    </row>
    <row r="10037" spans="1:6" ht="30" customHeight="1" x14ac:dyDescent="0.25">
      <c r="A10037" s="1" t="s">
        <v>19957</v>
      </c>
      <c r="B10037" s="1" t="str">
        <f>"9780674043978"</f>
        <v>9780674043978</v>
      </c>
      <c r="C10037" s="1" t="s">
        <v>19110</v>
      </c>
      <c r="D10037" s="2">
        <v>40025</v>
      </c>
      <c r="E10037" s="1" t="s">
        <v>19958</v>
      </c>
      <c r="F10037" s="1" t="s">
        <v>214</v>
      </c>
    </row>
    <row r="10038" spans="1:6" ht="30" customHeight="1" x14ac:dyDescent="0.25">
      <c r="A10038" s="1" t="s">
        <v>19959</v>
      </c>
      <c r="B10038" s="1" t="str">
        <f>"9780674043275"</f>
        <v>9780674043275</v>
      </c>
      <c r="C10038" s="1" t="s">
        <v>19110</v>
      </c>
      <c r="D10038" s="2">
        <v>40025</v>
      </c>
      <c r="E10038" s="1" t="s">
        <v>19960</v>
      </c>
      <c r="F10038" s="1" t="s">
        <v>19961</v>
      </c>
    </row>
    <row r="10039" spans="1:6" ht="30" customHeight="1" x14ac:dyDescent="0.25">
      <c r="A10039" s="1" t="s">
        <v>19962</v>
      </c>
      <c r="B10039" s="1" t="str">
        <f>"9780674042100"</f>
        <v>9780674042100</v>
      </c>
      <c r="C10039" s="1" t="s">
        <v>19110</v>
      </c>
      <c r="D10039" s="2">
        <v>38718</v>
      </c>
      <c r="E10039" s="1" t="s">
        <v>19963</v>
      </c>
      <c r="F10039" s="1" t="s">
        <v>480</v>
      </c>
    </row>
    <row r="10040" spans="1:6" ht="30" customHeight="1" x14ac:dyDescent="0.25">
      <c r="A10040" s="1" t="s">
        <v>19964</v>
      </c>
      <c r="B10040" s="1" t="str">
        <f>"9780674043138"</f>
        <v>9780674043138</v>
      </c>
      <c r="C10040" s="1" t="s">
        <v>19110</v>
      </c>
      <c r="D10040" s="2">
        <v>38353</v>
      </c>
      <c r="E10040" s="1" t="s">
        <v>19965</v>
      </c>
      <c r="F10040" s="1" t="s">
        <v>87</v>
      </c>
    </row>
    <row r="10041" spans="1:6" ht="30" customHeight="1" x14ac:dyDescent="0.25">
      <c r="A10041" s="1" t="s">
        <v>19966</v>
      </c>
      <c r="B10041" s="1" t="str">
        <f>"9780674045323"</f>
        <v>9780674045323</v>
      </c>
      <c r="C10041" s="1" t="s">
        <v>19110</v>
      </c>
      <c r="D10041" s="2">
        <v>38718</v>
      </c>
      <c r="E10041" s="1" t="s">
        <v>19967</v>
      </c>
      <c r="F10041" s="1" t="s">
        <v>480</v>
      </c>
    </row>
    <row r="10042" spans="1:6" ht="30" customHeight="1" x14ac:dyDescent="0.25">
      <c r="A10042" s="1" t="s">
        <v>19968</v>
      </c>
      <c r="B10042" s="1" t="str">
        <f>"9780674020429"</f>
        <v>9780674020429</v>
      </c>
      <c r="C10042" s="1" t="s">
        <v>19110</v>
      </c>
      <c r="D10042" s="2">
        <v>39448</v>
      </c>
      <c r="E10042" s="1" t="s">
        <v>19969</v>
      </c>
      <c r="F10042" s="1" t="s">
        <v>438</v>
      </c>
    </row>
    <row r="10043" spans="1:6" ht="30" customHeight="1" x14ac:dyDescent="0.25">
      <c r="A10043" s="1" t="s">
        <v>19970</v>
      </c>
      <c r="B10043" s="1" t="str">
        <f>"9780674036499"</f>
        <v>9780674036499</v>
      </c>
      <c r="C10043" s="1" t="s">
        <v>19110</v>
      </c>
      <c r="D10043" s="2">
        <v>38353</v>
      </c>
      <c r="E10043" s="1" t="s">
        <v>19971</v>
      </c>
      <c r="F10043" s="1" t="s">
        <v>127</v>
      </c>
    </row>
    <row r="10044" spans="1:6" ht="30" customHeight="1" x14ac:dyDescent="0.25">
      <c r="A10044" s="1" t="s">
        <v>19972</v>
      </c>
      <c r="B10044" s="1" t="str">
        <f>"9780674040984"</f>
        <v>9780674040984</v>
      </c>
      <c r="C10044" s="1" t="s">
        <v>19110</v>
      </c>
      <c r="D10044" s="2">
        <v>39448</v>
      </c>
      <c r="E10044" s="1" t="s">
        <v>19973</v>
      </c>
      <c r="F10044" s="1" t="s">
        <v>13</v>
      </c>
    </row>
    <row r="10045" spans="1:6" ht="30" customHeight="1" x14ac:dyDescent="0.25">
      <c r="A10045" s="1" t="s">
        <v>19974</v>
      </c>
      <c r="B10045" s="1" t="str">
        <f>"9780674038813"</f>
        <v>9780674038813</v>
      </c>
      <c r="C10045" s="1" t="s">
        <v>19110</v>
      </c>
      <c r="D10045" s="2">
        <v>38718</v>
      </c>
      <c r="E10045" s="1" t="s">
        <v>19975</v>
      </c>
      <c r="F10045" s="1" t="s">
        <v>13</v>
      </c>
    </row>
    <row r="10046" spans="1:6" ht="30" customHeight="1" x14ac:dyDescent="0.25">
      <c r="A10046" s="1" t="s">
        <v>19976</v>
      </c>
      <c r="B10046" s="1" t="str">
        <f>"9780674040366"</f>
        <v>9780674040366</v>
      </c>
      <c r="C10046" s="1" t="s">
        <v>19110</v>
      </c>
      <c r="D10046" s="2">
        <v>40025</v>
      </c>
      <c r="E10046" s="1" t="s">
        <v>19977</v>
      </c>
      <c r="F10046" s="1" t="s">
        <v>30</v>
      </c>
    </row>
    <row r="10047" spans="1:6" ht="30" customHeight="1" x14ac:dyDescent="0.25">
      <c r="A10047" s="1" t="s">
        <v>19978</v>
      </c>
      <c r="B10047" s="1" t="str">
        <f>"9780674029378"</f>
        <v>9780674029378</v>
      </c>
      <c r="C10047" s="1" t="s">
        <v>19110</v>
      </c>
      <c r="D10047" s="2">
        <v>38353</v>
      </c>
      <c r="E10047" s="1" t="s">
        <v>19979</v>
      </c>
      <c r="F10047" s="1" t="s">
        <v>7847</v>
      </c>
    </row>
    <row r="10048" spans="1:6" ht="30" customHeight="1" x14ac:dyDescent="0.25">
      <c r="A10048" s="1" t="s">
        <v>19980</v>
      </c>
      <c r="B10048" s="1" t="str">
        <f>"9780674029187"</f>
        <v>9780674029187</v>
      </c>
      <c r="C10048" s="1" t="s">
        <v>19110</v>
      </c>
      <c r="D10048" s="2">
        <v>40025</v>
      </c>
      <c r="E10048" s="1" t="s">
        <v>19981</v>
      </c>
      <c r="F10048" s="1" t="s">
        <v>13</v>
      </c>
    </row>
    <row r="10049" spans="1:6" ht="30" customHeight="1" x14ac:dyDescent="0.25">
      <c r="A10049" s="1" t="s">
        <v>19982</v>
      </c>
      <c r="B10049" s="1" t="str">
        <f>"9780674039865"</f>
        <v>9780674039865</v>
      </c>
      <c r="C10049" s="1" t="s">
        <v>19110</v>
      </c>
      <c r="D10049" s="2">
        <v>39995</v>
      </c>
      <c r="E10049" s="1" t="s">
        <v>19983</v>
      </c>
      <c r="F10049" s="1" t="s">
        <v>13</v>
      </c>
    </row>
    <row r="10050" spans="1:6" ht="30" customHeight="1" x14ac:dyDescent="0.25">
      <c r="A10050" s="1" t="s">
        <v>19984</v>
      </c>
      <c r="B10050" s="1" t="str">
        <f>"9780674041127"</f>
        <v>9780674041127</v>
      </c>
      <c r="C10050" s="1" t="s">
        <v>19110</v>
      </c>
      <c r="D10050" s="2">
        <v>39995</v>
      </c>
      <c r="E10050" s="1" t="s">
        <v>19985</v>
      </c>
      <c r="F10050" s="1" t="s">
        <v>13</v>
      </c>
    </row>
    <row r="10051" spans="1:6" ht="30" customHeight="1" x14ac:dyDescent="0.25">
      <c r="A10051" s="1" t="s">
        <v>19986</v>
      </c>
      <c r="B10051" s="1" t="str">
        <f>"9780674034334"</f>
        <v>9780674034334</v>
      </c>
      <c r="C10051" s="1" t="s">
        <v>19110</v>
      </c>
      <c r="D10051" s="2">
        <v>40025</v>
      </c>
      <c r="E10051" s="1" t="s">
        <v>19987</v>
      </c>
      <c r="F10051" s="1" t="s">
        <v>13</v>
      </c>
    </row>
    <row r="10052" spans="1:6" ht="30" customHeight="1" x14ac:dyDescent="0.25">
      <c r="A10052" s="1" t="s">
        <v>19988</v>
      </c>
      <c r="B10052" s="1" t="str">
        <f>"9780674037878"</f>
        <v>9780674037878</v>
      </c>
      <c r="C10052" s="1" t="s">
        <v>19110</v>
      </c>
      <c r="D10052" s="2">
        <v>40025</v>
      </c>
      <c r="E10052" s="1" t="s">
        <v>19989</v>
      </c>
      <c r="F10052" s="1" t="s">
        <v>95</v>
      </c>
    </row>
    <row r="10053" spans="1:6" ht="30" customHeight="1" x14ac:dyDescent="0.25">
      <c r="A10053" s="1" t="s">
        <v>19990</v>
      </c>
      <c r="B10053" s="1" t="str">
        <f>"9780674041936"</f>
        <v>9780674041936</v>
      </c>
      <c r="C10053" s="1" t="s">
        <v>19110</v>
      </c>
      <c r="D10053" s="2">
        <v>40025</v>
      </c>
      <c r="E10053" s="1" t="s">
        <v>19991</v>
      </c>
      <c r="F10053" s="1" t="s">
        <v>13</v>
      </c>
    </row>
    <row r="10054" spans="1:6" ht="30" customHeight="1" x14ac:dyDescent="0.25">
      <c r="A10054" s="1" t="s">
        <v>19992</v>
      </c>
      <c r="B10054" s="1" t="str">
        <f>"9780674029927"</f>
        <v>9780674029927</v>
      </c>
      <c r="C10054" s="1" t="s">
        <v>19110</v>
      </c>
      <c r="D10054" s="2">
        <v>39448</v>
      </c>
      <c r="E10054" s="1" t="s">
        <v>19993</v>
      </c>
      <c r="F10054" s="1" t="s">
        <v>13</v>
      </c>
    </row>
    <row r="10055" spans="1:6" ht="30" customHeight="1" x14ac:dyDescent="0.25">
      <c r="A10055" s="1" t="s">
        <v>19994</v>
      </c>
      <c r="B10055" s="1" t="str">
        <f>"9780674036444"</f>
        <v>9780674036444</v>
      </c>
      <c r="C10055" s="1" t="s">
        <v>19110</v>
      </c>
      <c r="D10055" s="2">
        <v>40025</v>
      </c>
      <c r="E10055" s="1" t="s">
        <v>19995</v>
      </c>
      <c r="F10055" s="1" t="s">
        <v>19996</v>
      </c>
    </row>
    <row r="10056" spans="1:6" ht="30" customHeight="1" x14ac:dyDescent="0.25">
      <c r="A10056" s="1" t="s">
        <v>19997</v>
      </c>
      <c r="B10056" s="1" t="str">
        <f>"9780674040533"</f>
        <v>9780674040533</v>
      </c>
      <c r="C10056" s="1" t="s">
        <v>19110</v>
      </c>
      <c r="D10056" s="2">
        <v>40025</v>
      </c>
      <c r="E10056" s="1" t="s">
        <v>19998</v>
      </c>
      <c r="F10056" s="1" t="s">
        <v>13</v>
      </c>
    </row>
    <row r="10057" spans="1:6" ht="30" customHeight="1" x14ac:dyDescent="0.25">
      <c r="A10057" s="1" t="s">
        <v>19999</v>
      </c>
      <c r="B10057" s="1" t="str">
        <f>"9780674020023"</f>
        <v>9780674020023</v>
      </c>
      <c r="C10057" s="1" t="s">
        <v>19110</v>
      </c>
      <c r="D10057" s="2">
        <v>40025</v>
      </c>
      <c r="E10057" s="1" t="s">
        <v>3661</v>
      </c>
      <c r="F10057" s="1" t="s">
        <v>176</v>
      </c>
    </row>
    <row r="10058" spans="1:6" ht="30" customHeight="1" x14ac:dyDescent="0.25">
      <c r="A10058" s="1" t="s">
        <v>20000</v>
      </c>
      <c r="B10058" s="1" t="str">
        <f>"9780674041547"</f>
        <v>9780674041547</v>
      </c>
      <c r="C10058" s="1" t="s">
        <v>19110</v>
      </c>
      <c r="D10058" s="2">
        <v>40025</v>
      </c>
      <c r="E10058" s="1" t="s">
        <v>20001</v>
      </c>
      <c r="F10058" s="1" t="s">
        <v>599</v>
      </c>
    </row>
    <row r="10059" spans="1:6" ht="30" customHeight="1" x14ac:dyDescent="0.25">
      <c r="A10059" s="1" t="s">
        <v>20002</v>
      </c>
      <c r="B10059" s="1" t="str">
        <f>"9780674037946"</f>
        <v>9780674037946</v>
      </c>
      <c r="C10059" s="1" t="s">
        <v>19110</v>
      </c>
      <c r="D10059" s="2">
        <v>38442</v>
      </c>
      <c r="E10059" s="1" t="s">
        <v>20003</v>
      </c>
      <c r="F10059" s="1" t="s">
        <v>13</v>
      </c>
    </row>
    <row r="10060" spans="1:6" ht="30" customHeight="1" x14ac:dyDescent="0.25">
      <c r="A10060" s="1" t="s">
        <v>20004</v>
      </c>
      <c r="B10060" s="1" t="str">
        <f>"9780674038110"</f>
        <v>9780674038110</v>
      </c>
      <c r="C10060" s="1" t="s">
        <v>19110</v>
      </c>
      <c r="D10060" s="2">
        <v>40025</v>
      </c>
      <c r="E10060" s="1" t="s">
        <v>20005</v>
      </c>
      <c r="F10060" s="1" t="s">
        <v>20006</v>
      </c>
    </row>
    <row r="10061" spans="1:6" ht="30" customHeight="1" x14ac:dyDescent="0.25">
      <c r="A10061" s="1" t="s">
        <v>20007</v>
      </c>
      <c r="B10061" s="1" t="str">
        <f>"9780674038622"</f>
        <v>9780674038622</v>
      </c>
      <c r="C10061" s="1" t="s">
        <v>19110</v>
      </c>
      <c r="D10061" s="2">
        <v>40025</v>
      </c>
      <c r="E10061" s="1" t="s">
        <v>20008</v>
      </c>
      <c r="F10061" s="1" t="s">
        <v>70</v>
      </c>
    </row>
    <row r="10062" spans="1:6" ht="30" customHeight="1" x14ac:dyDescent="0.25">
      <c r="A10062" s="1" t="s">
        <v>20009</v>
      </c>
      <c r="B10062" s="1" t="str">
        <f>"9780674042711"</f>
        <v>9780674042711</v>
      </c>
      <c r="C10062" s="1" t="s">
        <v>19110</v>
      </c>
      <c r="D10062" s="2">
        <v>38353</v>
      </c>
      <c r="E10062" s="1" t="s">
        <v>20010</v>
      </c>
      <c r="F10062" s="1" t="s">
        <v>95</v>
      </c>
    </row>
    <row r="10063" spans="1:6" ht="30" customHeight="1" x14ac:dyDescent="0.25">
      <c r="A10063" s="1" t="s">
        <v>20011</v>
      </c>
      <c r="B10063" s="1" t="str">
        <f>"9780674029415"</f>
        <v>9780674029415</v>
      </c>
      <c r="C10063" s="1" t="s">
        <v>19110</v>
      </c>
      <c r="D10063" s="2">
        <v>40025</v>
      </c>
      <c r="E10063" s="1" t="s">
        <v>20012</v>
      </c>
      <c r="F10063" s="1" t="s">
        <v>3803</v>
      </c>
    </row>
    <row r="10064" spans="1:6" ht="30" customHeight="1" x14ac:dyDescent="0.25">
      <c r="A10064" s="1" t="s">
        <v>20013</v>
      </c>
      <c r="B10064" s="1" t="str">
        <f>"9780674038936"</f>
        <v>9780674038936</v>
      </c>
      <c r="C10064" s="1" t="s">
        <v>19110</v>
      </c>
      <c r="D10064" s="2">
        <v>40025</v>
      </c>
      <c r="E10064" s="1" t="s">
        <v>20014</v>
      </c>
      <c r="F10064" s="1" t="s">
        <v>1152</v>
      </c>
    </row>
    <row r="10065" spans="1:6" ht="30" customHeight="1" x14ac:dyDescent="0.25">
      <c r="A10065" s="1" t="s">
        <v>20015</v>
      </c>
      <c r="B10065" s="1" t="str">
        <f>"9780674020542"</f>
        <v>9780674020542</v>
      </c>
      <c r="C10065" s="1" t="s">
        <v>19110</v>
      </c>
      <c r="D10065" s="2">
        <v>38353</v>
      </c>
      <c r="E10065" s="1" t="s">
        <v>20016</v>
      </c>
      <c r="F10065" s="1" t="s">
        <v>13</v>
      </c>
    </row>
    <row r="10066" spans="1:6" ht="30" customHeight="1" x14ac:dyDescent="0.25">
      <c r="A10066" s="1" t="s">
        <v>20017</v>
      </c>
      <c r="B10066" s="1" t="str">
        <f>"9780674020177"</f>
        <v>9780674020177</v>
      </c>
      <c r="C10066" s="1" t="s">
        <v>19110</v>
      </c>
      <c r="D10066" s="2">
        <v>39448</v>
      </c>
      <c r="E10066" s="1" t="s">
        <v>20018</v>
      </c>
      <c r="F10066" s="1" t="s">
        <v>33</v>
      </c>
    </row>
    <row r="10067" spans="1:6" ht="30" customHeight="1" x14ac:dyDescent="0.25">
      <c r="A10067" s="1" t="s">
        <v>20019</v>
      </c>
      <c r="B10067" s="1" t="str">
        <f>"9780674037205"</f>
        <v>9780674037205</v>
      </c>
      <c r="C10067" s="1" t="s">
        <v>19110</v>
      </c>
      <c r="D10067" s="2">
        <v>40025</v>
      </c>
      <c r="E10067" s="1" t="s">
        <v>20020</v>
      </c>
      <c r="F10067" s="1" t="s">
        <v>214</v>
      </c>
    </row>
    <row r="10068" spans="1:6" ht="30" customHeight="1" x14ac:dyDescent="0.25">
      <c r="A10068" s="1" t="s">
        <v>20021</v>
      </c>
      <c r="B10068" s="1" t="str">
        <f>"9780674038455"</f>
        <v>9780674038455</v>
      </c>
      <c r="C10068" s="1" t="s">
        <v>19110</v>
      </c>
      <c r="D10068" s="2">
        <v>37345</v>
      </c>
      <c r="E10068" s="1" t="s">
        <v>10533</v>
      </c>
      <c r="F10068" s="1" t="s">
        <v>268</v>
      </c>
    </row>
    <row r="10069" spans="1:6" ht="30" customHeight="1" x14ac:dyDescent="0.25">
      <c r="A10069" s="1" t="s">
        <v>20022</v>
      </c>
      <c r="B10069" s="1" t="str">
        <f>"9780674023765"</f>
        <v>9780674023765</v>
      </c>
      <c r="C10069" s="1" t="s">
        <v>19110</v>
      </c>
      <c r="D10069" s="2">
        <v>39994</v>
      </c>
      <c r="E10069" s="1" t="s">
        <v>20023</v>
      </c>
      <c r="F10069" s="1" t="s">
        <v>63</v>
      </c>
    </row>
    <row r="10070" spans="1:6" ht="30" customHeight="1" x14ac:dyDescent="0.25">
      <c r="A10070" s="1" t="s">
        <v>20024</v>
      </c>
      <c r="B10070" s="1" t="str">
        <f>"9780674040434"</f>
        <v>9780674040434</v>
      </c>
      <c r="C10070" s="1" t="s">
        <v>19110</v>
      </c>
      <c r="D10070" s="2">
        <v>40025</v>
      </c>
      <c r="E10070" s="1" t="s">
        <v>20025</v>
      </c>
      <c r="F10070" s="1" t="s">
        <v>3911</v>
      </c>
    </row>
    <row r="10071" spans="1:6" ht="30" customHeight="1" x14ac:dyDescent="0.25">
      <c r="A10071" s="1" t="s">
        <v>20026</v>
      </c>
      <c r="B10071" s="1" t="str">
        <f>"9780674039230"</f>
        <v>9780674039230</v>
      </c>
      <c r="C10071" s="1" t="s">
        <v>19110</v>
      </c>
      <c r="D10071" s="2">
        <v>40025</v>
      </c>
      <c r="E10071" s="1" t="s">
        <v>20027</v>
      </c>
      <c r="F10071" s="1" t="s">
        <v>214</v>
      </c>
    </row>
    <row r="10072" spans="1:6" ht="30" customHeight="1" x14ac:dyDescent="0.25">
      <c r="A10072" s="1" t="s">
        <v>20028</v>
      </c>
      <c r="B10072" s="1" t="str">
        <f>"9780674020979"</f>
        <v>9780674020979</v>
      </c>
      <c r="C10072" s="1" t="s">
        <v>19110</v>
      </c>
      <c r="D10072" s="2">
        <v>40025</v>
      </c>
      <c r="E10072" s="1" t="s">
        <v>20029</v>
      </c>
      <c r="F10072" s="1" t="s">
        <v>13</v>
      </c>
    </row>
    <row r="10073" spans="1:6" ht="30" customHeight="1" x14ac:dyDescent="0.25">
      <c r="A10073" s="1" t="s">
        <v>20030</v>
      </c>
      <c r="B10073" s="1" t="str">
        <f>"9780674044562"</f>
        <v>9780674044562</v>
      </c>
      <c r="C10073" s="1" t="s">
        <v>19110</v>
      </c>
      <c r="D10073" s="2">
        <v>40025</v>
      </c>
      <c r="E10073" s="1" t="s">
        <v>20031</v>
      </c>
      <c r="F10073" s="1" t="s">
        <v>13</v>
      </c>
    </row>
    <row r="10074" spans="1:6" ht="30" customHeight="1" x14ac:dyDescent="0.25">
      <c r="A10074" s="1" t="s">
        <v>20032</v>
      </c>
      <c r="B10074" s="1" t="str">
        <f>"9780674041110"</f>
        <v>9780674041110</v>
      </c>
      <c r="C10074" s="1" t="s">
        <v>19110</v>
      </c>
      <c r="D10074" s="2">
        <v>39995</v>
      </c>
      <c r="E10074" s="1" t="s">
        <v>20033</v>
      </c>
      <c r="F10074" s="1" t="s">
        <v>13</v>
      </c>
    </row>
    <row r="10075" spans="1:6" ht="30" customHeight="1" x14ac:dyDescent="0.25">
      <c r="A10075" s="1" t="s">
        <v>20034</v>
      </c>
      <c r="B10075" s="1" t="str">
        <f>"9780674054066"</f>
        <v>9780674054066</v>
      </c>
      <c r="C10075" s="1" t="s">
        <v>19110</v>
      </c>
      <c r="D10075" s="2">
        <v>39814</v>
      </c>
      <c r="E10075" s="1" t="s">
        <v>20035</v>
      </c>
      <c r="F10075" s="1" t="s">
        <v>70</v>
      </c>
    </row>
    <row r="10076" spans="1:6" ht="30" customHeight="1" x14ac:dyDescent="0.25">
      <c r="A10076" s="1" t="s">
        <v>20036</v>
      </c>
      <c r="B10076" s="1" t="str">
        <f>"9780674054356"</f>
        <v>9780674054356</v>
      </c>
      <c r="C10076" s="1" t="s">
        <v>19110</v>
      </c>
      <c r="D10076" s="2">
        <v>39814</v>
      </c>
      <c r="E10076" s="1" t="s">
        <v>20037</v>
      </c>
      <c r="F10076" s="1" t="s">
        <v>20038</v>
      </c>
    </row>
    <row r="10077" spans="1:6" ht="30" customHeight="1" x14ac:dyDescent="0.25">
      <c r="A10077" s="1" t="s">
        <v>20039</v>
      </c>
      <c r="B10077" s="1" t="str">
        <f>"9780674053625"</f>
        <v>9780674053625</v>
      </c>
      <c r="C10077" s="1" t="s">
        <v>19110</v>
      </c>
      <c r="D10077" s="2">
        <v>40344</v>
      </c>
      <c r="E10077" s="1" t="s">
        <v>20040</v>
      </c>
      <c r="F10077" s="1" t="s">
        <v>20041</v>
      </c>
    </row>
    <row r="10078" spans="1:6" ht="30" customHeight="1" x14ac:dyDescent="0.25">
      <c r="A10078" s="1" t="s">
        <v>20042</v>
      </c>
      <c r="B10078" s="1" t="str">
        <f>"9780674059481"</f>
        <v>9780674059481</v>
      </c>
      <c r="C10078" s="1" t="s">
        <v>19110</v>
      </c>
      <c r="D10078" s="2">
        <v>40708</v>
      </c>
      <c r="E10078" s="1" t="s">
        <v>20043</v>
      </c>
      <c r="F10078" s="1" t="s">
        <v>13</v>
      </c>
    </row>
    <row r="10079" spans="1:6" ht="30" customHeight="1" x14ac:dyDescent="0.25">
      <c r="A10079" s="1" t="s">
        <v>20044</v>
      </c>
      <c r="B10079" s="1" t="str">
        <f>"9780674058927"</f>
        <v>9780674058927</v>
      </c>
      <c r="C10079" s="1" t="s">
        <v>19110</v>
      </c>
      <c r="D10079" s="2">
        <v>41527</v>
      </c>
      <c r="E10079" s="1" t="s">
        <v>20045</v>
      </c>
      <c r="F10079" s="1" t="s">
        <v>1344</v>
      </c>
    </row>
    <row r="10080" spans="1:6" ht="30" customHeight="1" x14ac:dyDescent="0.25">
      <c r="A10080" s="1" t="s">
        <v>20046</v>
      </c>
      <c r="B10080" s="1" t="str">
        <f>"9780674058774"</f>
        <v>9780674058774</v>
      </c>
      <c r="C10080" s="1" t="s">
        <v>19110</v>
      </c>
      <c r="D10080" s="2">
        <v>40708</v>
      </c>
      <c r="E10080" s="1" t="s">
        <v>20047</v>
      </c>
      <c r="F10080" s="1" t="s">
        <v>148</v>
      </c>
    </row>
    <row r="10081" spans="1:6" ht="30" customHeight="1" x14ac:dyDescent="0.25">
      <c r="A10081" s="1" t="s">
        <v>20048</v>
      </c>
      <c r="B10081" s="1" t="str">
        <f>"9780674062658"</f>
        <v>9780674062658</v>
      </c>
      <c r="C10081" s="1" t="s">
        <v>19110</v>
      </c>
      <c r="D10081" s="2">
        <v>40840</v>
      </c>
      <c r="E10081" s="1" t="s">
        <v>20049</v>
      </c>
      <c r="F10081" s="1" t="s">
        <v>13</v>
      </c>
    </row>
    <row r="10082" spans="1:6" ht="30" customHeight="1" x14ac:dyDescent="0.25">
      <c r="A10082" s="1" t="s">
        <v>20050</v>
      </c>
      <c r="B10082" s="1" t="str">
        <f>"9780674063273"</f>
        <v>9780674063273</v>
      </c>
      <c r="C10082" s="1" t="s">
        <v>19110</v>
      </c>
      <c r="D10082" s="2">
        <v>40878</v>
      </c>
      <c r="E10082" s="1" t="s">
        <v>20051</v>
      </c>
      <c r="F10082" s="1" t="s">
        <v>13</v>
      </c>
    </row>
    <row r="10083" spans="1:6" ht="30" customHeight="1" x14ac:dyDescent="0.25">
      <c r="A10083" s="1" t="s">
        <v>20052</v>
      </c>
      <c r="B10083" s="1" t="str">
        <f>"9780674063150"</f>
        <v>9780674063150</v>
      </c>
      <c r="C10083" s="1" t="s">
        <v>19110</v>
      </c>
      <c r="D10083" s="2">
        <v>40910</v>
      </c>
      <c r="E10083" s="1" t="s">
        <v>20053</v>
      </c>
      <c r="F10083" s="1" t="s">
        <v>4011</v>
      </c>
    </row>
    <row r="10084" spans="1:6" ht="30" customHeight="1" x14ac:dyDescent="0.25">
      <c r="A10084" s="1" t="s">
        <v>20054</v>
      </c>
      <c r="B10084" s="1" t="str">
        <f>"9780674064737"</f>
        <v>9780674064737</v>
      </c>
      <c r="C10084" s="1" t="s">
        <v>19110</v>
      </c>
      <c r="D10084" s="2">
        <v>41152</v>
      </c>
      <c r="E10084" s="1" t="s">
        <v>20055</v>
      </c>
      <c r="F10084" s="1" t="s">
        <v>30</v>
      </c>
    </row>
    <row r="10085" spans="1:6" ht="30" customHeight="1" x14ac:dyDescent="0.25">
      <c r="A10085" s="1" t="s">
        <v>20056</v>
      </c>
      <c r="B10085" s="1" t="str">
        <f>"9780674074408"</f>
        <v>9780674074408</v>
      </c>
      <c r="C10085" s="1" t="s">
        <v>19110</v>
      </c>
      <c r="D10085" s="2">
        <v>41368</v>
      </c>
      <c r="E10085" s="1" t="s">
        <v>20057</v>
      </c>
      <c r="F10085" s="1" t="s">
        <v>304</v>
      </c>
    </row>
    <row r="10086" spans="1:6" ht="30" customHeight="1" x14ac:dyDescent="0.25">
      <c r="A10086" s="1" t="s">
        <v>20058</v>
      </c>
      <c r="B10086" s="1" t="str">
        <f>"9780674726567"</f>
        <v>9780674726567</v>
      </c>
      <c r="C10086" s="1" t="s">
        <v>19110</v>
      </c>
      <c r="D10086" s="2">
        <v>41534</v>
      </c>
      <c r="E10086" s="1" t="s">
        <v>20059</v>
      </c>
      <c r="F10086" s="1" t="s">
        <v>13</v>
      </c>
    </row>
    <row r="10087" spans="1:6" ht="30" customHeight="1" x14ac:dyDescent="0.25">
      <c r="A10087" s="1" t="s">
        <v>20060</v>
      </c>
      <c r="B10087" s="1" t="str">
        <f>"9781567933215"</f>
        <v>9781567933215</v>
      </c>
      <c r="C10087" s="1" t="s">
        <v>20061</v>
      </c>
      <c r="D10087" s="2">
        <v>39417</v>
      </c>
      <c r="E10087" s="1" t="s">
        <v>20062</v>
      </c>
      <c r="F10087" s="1" t="s">
        <v>95</v>
      </c>
    </row>
    <row r="10088" spans="1:6" ht="30" customHeight="1" x14ac:dyDescent="0.25">
      <c r="A10088" s="1" t="s">
        <v>20063</v>
      </c>
      <c r="B10088" s="1" t="str">
        <f>"9781567933208"</f>
        <v>9781567933208</v>
      </c>
      <c r="C10088" s="1" t="s">
        <v>20061</v>
      </c>
      <c r="D10088" s="2">
        <v>39234</v>
      </c>
      <c r="E10088" s="1" t="s">
        <v>20064</v>
      </c>
      <c r="F10088" s="1" t="s">
        <v>19219</v>
      </c>
    </row>
    <row r="10089" spans="1:6" ht="30" customHeight="1" x14ac:dyDescent="0.25">
      <c r="A10089" s="1" t="s">
        <v>20065</v>
      </c>
      <c r="B10089" s="1" t="str">
        <f>"9781567933185"</f>
        <v>9781567933185</v>
      </c>
      <c r="C10089" s="1" t="s">
        <v>20061</v>
      </c>
      <c r="D10089" s="2">
        <v>39387</v>
      </c>
      <c r="E10089" s="1" t="s">
        <v>20066</v>
      </c>
      <c r="F10089" s="1" t="s">
        <v>95</v>
      </c>
    </row>
    <row r="10090" spans="1:6" ht="30" customHeight="1" x14ac:dyDescent="0.25">
      <c r="A10090" s="1" t="s">
        <v>20067</v>
      </c>
      <c r="B10090" s="1" t="str">
        <f>"9781567933161"</f>
        <v>9781567933161</v>
      </c>
      <c r="C10090" s="1" t="s">
        <v>20061</v>
      </c>
      <c r="D10090" s="2">
        <v>39661</v>
      </c>
      <c r="E10090" s="1" t="s">
        <v>20068</v>
      </c>
      <c r="F10090" s="1" t="s">
        <v>30</v>
      </c>
    </row>
    <row r="10091" spans="1:6" ht="30" customHeight="1" x14ac:dyDescent="0.25">
      <c r="A10091" s="1" t="s">
        <v>20069</v>
      </c>
      <c r="B10091" s="1" t="str">
        <f>"9781567933192"</f>
        <v>9781567933192</v>
      </c>
      <c r="C10091" s="1" t="s">
        <v>20061</v>
      </c>
      <c r="D10091" s="2">
        <v>39142</v>
      </c>
      <c r="E10091" s="1" t="s">
        <v>20070</v>
      </c>
      <c r="F10091" s="1" t="s">
        <v>95</v>
      </c>
    </row>
    <row r="10092" spans="1:6" ht="30" customHeight="1" x14ac:dyDescent="0.25">
      <c r="A10092" s="1" t="s">
        <v>20071</v>
      </c>
      <c r="B10092" s="1" t="str">
        <f>"9781567933222"</f>
        <v>9781567933222</v>
      </c>
      <c r="C10092" s="1" t="s">
        <v>20061</v>
      </c>
      <c r="D10092" s="2">
        <v>39295</v>
      </c>
      <c r="E10092" s="1" t="s">
        <v>20072</v>
      </c>
      <c r="F10092" s="1" t="s">
        <v>95</v>
      </c>
    </row>
    <row r="10093" spans="1:6" ht="30" customHeight="1" x14ac:dyDescent="0.25">
      <c r="A10093" s="1" t="s">
        <v>20073</v>
      </c>
      <c r="B10093" s="1" t="str">
        <f>"9781567932904"</f>
        <v>9781567932904</v>
      </c>
      <c r="C10093" s="1" t="s">
        <v>20061</v>
      </c>
      <c r="D10093" s="2">
        <v>39203</v>
      </c>
      <c r="E10093" s="1" t="s">
        <v>20074</v>
      </c>
      <c r="F10093" s="1" t="s">
        <v>30</v>
      </c>
    </row>
    <row r="10094" spans="1:6" ht="30" customHeight="1" x14ac:dyDescent="0.25">
      <c r="A10094" s="1" t="s">
        <v>20075</v>
      </c>
      <c r="B10094" s="1" t="str">
        <f>"9781567933178"</f>
        <v>9781567933178</v>
      </c>
      <c r="C10094" s="1" t="s">
        <v>20061</v>
      </c>
      <c r="D10094" s="2">
        <v>39569</v>
      </c>
      <c r="E10094" s="1" t="s">
        <v>20076</v>
      </c>
      <c r="F10094" s="1" t="s">
        <v>95</v>
      </c>
    </row>
    <row r="10095" spans="1:6" ht="30" customHeight="1" x14ac:dyDescent="0.25">
      <c r="A10095" s="1" t="s">
        <v>20077</v>
      </c>
      <c r="B10095" s="1" t="str">
        <f>"9781567933321"</f>
        <v>9781567933321</v>
      </c>
      <c r="C10095" s="1" t="s">
        <v>20061</v>
      </c>
      <c r="D10095" s="2">
        <v>39783</v>
      </c>
      <c r="E10095" s="1" t="s">
        <v>20078</v>
      </c>
      <c r="F10095" s="1" t="s">
        <v>20079</v>
      </c>
    </row>
    <row r="10096" spans="1:6" ht="30" customHeight="1" x14ac:dyDescent="0.25">
      <c r="A10096" s="1" t="s">
        <v>20080</v>
      </c>
      <c r="B10096" s="1" t="str">
        <f>"9781567933468"</f>
        <v>9781567933468</v>
      </c>
      <c r="C10096" s="1" t="s">
        <v>20061</v>
      </c>
      <c r="D10096" s="2">
        <v>39873</v>
      </c>
      <c r="E10096" s="1" t="s">
        <v>20081</v>
      </c>
      <c r="F10096" s="1" t="s">
        <v>30</v>
      </c>
    </row>
    <row r="10097" spans="1:6" ht="30" customHeight="1" x14ac:dyDescent="0.25">
      <c r="A10097" s="1" t="s">
        <v>20082</v>
      </c>
      <c r="B10097" s="1" t="str">
        <f>"9781567933338"</f>
        <v>9781567933338</v>
      </c>
      <c r="C10097" s="1" t="s">
        <v>20061</v>
      </c>
      <c r="D10097" s="2">
        <v>39783</v>
      </c>
      <c r="E10097" s="1" t="s">
        <v>20083</v>
      </c>
      <c r="F10097" s="1" t="s">
        <v>95</v>
      </c>
    </row>
    <row r="10098" spans="1:6" ht="30" customHeight="1" x14ac:dyDescent="0.25">
      <c r="A10098" s="1" t="s">
        <v>20084</v>
      </c>
      <c r="B10098" s="1" t="str">
        <f>"9781567933451"</f>
        <v>9781567933451</v>
      </c>
      <c r="C10098" s="1" t="s">
        <v>20061</v>
      </c>
      <c r="D10098" s="2">
        <v>39873</v>
      </c>
      <c r="E10098" s="1" t="s">
        <v>20085</v>
      </c>
      <c r="F10098" s="1" t="s">
        <v>95</v>
      </c>
    </row>
    <row r="10099" spans="1:6" ht="30" customHeight="1" x14ac:dyDescent="0.25">
      <c r="A10099" s="1" t="s">
        <v>20086</v>
      </c>
      <c r="B10099" s="1" t="str">
        <f>"9781567933475"</f>
        <v>9781567933475</v>
      </c>
      <c r="C10099" s="1" t="s">
        <v>20061</v>
      </c>
      <c r="D10099" s="2">
        <v>39845</v>
      </c>
      <c r="E10099" s="1" t="s">
        <v>20087</v>
      </c>
      <c r="F10099" s="1" t="s">
        <v>95</v>
      </c>
    </row>
    <row r="10100" spans="1:6" ht="30" customHeight="1" x14ac:dyDescent="0.25">
      <c r="A10100" s="1" t="s">
        <v>20088</v>
      </c>
      <c r="B10100" s="1" t="str">
        <f>"9781567933314"</f>
        <v>9781567933314</v>
      </c>
      <c r="C10100" s="1" t="s">
        <v>20061</v>
      </c>
      <c r="D10100" s="2">
        <v>39783</v>
      </c>
      <c r="E10100" s="1" t="s">
        <v>20089</v>
      </c>
      <c r="F10100" s="1" t="s">
        <v>95</v>
      </c>
    </row>
    <row r="10101" spans="1:6" ht="30" customHeight="1" x14ac:dyDescent="0.25">
      <c r="A10101" s="1" t="s">
        <v>20090</v>
      </c>
      <c r="B10101" s="1" t="str">
        <f>""</f>
        <v/>
      </c>
      <c r="C10101" s="1" t="s">
        <v>20061</v>
      </c>
      <c r="D10101" s="2">
        <v>40210</v>
      </c>
      <c r="E10101" s="1" t="s">
        <v>20091</v>
      </c>
      <c r="F10101" s="1" t="s">
        <v>148</v>
      </c>
    </row>
    <row r="10102" spans="1:6" ht="30" customHeight="1" x14ac:dyDescent="0.25">
      <c r="A10102" s="1" t="s">
        <v>20092</v>
      </c>
      <c r="B10102" s="1" t="str">
        <f>""</f>
        <v/>
      </c>
      <c r="C10102" s="1" t="s">
        <v>20061</v>
      </c>
      <c r="D10102" s="2">
        <v>38899</v>
      </c>
      <c r="E10102" s="1" t="s">
        <v>20093</v>
      </c>
      <c r="F10102" s="1" t="s">
        <v>30</v>
      </c>
    </row>
    <row r="10103" spans="1:6" ht="30" customHeight="1" x14ac:dyDescent="0.25">
      <c r="A10103" s="1" t="s">
        <v>20094</v>
      </c>
      <c r="B10103" s="1" t="str">
        <f>"9781567934298"</f>
        <v>9781567934298</v>
      </c>
      <c r="C10103" s="1" t="s">
        <v>20061</v>
      </c>
      <c r="D10103" s="2">
        <v>40603</v>
      </c>
      <c r="E10103" s="1" t="s">
        <v>20095</v>
      </c>
      <c r="F10103" s="1" t="s">
        <v>30</v>
      </c>
    </row>
    <row r="10104" spans="1:6" ht="30" customHeight="1" x14ac:dyDescent="0.25">
      <c r="A10104" s="1" t="s">
        <v>20096</v>
      </c>
      <c r="B10104" s="1" t="str">
        <f>"9781567934274"</f>
        <v>9781567934274</v>
      </c>
      <c r="C10104" s="1" t="s">
        <v>20061</v>
      </c>
      <c r="D10104" s="2">
        <v>40603</v>
      </c>
      <c r="E10104" s="1" t="s">
        <v>20097</v>
      </c>
      <c r="F10104" s="1" t="s">
        <v>30</v>
      </c>
    </row>
    <row r="10105" spans="1:6" ht="30" customHeight="1" x14ac:dyDescent="0.25">
      <c r="A10105" s="1" t="s">
        <v>20098</v>
      </c>
      <c r="B10105" s="1" t="str">
        <f>"9781567934328"</f>
        <v>9781567934328</v>
      </c>
      <c r="C10105" s="1" t="s">
        <v>20061</v>
      </c>
      <c r="D10105" s="2">
        <v>40567</v>
      </c>
      <c r="E10105" s="1" t="s">
        <v>20099</v>
      </c>
      <c r="F10105" s="1" t="s">
        <v>30</v>
      </c>
    </row>
    <row r="10106" spans="1:6" ht="30" customHeight="1" x14ac:dyDescent="0.25">
      <c r="A10106" s="1" t="s">
        <v>20100</v>
      </c>
      <c r="B10106" s="1" t="str">
        <f>"9781567934335"</f>
        <v>9781567934335</v>
      </c>
      <c r="C10106" s="1" t="s">
        <v>20061</v>
      </c>
      <c r="D10106" s="2">
        <v>40483</v>
      </c>
      <c r="E10106" s="1" t="s">
        <v>20101</v>
      </c>
      <c r="F10106" s="1" t="s">
        <v>95</v>
      </c>
    </row>
    <row r="10107" spans="1:6" ht="30" customHeight="1" x14ac:dyDescent="0.25">
      <c r="A10107" s="1" t="s">
        <v>20102</v>
      </c>
      <c r="B10107" s="1" t="str">
        <f>"9781567934304"</f>
        <v>9781567934304</v>
      </c>
      <c r="C10107" s="1" t="s">
        <v>20061</v>
      </c>
      <c r="D10107" s="2">
        <v>40513</v>
      </c>
      <c r="E10107" s="1" t="s">
        <v>20103</v>
      </c>
      <c r="F10107" s="1" t="s">
        <v>95</v>
      </c>
    </row>
    <row r="10108" spans="1:6" ht="30" customHeight="1" x14ac:dyDescent="0.25">
      <c r="A10108" s="1" t="s">
        <v>20104</v>
      </c>
      <c r="B10108" s="1" t="str">
        <f>"9781567934465"</f>
        <v>9781567934465</v>
      </c>
      <c r="C10108" s="1" t="s">
        <v>20061</v>
      </c>
      <c r="D10108" s="2">
        <v>40695</v>
      </c>
      <c r="E10108" s="1" t="s">
        <v>20105</v>
      </c>
      <c r="F10108" s="1" t="s">
        <v>95</v>
      </c>
    </row>
    <row r="10109" spans="1:6" ht="30" customHeight="1" x14ac:dyDescent="0.25">
      <c r="A10109" s="1" t="s">
        <v>20106</v>
      </c>
      <c r="B10109" s="1" t="str">
        <f>""</f>
        <v/>
      </c>
      <c r="C10109" s="1" t="s">
        <v>20061</v>
      </c>
      <c r="D10109" s="2">
        <v>40969</v>
      </c>
      <c r="E10109" s="1" t="s">
        <v>20107</v>
      </c>
      <c r="F10109" s="1" t="s">
        <v>8581</v>
      </c>
    </row>
    <row r="10110" spans="1:6" ht="30" customHeight="1" x14ac:dyDescent="0.25">
      <c r="A10110" s="1" t="s">
        <v>20108</v>
      </c>
      <c r="B10110" s="1" t="str">
        <f>""</f>
        <v/>
      </c>
      <c r="C10110" s="1" t="s">
        <v>20061</v>
      </c>
      <c r="D10110" s="2">
        <v>41426</v>
      </c>
      <c r="E10110" s="1" t="s">
        <v>20061</v>
      </c>
      <c r="F10110" s="1" t="s">
        <v>30</v>
      </c>
    </row>
    <row r="10111" spans="1:6" ht="30" customHeight="1" x14ac:dyDescent="0.25">
      <c r="A10111" s="1" t="s">
        <v>20109</v>
      </c>
      <c r="B10111" s="1" t="str">
        <f>""</f>
        <v/>
      </c>
      <c r="C10111" s="1" t="s">
        <v>20061</v>
      </c>
      <c r="D10111" s="2">
        <v>41306</v>
      </c>
      <c r="E10111" s="1" t="s">
        <v>20110</v>
      </c>
      <c r="F10111" s="1" t="s">
        <v>30</v>
      </c>
    </row>
    <row r="10112" spans="1:6" ht="30" customHeight="1" x14ac:dyDescent="0.25">
      <c r="A10112" s="1" t="s">
        <v>20111</v>
      </c>
      <c r="B10112" s="1" t="str">
        <f>""</f>
        <v/>
      </c>
      <c r="C10112" s="1" t="s">
        <v>20061</v>
      </c>
      <c r="D10112" s="2">
        <v>41518</v>
      </c>
      <c r="E10112" s="1" t="s">
        <v>20112</v>
      </c>
      <c r="F10112" s="1" t="s">
        <v>367</v>
      </c>
    </row>
    <row r="10113" spans="1:6" ht="30" customHeight="1" x14ac:dyDescent="0.25">
      <c r="A10113" s="1" t="s">
        <v>20113</v>
      </c>
      <c r="B10113" s="1" t="str">
        <f>""</f>
        <v/>
      </c>
      <c r="C10113" s="1" t="s">
        <v>20061</v>
      </c>
      <c r="D10113" s="2">
        <v>40969</v>
      </c>
      <c r="E10113" s="1" t="s">
        <v>20114</v>
      </c>
      <c r="F10113" s="1" t="s">
        <v>13</v>
      </c>
    </row>
    <row r="10114" spans="1:6" ht="30" customHeight="1" x14ac:dyDescent="0.25">
      <c r="A10114" s="1" t="s">
        <v>20115</v>
      </c>
      <c r="B10114" s="1" t="str">
        <f>""</f>
        <v/>
      </c>
      <c r="C10114" s="1" t="s">
        <v>20061</v>
      </c>
      <c r="D10114" s="2">
        <v>41609</v>
      </c>
      <c r="E10114" s="1" t="s">
        <v>20061</v>
      </c>
      <c r="F10114" s="1" t="s">
        <v>13</v>
      </c>
    </row>
    <row r="10115" spans="1:6" ht="30" customHeight="1" x14ac:dyDescent="0.25">
      <c r="A10115" s="1" t="s">
        <v>20116</v>
      </c>
      <c r="B10115" s="1" t="str">
        <f>""</f>
        <v/>
      </c>
      <c r="C10115" s="1" t="s">
        <v>20061</v>
      </c>
      <c r="D10115" s="2">
        <v>41334</v>
      </c>
      <c r="E10115" s="1" t="s">
        <v>20061</v>
      </c>
      <c r="F10115" s="1" t="s">
        <v>95</v>
      </c>
    </row>
    <row r="10116" spans="1:6" ht="30" customHeight="1" x14ac:dyDescent="0.25">
      <c r="A10116" s="1" t="s">
        <v>20117</v>
      </c>
      <c r="B10116" s="1" t="str">
        <f>"9780817914462"</f>
        <v>9780817914462</v>
      </c>
      <c r="C10116" s="1" t="s">
        <v>14360</v>
      </c>
      <c r="D10116" s="2">
        <v>40909</v>
      </c>
      <c r="E10116" s="1" t="s">
        <v>20118</v>
      </c>
      <c r="F10116" s="1" t="s">
        <v>95</v>
      </c>
    </row>
    <row r="10117" spans="1:6" ht="30" customHeight="1" x14ac:dyDescent="0.25">
      <c r="A10117" s="1" t="s">
        <v>20119</v>
      </c>
      <c r="B10117" s="1" t="str">
        <f>"9780817910563"</f>
        <v>9780817910563</v>
      </c>
      <c r="C10117" s="1" t="s">
        <v>14360</v>
      </c>
      <c r="D10117" s="2">
        <v>40360</v>
      </c>
      <c r="E10117" s="1" t="s">
        <v>20120</v>
      </c>
      <c r="F10117" s="1" t="s">
        <v>30</v>
      </c>
    </row>
    <row r="10118" spans="1:6" ht="30" customHeight="1" x14ac:dyDescent="0.25">
      <c r="A10118" s="1" t="s">
        <v>20121</v>
      </c>
      <c r="B10118" s="1" t="str">
        <f>"9780817910464"</f>
        <v>9780817910464</v>
      </c>
      <c r="C10118" s="1" t="s">
        <v>14360</v>
      </c>
      <c r="D10118" s="2">
        <v>40269</v>
      </c>
      <c r="E10118" s="1" t="s">
        <v>20122</v>
      </c>
      <c r="F10118" s="1" t="s">
        <v>4434</v>
      </c>
    </row>
    <row r="10119" spans="1:6" ht="30" customHeight="1" x14ac:dyDescent="0.25">
      <c r="A10119" s="1" t="s">
        <v>20123</v>
      </c>
      <c r="B10119" s="1" t="str">
        <f>"9780817910662"</f>
        <v>9780817910662</v>
      </c>
      <c r="C10119" s="1" t="s">
        <v>14360</v>
      </c>
      <c r="D10119" s="2">
        <v>40603</v>
      </c>
      <c r="E10119" s="1" t="s">
        <v>20124</v>
      </c>
      <c r="F10119" s="1" t="s">
        <v>30</v>
      </c>
    </row>
    <row r="10120" spans="1:6" ht="30" customHeight="1" x14ac:dyDescent="0.25">
      <c r="A10120" s="1" t="s">
        <v>20125</v>
      </c>
      <c r="B10120" s="1" t="str">
        <f>"9780817945930"</f>
        <v>9780817945930</v>
      </c>
      <c r="C10120" s="1" t="s">
        <v>14360</v>
      </c>
      <c r="D10120" s="2">
        <v>38384</v>
      </c>
      <c r="E10120" s="1" t="s">
        <v>20126</v>
      </c>
      <c r="F10120" s="1" t="s">
        <v>95</v>
      </c>
    </row>
    <row r="10121" spans="1:6" ht="30" customHeight="1" x14ac:dyDescent="0.25">
      <c r="A10121" s="1" t="s">
        <v>20127</v>
      </c>
      <c r="B10121" s="1" t="str">
        <f>"9780817912765"</f>
        <v>9780817912765</v>
      </c>
      <c r="C10121" s="1" t="s">
        <v>14360</v>
      </c>
      <c r="D10121" s="2">
        <v>40452</v>
      </c>
      <c r="E10121" s="1" t="s">
        <v>20118</v>
      </c>
      <c r="F10121" s="1" t="s">
        <v>95</v>
      </c>
    </row>
    <row r="10122" spans="1:6" ht="30" customHeight="1" x14ac:dyDescent="0.25">
      <c r="A10122" s="1" t="s">
        <v>20128</v>
      </c>
      <c r="B10122" s="1" t="str">
        <f>""</f>
        <v/>
      </c>
      <c r="C10122" s="1" t="s">
        <v>20129</v>
      </c>
      <c r="D10122" s="2">
        <v>36892</v>
      </c>
      <c r="E10122" s="1" t="s">
        <v>20130</v>
      </c>
      <c r="F10122" s="1" t="s">
        <v>95</v>
      </c>
    </row>
    <row r="10123" spans="1:6" ht="30" customHeight="1" x14ac:dyDescent="0.25">
      <c r="A10123" s="1" t="s">
        <v>20131</v>
      </c>
      <c r="B10123" s="1" t="str">
        <f>""</f>
        <v/>
      </c>
      <c r="C10123" s="1" t="s">
        <v>20129</v>
      </c>
      <c r="D10123" s="2">
        <v>37622</v>
      </c>
      <c r="E10123" s="1" t="s">
        <v>20132</v>
      </c>
      <c r="F10123" s="1" t="s">
        <v>30</v>
      </c>
    </row>
    <row r="10124" spans="1:6" ht="30" customHeight="1" x14ac:dyDescent="0.25">
      <c r="A10124" s="1" t="s">
        <v>20133</v>
      </c>
      <c r="B10124" s="1" t="str">
        <f>""</f>
        <v/>
      </c>
      <c r="C10124" s="1" t="s">
        <v>20129</v>
      </c>
      <c r="D10124" s="2">
        <v>39052</v>
      </c>
      <c r="E10124" s="1" t="s">
        <v>20129</v>
      </c>
      <c r="F10124" s="1" t="s">
        <v>95</v>
      </c>
    </row>
    <row r="10125" spans="1:6" ht="30" customHeight="1" x14ac:dyDescent="0.25">
      <c r="A10125" s="1" t="s">
        <v>20134</v>
      </c>
      <c r="B10125" s="1" t="str">
        <f>""</f>
        <v/>
      </c>
      <c r="C10125" s="1" t="s">
        <v>20135</v>
      </c>
      <c r="D10125" s="2">
        <v>37865</v>
      </c>
      <c r="E10125" s="1" t="s">
        <v>20136</v>
      </c>
      <c r="F10125" s="1" t="s">
        <v>137</v>
      </c>
    </row>
    <row r="10126" spans="1:6" ht="30" customHeight="1" x14ac:dyDescent="0.25">
      <c r="A10126" s="1" t="s">
        <v>20137</v>
      </c>
      <c r="B10126" s="1" t="str">
        <f>""</f>
        <v/>
      </c>
      <c r="C10126" s="1" t="s">
        <v>20138</v>
      </c>
      <c r="D10126" s="2">
        <v>37987</v>
      </c>
      <c r="E10126" s="1" t="s">
        <v>20139</v>
      </c>
      <c r="F10126" s="1" t="s">
        <v>158</v>
      </c>
    </row>
    <row r="10127" spans="1:6" ht="30" customHeight="1" x14ac:dyDescent="0.25">
      <c r="A10127" s="1" t="s">
        <v>20140</v>
      </c>
      <c r="B10127" s="1" t="str">
        <f>"9781609605605"</f>
        <v>9781609605605</v>
      </c>
      <c r="C10127" s="1" t="s">
        <v>20141</v>
      </c>
      <c r="D10127" s="2">
        <v>40694</v>
      </c>
      <c r="E10127" s="1" t="s">
        <v>20142</v>
      </c>
      <c r="F10127" s="1" t="s">
        <v>13</v>
      </c>
    </row>
    <row r="10128" spans="1:6" ht="30" customHeight="1" x14ac:dyDescent="0.25">
      <c r="A10128" s="1" t="s">
        <v>20143</v>
      </c>
      <c r="B10128" s="1" t="str">
        <f>"9781573879163"</f>
        <v>9781573879163</v>
      </c>
      <c r="C10128" s="1" t="s">
        <v>20144</v>
      </c>
      <c r="D10128" s="2">
        <v>40269</v>
      </c>
      <c r="E10128" s="1" t="s">
        <v>20145</v>
      </c>
      <c r="F10128" s="1" t="s">
        <v>20146</v>
      </c>
    </row>
    <row r="10129" spans="1:6" ht="30" customHeight="1" x14ac:dyDescent="0.25">
      <c r="A10129" s="1" t="s">
        <v>20147</v>
      </c>
      <c r="B10129" s="1" t="str">
        <f>"9781597263832"</f>
        <v>9781597263832</v>
      </c>
      <c r="C10129" s="1" t="s">
        <v>20148</v>
      </c>
      <c r="D10129" s="2">
        <v>38808</v>
      </c>
      <c r="E10129" s="1" t="s">
        <v>20149</v>
      </c>
      <c r="F10129" s="1" t="s">
        <v>20150</v>
      </c>
    </row>
    <row r="10130" spans="1:6" ht="30" customHeight="1" x14ac:dyDescent="0.25">
      <c r="A10130" s="1" t="s">
        <v>20151</v>
      </c>
      <c r="B10130" s="1" t="str">
        <f>"9781597266314"</f>
        <v>9781597266314</v>
      </c>
      <c r="C10130" s="1" t="s">
        <v>20148</v>
      </c>
      <c r="D10130" s="2">
        <v>40179</v>
      </c>
      <c r="E10130" s="1" t="s">
        <v>20152</v>
      </c>
      <c r="F10130" s="1" t="s">
        <v>87</v>
      </c>
    </row>
    <row r="10131" spans="1:6" ht="30" customHeight="1" x14ac:dyDescent="0.25">
      <c r="A10131" s="1" t="s">
        <v>20153</v>
      </c>
      <c r="B10131" s="1" t="str">
        <f>"9781610912211"</f>
        <v>9781610912211</v>
      </c>
      <c r="C10131" s="1" t="s">
        <v>20148</v>
      </c>
      <c r="D10131" s="2">
        <v>42095</v>
      </c>
      <c r="E10131" s="1" t="s">
        <v>19811</v>
      </c>
      <c r="F10131" s="1" t="s">
        <v>30</v>
      </c>
    </row>
    <row r="10132" spans="1:6" ht="30" customHeight="1" x14ac:dyDescent="0.25">
      <c r="A10132" s="1" t="s">
        <v>20154</v>
      </c>
      <c r="B10132" s="1" t="str">
        <f>"9781597268844"</f>
        <v>9781597268844</v>
      </c>
      <c r="C10132" s="1" t="s">
        <v>20148</v>
      </c>
      <c r="D10132" s="2">
        <v>41773</v>
      </c>
      <c r="E10132" s="1" t="s">
        <v>20155</v>
      </c>
      <c r="F10132" s="1" t="s">
        <v>19548</v>
      </c>
    </row>
    <row r="10133" spans="1:6" ht="30" customHeight="1" x14ac:dyDescent="0.25">
      <c r="A10133" s="1" t="s">
        <v>20156</v>
      </c>
      <c r="B10133" s="1" t="str">
        <f>"9781597264532"</f>
        <v>9781597264532</v>
      </c>
      <c r="C10133" s="1" t="s">
        <v>20148</v>
      </c>
      <c r="D10133" s="2">
        <v>39614</v>
      </c>
      <c r="E10133" s="1" t="s">
        <v>20157</v>
      </c>
      <c r="F10133" s="1" t="s">
        <v>176</v>
      </c>
    </row>
    <row r="10134" spans="1:6" ht="30" customHeight="1" x14ac:dyDescent="0.25">
      <c r="A10134" s="1" t="s">
        <v>20158</v>
      </c>
      <c r="B10134" s="1" t="str">
        <f>"9782742012343"</f>
        <v>9782742012343</v>
      </c>
      <c r="C10134" s="1" t="s">
        <v>17191</v>
      </c>
      <c r="D10134" s="2">
        <v>40544</v>
      </c>
      <c r="E10134" s="1" t="s">
        <v>20159</v>
      </c>
      <c r="F10134" s="1" t="s">
        <v>20160</v>
      </c>
    </row>
    <row r="10135" spans="1:6" ht="30" customHeight="1" x14ac:dyDescent="0.25">
      <c r="A10135" s="1" t="s">
        <v>20161</v>
      </c>
      <c r="B10135" s="1" t="str">
        <f>"9782742012305"</f>
        <v>9782742012305</v>
      </c>
      <c r="C10135" s="1" t="s">
        <v>17191</v>
      </c>
      <c r="D10135" s="2">
        <v>38718</v>
      </c>
      <c r="E10135" s="1" t="s">
        <v>20162</v>
      </c>
      <c r="F10135" s="1" t="s">
        <v>205</v>
      </c>
    </row>
    <row r="10136" spans="1:6" ht="30" customHeight="1" x14ac:dyDescent="0.25">
      <c r="A10136" s="1" t="s">
        <v>20163</v>
      </c>
      <c r="B10136" s="1" t="str">
        <f>"9782742012381"</f>
        <v>9782742012381</v>
      </c>
      <c r="C10136" s="1" t="s">
        <v>17191</v>
      </c>
      <c r="D10136" s="2">
        <v>41244</v>
      </c>
      <c r="E10136" s="1" t="s">
        <v>20164</v>
      </c>
      <c r="F10136" s="1" t="s">
        <v>21</v>
      </c>
    </row>
    <row r="10137" spans="1:6" ht="30" customHeight="1" x14ac:dyDescent="0.25">
      <c r="A10137" s="1" t="s">
        <v>20165</v>
      </c>
      <c r="B10137" s="1" t="str">
        <f>"9782742009152"</f>
        <v>9782742009152</v>
      </c>
      <c r="C10137" s="1" t="s">
        <v>17191</v>
      </c>
      <c r="D10137" s="2">
        <v>41893</v>
      </c>
      <c r="E10137" s="1" t="s">
        <v>20166</v>
      </c>
      <c r="F10137" s="1" t="s">
        <v>13</v>
      </c>
    </row>
    <row r="10138" spans="1:6" ht="30" customHeight="1" x14ac:dyDescent="0.25">
      <c r="A10138" s="1" t="s">
        <v>20167</v>
      </c>
      <c r="B10138" s="1" t="str">
        <f>"9782742012503"</f>
        <v>9782742012503</v>
      </c>
      <c r="C10138" s="1" t="s">
        <v>17191</v>
      </c>
      <c r="D10138" s="2">
        <v>41122</v>
      </c>
      <c r="E10138" s="1" t="s">
        <v>20168</v>
      </c>
      <c r="F10138" s="1" t="s">
        <v>13</v>
      </c>
    </row>
    <row r="10139" spans="1:6" ht="30" customHeight="1" x14ac:dyDescent="0.25">
      <c r="A10139" s="1" t="s">
        <v>20169</v>
      </c>
      <c r="B10139" s="1" t="str">
        <f>"9782742009275"</f>
        <v>9782742009275</v>
      </c>
      <c r="C10139" s="1" t="s">
        <v>17191</v>
      </c>
      <c r="D10139" s="2">
        <v>41172</v>
      </c>
      <c r="E10139" s="1" t="s">
        <v>20170</v>
      </c>
      <c r="F10139" s="1" t="s">
        <v>13</v>
      </c>
    </row>
    <row r="10140" spans="1:6" ht="30" customHeight="1" x14ac:dyDescent="0.25">
      <c r="A10140" s="1" t="s">
        <v>20171</v>
      </c>
      <c r="B10140" s="1" t="str">
        <f>"9782742012725"</f>
        <v>9782742012725</v>
      </c>
      <c r="C10140" s="1" t="s">
        <v>17191</v>
      </c>
      <c r="D10140" s="2">
        <v>41893</v>
      </c>
      <c r="E10140" s="1" t="s">
        <v>20172</v>
      </c>
      <c r="F10140" s="1" t="s">
        <v>13</v>
      </c>
    </row>
    <row r="10141" spans="1:6" ht="30" customHeight="1" x14ac:dyDescent="0.25">
      <c r="A10141" s="1" t="s">
        <v>20173</v>
      </c>
      <c r="B10141" s="1" t="str">
        <f>"9782742008797"</f>
        <v>9782742008797</v>
      </c>
      <c r="C10141" s="1" t="s">
        <v>17191</v>
      </c>
      <c r="D10141" s="2">
        <v>41899</v>
      </c>
      <c r="E10141" s="1" t="s">
        <v>20174</v>
      </c>
      <c r="F10141" s="1" t="s">
        <v>13</v>
      </c>
    </row>
    <row r="10142" spans="1:6" ht="30" customHeight="1" x14ac:dyDescent="0.25">
      <c r="A10142" s="1" t="s">
        <v>20175</v>
      </c>
      <c r="B10142" s="1" t="str">
        <f>"9782742008704"</f>
        <v>9782742008704</v>
      </c>
      <c r="C10142" s="1" t="s">
        <v>17191</v>
      </c>
      <c r="D10142" s="2">
        <v>41899</v>
      </c>
      <c r="E10142" s="1" t="s">
        <v>20176</v>
      </c>
      <c r="F10142" s="1" t="s">
        <v>13</v>
      </c>
    </row>
    <row r="10143" spans="1:6" ht="30" customHeight="1" x14ac:dyDescent="0.25">
      <c r="A10143" s="1" t="s">
        <v>20177</v>
      </c>
      <c r="B10143" s="1" t="str">
        <f>"9782742013319"</f>
        <v>9782742013319</v>
      </c>
      <c r="C10143" s="1" t="s">
        <v>17191</v>
      </c>
      <c r="D10143" s="2">
        <v>41122</v>
      </c>
      <c r="E10143" s="1" t="s">
        <v>20178</v>
      </c>
      <c r="F10143" s="1" t="s">
        <v>30</v>
      </c>
    </row>
    <row r="10144" spans="1:6" ht="30" customHeight="1" x14ac:dyDescent="0.25">
      <c r="A10144" s="1" t="s">
        <v>20179</v>
      </c>
      <c r="B10144" s="1" t="str">
        <f>"9782742013142"</f>
        <v>9782742013142</v>
      </c>
      <c r="C10144" s="1" t="s">
        <v>17191</v>
      </c>
      <c r="D10144" s="2">
        <v>41895</v>
      </c>
      <c r="E10144" s="1" t="s">
        <v>20180</v>
      </c>
      <c r="F10144" s="1" t="s">
        <v>13</v>
      </c>
    </row>
    <row r="10145" spans="1:6" ht="30" customHeight="1" x14ac:dyDescent="0.25">
      <c r="A10145" s="1" t="s">
        <v>20181</v>
      </c>
      <c r="B10145" s="1" t="str">
        <f>"9782742013449"</f>
        <v>9782742013449</v>
      </c>
      <c r="C10145" s="1" t="s">
        <v>17191</v>
      </c>
      <c r="D10145" s="2">
        <v>41893</v>
      </c>
      <c r="E10145" s="1" t="s">
        <v>20182</v>
      </c>
      <c r="F10145" s="1" t="s">
        <v>33</v>
      </c>
    </row>
    <row r="10146" spans="1:6" ht="30" customHeight="1" x14ac:dyDescent="0.25">
      <c r="A10146" s="1" t="s">
        <v>20183</v>
      </c>
      <c r="B10146" s="1" t="str">
        <f>"9782742013388"</f>
        <v>9782742013388</v>
      </c>
      <c r="C10146" s="1" t="s">
        <v>17191</v>
      </c>
      <c r="D10146" s="2">
        <v>41426</v>
      </c>
      <c r="E10146" s="1" t="s">
        <v>20184</v>
      </c>
      <c r="F10146" s="1" t="s">
        <v>137</v>
      </c>
    </row>
    <row r="10147" spans="1:6" ht="30" customHeight="1" x14ac:dyDescent="0.25">
      <c r="A10147" s="1" t="s">
        <v>20185</v>
      </c>
      <c r="B10147" s="1" t="str">
        <f>"9780801876493"</f>
        <v>9780801876493</v>
      </c>
      <c r="C10147" s="1" t="s">
        <v>20186</v>
      </c>
      <c r="D10147" s="2">
        <v>37712</v>
      </c>
      <c r="E10147" s="1" t="s">
        <v>20187</v>
      </c>
      <c r="F10147" s="1" t="s">
        <v>13</v>
      </c>
    </row>
    <row r="10148" spans="1:6" ht="30" customHeight="1" x14ac:dyDescent="0.25">
      <c r="A10148" s="1" t="s">
        <v>20188</v>
      </c>
      <c r="B10148" s="1" t="str">
        <f>"9780801877896"</f>
        <v>9780801877896</v>
      </c>
      <c r="C10148" s="1" t="s">
        <v>20186</v>
      </c>
      <c r="D10148" s="2">
        <v>37741</v>
      </c>
      <c r="E10148" s="1" t="s">
        <v>20189</v>
      </c>
      <c r="F10148" s="1" t="s">
        <v>176</v>
      </c>
    </row>
    <row r="10149" spans="1:6" ht="30" customHeight="1" x14ac:dyDescent="0.25">
      <c r="A10149" s="1" t="s">
        <v>20190</v>
      </c>
      <c r="B10149" s="1" t="str">
        <f>"9780801874949"</f>
        <v>9780801874949</v>
      </c>
      <c r="C10149" s="1" t="s">
        <v>20186</v>
      </c>
      <c r="D10149" s="2">
        <v>37741</v>
      </c>
      <c r="E10149" s="1" t="s">
        <v>20191</v>
      </c>
      <c r="F10149" s="1" t="s">
        <v>13</v>
      </c>
    </row>
    <row r="10150" spans="1:6" ht="30" customHeight="1" x14ac:dyDescent="0.25">
      <c r="A10150" s="1" t="s">
        <v>20192</v>
      </c>
      <c r="B10150" s="1" t="str">
        <f>"9780801877636"</f>
        <v>9780801877636</v>
      </c>
      <c r="C10150" s="1" t="s">
        <v>20186</v>
      </c>
      <c r="D10150" s="2">
        <v>37763</v>
      </c>
      <c r="E10150" s="1" t="s">
        <v>20193</v>
      </c>
      <c r="F10150" s="1" t="s">
        <v>13</v>
      </c>
    </row>
    <row r="10151" spans="1:6" ht="30" customHeight="1" x14ac:dyDescent="0.25">
      <c r="A10151" s="1" t="s">
        <v>20194</v>
      </c>
      <c r="B10151" s="1" t="str">
        <f>"9780801876523"</f>
        <v>9780801876523</v>
      </c>
      <c r="C10151" s="1" t="s">
        <v>20186</v>
      </c>
      <c r="D10151" s="2">
        <v>37740</v>
      </c>
      <c r="E10151" s="1" t="s">
        <v>20195</v>
      </c>
      <c r="F10151" s="1" t="s">
        <v>21</v>
      </c>
    </row>
    <row r="10152" spans="1:6" ht="30" customHeight="1" x14ac:dyDescent="0.25">
      <c r="A10152" s="1" t="s">
        <v>20196</v>
      </c>
      <c r="B10152" s="1" t="str">
        <f>"9780801877681"</f>
        <v>9780801877681</v>
      </c>
      <c r="C10152" s="1" t="s">
        <v>20186</v>
      </c>
      <c r="D10152" s="2">
        <v>37712</v>
      </c>
      <c r="E10152" s="1" t="s">
        <v>20197</v>
      </c>
      <c r="F10152" s="1" t="s">
        <v>95</v>
      </c>
    </row>
    <row r="10153" spans="1:6" ht="30" customHeight="1" x14ac:dyDescent="0.25">
      <c r="A10153" s="1" t="s">
        <v>20198</v>
      </c>
      <c r="B10153" s="1" t="str">
        <f>"9780801877902"</f>
        <v>9780801877902</v>
      </c>
      <c r="C10153" s="1" t="s">
        <v>20186</v>
      </c>
      <c r="D10153" s="2">
        <v>37763</v>
      </c>
      <c r="E10153" s="1" t="s">
        <v>20199</v>
      </c>
      <c r="F10153" s="1" t="s">
        <v>20200</v>
      </c>
    </row>
    <row r="10154" spans="1:6" ht="30" customHeight="1" x14ac:dyDescent="0.25">
      <c r="A10154" s="1" t="s">
        <v>20201</v>
      </c>
      <c r="B10154" s="1" t="str">
        <f>"9780801875007"</f>
        <v>9780801875007</v>
      </c>
      <c r="C10154" s="1" t="s">
        <v>20186</v>
      </c>
      <c r="D10154" s="2">
        <v>37742</v>
      </c>
      <c r="E10154" s="1" t="s">
        <v>20202</v>
      </c>
      <c r="F10154" s="1" t="s">
        <v>301</v>
      </c>
    </row>
    <row r="10155" spans="1:6" ht="30" customHeight="1" x14ac:dyDescent="0.25">
      <c r="A10155" s="1" t="s">
        <v>20203</v>
      </c>
      <c r="B10155" s="1" t="str">
        <f>"9780801876165"</f>
        <v>9780801876165</v>
      </c>
      <c r="C10155" s="1" t="s">
        <v>20186</v>
      </c>
      <c r="D10155" s="2">
        <v>37712</v>
      </c>
      <c r="E10155" s="1" t="s">
        <v>20204</v>
      </c>
      <c r="F10155" s="1" t="s">
        <v>13</v>
      </c>
    </row>
    <row r="10156" spans="1:6" ht="30" customHeight="1" x14ac:dyDescent="0.25">
      <c r="A10156" s="1" t="s">
        <v>20205</v>
      </c>
      <c r="B10156" s="1" t="str">
        <f>"9780801877773"</f>
        <v>9780801877773</v>
      </c>
      <c r="C10156" s="1" t="s">
        <v>20186</v>
      </c>
      <c r="D10156" s="2">
        <v>37763</v>
      </c>
      <c r="E10156" s="1" t="s">
        <v>20206</v>
      </c>
      <c r="F10156" s="1" t="s">
        <v>30</v>
      </c>
    </row>
    <row r="10157" spans="1:6" ht="30" customHeight="1" x14ac:dyDescent="0.25">
      <c r="A10157" s="1" t="s">
        <v>20207</v>
      </c>
      <c r="B10157" s="1" t="str">
        <f>"9780801876899"</f>
        <v>9780801876899</v>
      </c>
      <c r="C10157" s="1" t="s">
        <v>20186</v>
      </c>
      <c r="D10157" s="2">
        <v>37741</v>
      </c>
      <c r="E10157" s="1" t="s">
        <v>20208</v>
      </c>
      <c r="F10157" s="1" t="s">
        <v>599</v>
      </c>
    </row>
    <row r="10158" spans="1:6" ht="30" customHeight="1" x14ac:dyDescent="0.25">
      <c r="A10158" s="1" t="s">
        <v>20209</v>
      </c>
      <c r="B10158" s="1" t="str">
        <f>"9780801876486"</f>
        <v>9780801876486</v>
      </c>
      <c r="C10158" s="1" t="s">
        <v>20186</v>
      </c>
      <c r="D10158" s="2">
        <v>37740</v>
      </c>
      <c r="E10158" s="1" t="s">
        <v>20210</v>
      </c>
      <c r="F10158" s="1" t="s">
        <v>237</v>
      </c>
    </row>
    <row r="10159" spans="1:6" ht="30" customHeight="1" x14ac:dyDescent="0.25">
      <c r="A10159" s="1" t="s">
        <v>20211</v>
      </c>
      <c r="B10159" s="1" t="str">
        <f>"9780801877186"</f>
        <v>9780801877186</v>
      </c>
      <c r="C10159" s="1" t="s">
        <v>20186</v>
      </c>
      <c r="D10159" s="2">
        <v>37741</v>
      </c>
      <c r="E10159" s="1" t="s">
        <v>20212</v>
      </c>
      <c r="F10159" s="1" t="s">
        <v>10464</v>
      </c>
    </row>
    <row r="10160" spans="1:6" ht="30" customHeight="1" x14ac:dyDescent="0.25">
      <c r="A10160" s="1" t="s">
        <v>20213</v>
      </c>
      <c r="B10160" s="1" t="str">
        <f>"9780801875465"</f>
        <v>9780801875465</v>
      </c>
      <c r="C10160" s="1" t="s">
        <v>20186</v>
      </c>
      <c r="D10160" s="2">
        <v>37740</v>
      </c>
      <c r="E10160" s="1" t="s">
        <v>20214</v>
      </c>
      <c r="F10160" s="1" t="s">
        <v>70</v>
      </c>
    </row>
    <row r="10161" spans="1:6" ht="30" customHeight="1" x14ac:dyDescent="0.25">
      <c r="A10161" s="1" t="s">
        <v>20215</v>
      </c>
      <c r="B10161" s="1" t="str">
        <f>"9780801874581"</f>
        <v>9780801874581</v>
      </c>
      <c r="C10161" s="1" t="s">
        <v>20186</v>
      </c>
      <c r="D10161" s="2">
        <v>37741</v>
      </c>
      <c r="E10161" s="1" t="s">
        <v>20216</v>
      </c>
      <c r="F10161" s="1" t="s">
        <v>176</v>
      </c>
    </row>
    <row r="10162" spans="1:6" ht="30" customHeight="1" x14ac:dyDescent="0.25">
      <c r="A10162" s="1" t="s">
        <v>20217</v>
      </c>
      <c r="B10162" s="1" t="str">
        <f>"9780801877629"</f>
        <v>9780801877629</v>
      </c>
      <c r="C10162" s="1" t="s">
        <v>20186</v>
      </c>
      <c r="D10162" s="2">
        <v>37741</v>
      </c>
      <c r="E10162" s="1" t="s">
        <v>20218</v>
      </c>
      <c r="F10162" s="1" t="s">
        <v>13</v>
      </c>
    </row>
    <row r="10163" spans="1:6" ht="30" customHeight="1" x14ac:dyDescent="0.25">
      <c r="A10163" s="1" t="s">
        <v>20219</v>
      </c>
      <c r="B10163" s="1" t="str">
        <f>"9780801876837"</f>
        <v>9780801876837</v>
      </c>
      <c r="C10163" s="1" t="s">
        <v>20186</v>
      </c>
      <c r="D10163" s="2">
        <v>37741</v>
      </c>
      <c r="E10163" s="1" t="s">
        <v>20220</v>
      </c>
      <c r="F10163" s="1" t="s">
        <v>13</v>
      </c>
    </row>
    <row r="10164" spans="1:6" ht="30" customHeight="1" x14ac:dyDescent="0.25">
      <c r="A10164" s="1" t="s">
        <v>20221</v>
      </c>
      <c r="B10164" s="1" t="str">
        <f>"9780801876882"</f>
        <v>9780801876882</v>
      </c>
      <c r="C10164" s="1" t="s">
        <v>20186</v>
      </c>
      <c r="D10164" s="2">
        <v>37085</v>
      </c>
      <c r="E10164" s="1" t="s">
        <v>20222</v>
      </c>
      <c r="F10164" s="1" t="s">
        <v>70</v>
      </c>
    </row>
    <row r="10165" spans="1:6" ht="30" customHeight="1" x14ac:dyDescent="0.25">
      <c r="A10165" s="1" t="s">
        <v>20223</v>
      </c>
      <c r="B10165" s="1" t="str">
        <f>"9780801875540"</f>
        <v>9780801875540</v>
      </c>
      <c r="C10165" s="1" t="s">
        <v>20186</v>
      </c>
      <c r="D10165" s="2">
        <v>37740</v>
      </c>
      <c r="E10165" s="1" t="s">
        <v>20224</v>
      </c>
      <c r="F10165" s="1" t="s">
        <v>70</v>
      </c>
    </row>
    <row r="10166" spans="1:6" ht="30" customHeight="1" x14ac:dyDescent="0.25">
      <c r="A10166" s="1" t="s">
        <v>20225</v>
      </c>
      <c r="B10166" s="1" t="str">
        <f>"9780801876240"</f>
        <v>9780801876240</v>
      </c>
      <c r="C10166" s="1" t="s">
        <v>20186</v>
      </c>
      <c r="D10166" s="2">
        <v>37742</v>
      </c>
      <c r="E10166" s="1" t="s">
        <v>20226</v>
      </c>
      <c r="F10166" s="1" t="s">
        <v>237</v>
      </c>
    </row>
    <row r="10167" spans="1:6" ht="30" customHeight="1" x14ac:dyDescent="0.25">
      <c r="A10167" s="1" t="s">
        <v>20227</v>
      </c>
      <c r="B10167" s="1" t="str">
        <f>"9780801876974"</f>
        <v>9780801876974</v>
      </c>
      <c r="C10167" s="1" t="s">
        <v>20186</v>
      </c>
      <c r="D10167" s="2">
        <v>37763</v>
      </c>
      <c r="E10167" s="1" t="s">
        <v>20228</v>
      </c>
      <c r="F10167" s="1" t="s">
        <v>205</v>
      </c>
    </row>
    <row r="10168" spans="1:6" ht="30" customHeight="1" x14ac:dyDescent="0.25">
      <c r="A10168" s="1" t="s">
        <v>20229</v>
      </c>
      <c r="B10168" s="1" t="str">
        <f>"9780801877216"</f>
        <v>9780801877216</v>
      </c>
      <c r="C10168" s="1" t="s">
        <v>20186</v>
      </c>
      <c r="D10168" s="2">
        <v>37782</v>
      </c>
      <c r="E10168" s="1" t="s">
        <v>20230</v>
      </c>
      <c r="F10168" s="1" t="s">
        <v>4434</v>
      </c>
    </row>
    <row r="10169" spans="1:6" ht="30" customHeight="1" x14ac:dyDescent="0.25">
      <c r="A10169" s="1" t="s">
        <v>20231</v>
      </c>
      <c r="B10169" s="1" t="str">
        <f>"9780801876783"</f>
        <v>9780801876783</v>
      </c>
      <c r="C10169" s="1" t="s">
        <v>20186</v>
      </c>
      <c r="D10169" s="2">
        <v>37741</v>
      </c>
      <c r="E10169" s="1" t="s">
        <v>20232</v>
      </c>
      <c r="F10169" s="1" t="s">
        <v>13</v>
      </c>
    </row>
    <row r="10170" spans="1:6" ht="30" customHeight="1" x14ac:dyDescent="0.25">
      <c r="A10170" s="1" t="s">
        <v>20233</v>
      </c>
      <c r="B10170" s="1" t="str">
        <f>"9780801875991"</f>
        <v>9780801875991</v>
      </c>
      <c r="C10170" s="1" t="s">
        <v>20186</v>
      </c>
      <c r="D10170" s="2">
        <v>37741</v>
      </c>
      <c r="E10170" s="1" t="s">
        <v>20234</v>
      </c>
      <c r="F10170" s="1" t="s">
        <v>95</v>
      </c>
    </row>
    <row r="10171" spans="1:6" ht="30" customHeight="1" x14ac:dyDescent="0.25">
      <c r="A10171" s="1" t="s">
        <v>20235</v>
      </c>
      <c r="B10171" s="1" t="str">
        <f>"9780801876912"</f>
        <v>9780801876912</v>
      </c>
      <c r="C10171" s="1" t="s">
        <v>20186</v>
      </c>
      <c r="D10171" s="2">
        <v>37712</v>
      </c>
      <c r="E10171" s="1" t="s">
        <v>20236</v>
      </c>
      <c r="F10171" s="1" t="s">
        <v>13</v>
      </c>
    </row>
    <row r="10172" spans="1:6" ht="30" customHeight="1" x14ac:dyDescent="0.25">
      <c r="A10172" s="1" t="s">
        <v>20237</v>
      </c>
      <c r="B10172" s="1" t="str">
        <f>"9780801874796"</f>
        <v>9780801874796</v>
      </c>
      <c r="C10172" s="1" t="s">
        <v>20186</v>
      </c>
      <c r="D10172" s="2">
        <v>37741</v>
      </c>
      <c r="E10172" s="1" t="s">
        <v>20238</v>
      </c>
      <c r="F10172" s="1" t="s">
        <v>19836</v>
      </c>
    </row>
    <row r="10173" spans="1:6" ht="30" customHeight="1" x14ac:dyDescent="0.25">
      <c r="A10173" s="1" t="s">
        <v>20239</v>
      </c>
      <c r="B10173" s="1" t="str">
        <f>"9780801876370"</f>
        <v>9780801876370</v>
      </c>
      <c r="C10173" s="1" t="s">
        <v>20186</v>
      </c>
      <c r="D10173" s="2">
        <v>37763</v>
      </c>
      <c r="E10173" s="1" t="s">
        <v>20240</v>
      </c>
      <c r="F10173" s="1" t="s">
        <v>13</v>
      </c>
    </row>
    <row r="10174" spans="1:6" ht="30" customHeight="1" x14ac:dyDescent="0.25">
      <c r="A10174" s="1" t="s">
        <v>20241</v>
      </c>
      <c r="B10174" s="1" t="str">
        <f>"9780801877155"</f>
        <v>9780801877155</v>
      </c>
      <c r="C10174" s="1" t="s">
        <v>20186</v>
      </c>
      <c r="D10174" s="2">
        <v>37763</v>
      </c>
      <c r="E10174" s="1" t="s">
        <v>20242</v>
      </c>
      <c r="F10174" s="1" t="s">
        <v>13</v>
      </c>
    </row>
    <row r="10175" spans="1:6" ht="30" customHeight="1" x14ac:dyDescent="0.25">
      <c r="A10175" s="1" t="s">
        <v>20243</v>
      </c>
      <c r="B10175" s="1" t="str">
        <f>"9780801873676"</f>
        <v>9780801873676</v>
      </c>
      <c r="C10175" s="1" t="s">
        <v>20186</v>
      </c>
      <c r="D10175" s="2">
        <v>37712</v>
      </c>
      <c r="E10175" s="1" t="s">
        <v>20244</v>
      </c>
      <c r="F10175" s="1" t="s">
        <v>13</v>
      </c>
    </row>
    <row r="10176" spans="1:6" ht="30" customHeight="1" x14ac:dyDescent="0.25">
      <c r="A10176" s="1" t="s">
        <v>20245</v>
      </c>
      <c r="B10176" s="1" t="str">
        <f>"9780801877018"</f>
        <v>9780801877018</v>
      </c>
      <c r="C10176" s="1" t="s">
        <v>20186</v>
      </c>
      <c r="D10176" s="2">
        <v>37741</v>
      </c>
      <c r="E10176" s="1" t="s">
        <v>20246</v>
      </c>
      <c r="F10176" s="1" t="s">
        <v>30</v>
      </c>
    </row>
    <row r="10177" spans="1:6" ht="30" customHeight="1" x14ac:dyDescent="0.25">
      <c r="A10177" s="1" t="s">
        <v>20247</v>
      </c>
      <c r="B10177" s="1" t="str">
        <f>"9780801873669"</f>
        <v>9780801873669</v>
      </c>
      <c r="C10177" s="1" t="s">
        <v>20186</v>
      </c>
      <c r="D10177" s="2">
        <v>37741</v>
      </c>
      <c r="E10177" s="1" t="s">
        <v>20248</v>
      </c>
      <c r="F10177" s="1" t="s">
        <v>54</v>
      </c>
    </row>
    <row r="10178" spans="1:6" ht="30" customHeight="1" x14ac:dyDescent="0.25">
      <c r="A10178" s="1" t="s">
        <v>20249</v>
      </c>
      <c r="B10178" s="1" t="str">
        <f>"9780801876622"</f>
        <v>9780801876622</v>
      </c>
      <c r="C10178" s="1" t="s">
        <v>20186</v>
      </c>
      <c r="D10178" s="2">
        <v>37740</v>
      </c>
      <c r="E10178" s="1" t="s">
        <v>20250</v>
      </c>
      <c r="F10178" s="1" t="s">
        <v>176</v>
      </c>
    </row>
    <row r="10179" spans="1:6" ht="30" customHeight="1" x14ac:dyDescent="0.25">
      <c r="A10179" s="1" t="s">
        <v>20251</v>
      </c>
      <c r="B10179" s="1" t="str">
        <f>"9780801877780"</f>
        <v>9780801877780</v>
      </c>
      <c r="C10179" s="1" t="s">
        <v>20186</v>
      </c>
      <c r="D10179" s="2">
        <v>35625</v>
      </c>
      <c r="E10179" s="1" t="s">
        <v>20252</v>
      </c>
      <c r="F10179" s="1" t="s">
        <v>13</v>
      </c>
    </row>
    <row r="10180" spans="1:6" ht="30" customHeight="1" x14ac:dyDescent="0.25">
      <c r="A10180" s="1" t="s">
        <v>20253</v>
      </c>
      <c r="B10180" s="1" t="str">
        <f>"9780801881275"</f>
        <v>9780801881275</v>
      </c>
      <c r="C10180" s="1" t="s">
        <v>20186</v>
      </c>
      <c r="D10180" s="2">
        <v>38322</v>
      </c>
      <c r="E10180" s="1" t="s">
        <v>20254</v>
      </c>
      <c r="F10180" s="1" t="s">
        <v>13</v>
      </c>
    </row>
    <row r="10181" spans="1:6" ht="30" customHeight="1" x14ac:dyDescent="0.25">
      <c r="A10181" s="1" t="s">
        <v>20255</v>
      </c>
      <c r="B10181" s="1" t="str">
        <f>"9780801881374"</f>
        <v>9780801881374</v>
      </c>
      <c r="C10181" s="1" t="s">
        <v>20186</v>
      </c>
      <c r="D10181" s="2">
        <v>37875</v>
      </c>
      <c r="E10181" s="1" t="s">
        <v>20256</v>
      </c>
      <c r="F10181" s="1" t="s">
        <v>13</v>
      </c>
    </row>
    <row r="10182" spans="1:6" ht="30" customHeight="1" x14ac:dyDescent="0.25">
      <c r="A10182" s="1" t="s">
        <v>20257</v>
      </c>
      <c r="B10182" s="1" t="str">
        <f>"9780801881336"</f>
        <v>9780801881336</v>
      </c>
      <c r="C10182" s="1" t="s">
        <v>20186</v>
      </c>
      <c r="D10182" s="2">
        <v>38322</v>
      </c>
      <c r="E10182" s="1" t="s">
        <v>20258</v>
      </c>
      <c r="F10182" s="1" t="s">
        <v>13</v>
      </c>
    </row>
    <row r="10183" spans="1:6" ht="30" customHeight="1" x14ac:dyDescent="0.25">
      <c r="A10183" s="1" t="s">
        <v>20259</v>
      </c>
      <c r="B10183" s="1" t="str">
        <f>"9780801881602"</f>
        <v>9780801881602</v>
      </c>
      <c r="C10183" s="1" t="s">
        <v>20186</v>
      </c>
      <c r="D10183" s="2">
        <v>37956</v>
      </c>
      <c r="E10183" s="1" t="s">
        <v>20260</v>
      </c>
      <c r="F10183" s="1" t="s">
        <v>13</v>
      </c>
    </row>
    <row r="10184" spans="1:6" ht="30" customHeight="1" x14ac:dyDescent="0.25">
      <c r="A10184" s="1" t="s">
        <v>20261</v>
      </c>
      <c r="B10184" s="1" t="str">
        <f>"9780801881442"</f>
        <v>9780801881442</v>
      </c>
      <c r="C10184" s="1" t="s">
        <v>20186</v>
      </c>
      <c r="D10184" s="2">
        <v>38322</v>
      </c>
      <c r="E10184" s="1" t="s">
        <v>20262</v>
      </c>
      <c r="F10184" s="1" t="s">
        <v>95</v>
      </c>
    </row>
    <row r="10185" spans="1:6" ht="30" customHeight="1" x14ac:dyDescent="0.25">
      <c r="A10185" s="1" t="s">
        <v>20263</v>
      </c>
      <c r="B10185" s="1" t="str">
        <f>"9780801881657"</f>
        <v>9780801881657</v>
      </c>
      <c r="C10185" s="1" t="s">
        <v>20186</v>
      </c>
      <c r="D10185" s="2">
        <v>38322</v>
      </c>
      <c r="E10185" s="1" t="s">
        <v>20264</v>
      </c>
      <c r="F10185" s="1" t="s">
        <v>13</v>
      </c>
    </row>
    <row r="10186" spans="1:6" ht="30" customHeight="1" x14ac:dyDescent="0.25">
      <c r="A10186" s="1" t="s">
        <v>20265</v>
      </c>
      <c r="B10186" s="1" t="str">
        <f>"9780801881572"</f>
        <v>9780801881572</v>
      </c>
      <c r="C10186" s="1" t="s">
        <v>20186</v>
      </c>
      <c r="D10186" s="2">
        <v>38322</v>
      </c>
      <c r="E10186" s="1" t="s">
        <v>20266</v>
      </c>
      <c r="F10186" s="1" t="s">
        <v>13</v>
      </c>
    </row>
    <row r="10187" spans="1:6" ht="30" customHeight="1" x14ac:dyDescent="0.25">
      <c r="A10187" s="1" t="s">
        <v>20267</v>
      </c>
      <c r="B10187" s="1" t="str">
        <f>"9780801881503"</f>
        <v>9780801881503</v>
      </c>
      <c r="C10187" s="1" t="s">
        <v>20186</v>
      </c>
      <c r="D10187" s="2">
        <v>38322</v>
      </c>
      <c r="E10187" s="1" t="s">
        <v>20268</v>
      </c>
      <c r="F10187" s="1" t="s">
        <v>13</v>
      </c>
    </row>
    <row r="10188" spans="1:6" ht="30" customHeight="1" x14ac:dyDescent="0.25">
      <c r="A10188" s="1" t="s">
        <v>20269</v>
      </c>
      <c r="B10188" s="1" t="str">
        <f>"9780801881305"</f>
        <v>9780801881305</v>
      </c>
      <c r="C10188" s="1" t="s">
        <v>20186</v>
      </c>
      <c r="D10188" s="2">
        <v>38322</v>
      </c>
      <c r="E10188" s="1" t="s">
        <v>20270</v>
      </c>
      <c r="F10188" s="1" t="s">
        <v>13</v>
      </c>
    </row>
    <row r="10189" spans="1:6" ht="30" customHeight="1" x14ac:dyDescent="0.25">
      <c r="A10189" s="1" t="s">
        <v>20271</v>
      </c>
      <c r="B10189" s="1" t="str">
        <f>"9780801881589"</f>
        <v>9780801881589</v>
      </c>
      <c r="C10189" s="1" t="s">
        <v>20186</v>
      </c>
      <c r="D10189" s="2">
        <v>38322</v>
      </c>
      <c r="E10189" s="1" t="s">
        <v>20272</v>
      </c>
      <c r="F10189" s="1" t="s">
        <v>13</v>
      </c>
    </row>
    <row r="10190" spans="1:6" ht="30" customHeight="1" x14ac:dyDescent="0.25">
      <c r="A10190" s="1" t="s">
        <v>20273</v>
      </c>
      <c r="B10190" s="1" t="str">
        <f>"9780801881282"</f>
        <v>9780801881282</v>
      </c>
      <c r="C10190" s="1" t="s">
        <v>20186</v>
      </c>
      <c r="D10190" s="2">
        <v>38322</v>
      </c>
      <c r="E10190" s="1" t="s">
        <v>20274</v>
      </c>
      <c r="F10190" s="1" t="s">
        <v>13</v>
      </c>
    </row>
    <row r="10191" spans="1:6" ht="30" customHeight="1" x14ac:dyDescent="0.25">
      <c r="A10191" s="1" t="s">
        <v>20275</v>
      </c>
      <c r="B10191" s="1" t="str">
        <f>"9780801888731"</f>
        <v>9780801888731</v>
      </c>
      <c r="C10191" s="1" t="s">
        <v>20186</v>
      </c>
      <c r="D10191" s="2">
        <v>39539</v>
      </c>
      <c r="E10191" s="1" t="s">
        <v>20276</v>
      </c>
      <c r="F10191" s="1" t="s">
        <v>20277</v>
      </c>
    </row>
    <row r="10192" spans="1:6" ht="30" customHeight="1" x14ac:dyDescent="0.25">
      <c r="A10192" s="1" t="s">
        <v>20278</v>
      </c>
      <c r="B10192" s="1" t="str">
        <f>"9780801889103"</f>
        <v>9780801889103</v>
      </c>
      <c r="C10192" s="1" t="s">
        <v>20186</v>
      </c>
      <c r="D10192" s="2">
        <v>39539</v>
      </c>
      <c r="E10192" s="1" t="s">
        <v>20279</v>
      </c>
      <c r="F10192" s="1" t="s">
        <v>30</v>
      </c>
    </row>
    <row r="10193" spans="1:6" ht="30" customHeight="1" x14ac:dyDescent="0.25">
      <c r="A10193" s="1" t="s">
        <v>20280</v>
      </c>
      <c r="B10193" s="1" t="str">
        <f>"9780801888878"</f>
        <v>9780801888878</v>
      </c>
      <c r="C10193" s="1" t="s">
        <v>20186</v>
      </c>
      <c r="D10193" s="2">
        <v>39508</v>
      </c>
      <c r="E10193" s="1" t="s">
        <v>20281</v>
      </c>
      <c r="F10193" s="1" t="s">
        <v>95</v>
      </c>
    </row>
    <row r="10194" spans="1:6" ht="30" customHeight="1" x14ac:dyDescent="0.25">
      <c r="A10194" s="1" t="s">
        <v>20282</v>
      </c>
      <c r="B10194" s="1" t="str">
        <f>"9780801888823"</f>
        <v>9780801888823</v>
      </c>
      <c r="C10194" s="1" t="s">
        <v>20186</v>
      </c>
      <c r="D10194" s="2">
        <v>39539</v>
      </c>
      <c r="E10194" s="1" t="s">
        <v>20283</v>
      </c>
      <c r="F10194" s="1" t="s">
        <v>438</v>
      </c>
    </row>
    <row r="10195" spans="1:6" ht="30" customHeight="1" x14ac:dyDescent="0.25">
      <c r="A10195" s="1" t="s">
        <v>20284</v>
      </c>
      <c r="B10195" s="1" t="str">
        <f>"9780801889165"</f>
        <v>9780801889165</v>
      </c>
      <c r="C10195" s="1" t="s">
        <v>20186</v>
      </c>
      <c r="D10195" s="2">
        <v>39539</v>
      </c>
      <c r="E10195" s="1" t="s">
        <v>20285</v>
      </c>
      <c r="F10195" s="1" t="s">
        <v>13</v>
      </c>
    </row>
    <row r="10196" spans="1:6" ht="30" customHeight="1" x14ac:dyDescent="0.25">
      <c r="A10196" s="1" t="s">
        <v>20286</v>
      </c>
      <c r="B10196" s="1" t="str">
        <f>"9780801888922"</f>
        <v>9780801888922</v>
      </c>
      <c r="C10196" s="1" t="s">
        <v>20186</v>
      </c>
      <c r="D10196" s="2">
        <v>39042</v>
      </c>
      <c r="E10196" s="1" t="s">
        <v>20287</v>
      </c>
      <c r="F10196" s="1" t="s">
        <v>13</v>
      </c>
    </row>
    <row r="10197" spans="1:6" ht="30" customHeight="1" x14ac:dyDescent="0.25">
      <c r="A10197" s="1" t="s">
        <v>20288</v>
      </c>
      <c r="B10197" s="1" t="str">
        <f>"9780801889059"</f>
        <v>9780801889059</v>
      </c>
      <c r="C10197" s="1" t="s">
        <v>20186</v>
      </c>
      <c r="D10197" s="2">
        <v>39479</v>
      </c>
      <c r="E10197" s="1" t="s">
        <v>20289</v>
      </c>
      <c r="F10197" s="1" t="s">
        <v>13</v>
      </c>
    </row>
    <row r="10198" spans="1:6" ht="30" customHeight="1" x14ac:dyDescent="0.25">
      <c r="A10198" s="1" t="s">
        <v>20290</v>
      </c>
      <c r="B10198" s="1" t="str">
        <f>"9780801889363"</f>
        <v>9780801889363</v>
      </c>
      <c r="C10198" s="1" t="s">
        <v>20186</v>
      </c>
      <c r="D10198" s="2">
        <v>39539</v>
      </c>
      <c r="E10198" s="1" t="s">
        <v>20291</v>
      </c>
      <c r="F10198" s="1" t="s">
        <v>13</v>
      </c>
    </row>
    <row r="10199" spans="1:6" ht="30" customHeight="1" x14ac:dyDescent="0.25">
      <c r="A10199" s="1" t="s">
        <v>20292</v>
      </c>
      <c r="B10199" s="1" t="str">
        <f>"9780801889677"</f>
        <v>9780801889677</v>
      </c>
      <c r="C10199" s="1" t="s">
        <v>20186</v>
      </c>
      <c r="D10199" s="2">
        <v>39417</v>
      </c>
      <c r="E10199" s="1" t="s">
        <v>20293</v>
      </c>
      <c r="F10199" s="1" t="s">
        <v>13</v>
      </c>
    </row>
    <row r="10200" spans="1:6" ht="30" customHeight="1" x14ac:dyDescent="0.25">
      <c r="A10200" s="1" t="s">
        <v>20294</v>
      </c>
      <c r="B10200" s="1" t="str">
        <f>"9780801888755"</f>
        <v>9780801888755</v>
      </c>
      <c r="C10200" s="1" t="s">
        <v>20186</v>
      </c>
      <c r="D10200" s="2">
        <v>40118</v>
      </c>
      <c r="E10200" s="1" t="s">
        <v>20295</v>
      </c>
      <c r="F10200" s="1" t="s">
        <v>13</v>
      </c>
    </row>
    <row r="10201" spans="1:6" ht="30" customHeight="1" x14ac:dyDescent="0.25">
      <c r="A10201" s="1" t="s">
        <v>20296</v>
      </c>
      <c r="B10201" s="1" t="str">
        <f>"9780801888953"</f>
        <v>9780801888953</v>
      </c>
      <c r="C10201" s="1" t="s">
        <v>20186</v>
      </c>
      <c r="D10201" s="2">
        <v>39539</v>
      </c>
      <c r="E10201" s="1" t="s">
        <v>20297</v>
      </c>
      <c r="F10201" s="1" t="s">
        <v>30</v>
      </c>
    </row>
    <row r="10202" spans="1:6" ht="30" customHeight="1" x14ac:dyDescent="0.25">
      <c r="A10202" s="1" t="s">
        <v>20298</v>
      </c>
      <c r="B10202" s="1" t="str">
        <f>"9780801889141"</f>
        <v>9780801889141</v>
      </c>
      <c r="C10202" s="1" t="s">
        <v>20186</v>
      </c>
      <c r="D10202" s="2">
        <v>40021</v>
      </c>
      <c r="E10202" s="1" t="s">
        <v>20258</v>
      </c>
      <c r="F10202" s="1" t="s">
        <v>13</v>
      </c>
    </row>
    <row r="10203" spans="1:6" ht="30" customHeight="1" x14ac:dyDescent="0.25">
      <c r="A10203" s="1" t="s">
        <v>20299</v>
      </c>
      <c r="B10203" s="1" t="str">
        <f>"9780801888816"</f>
        <v>9780801888816</v>
      </c>
      <c r="C10203" s="1" t="s">
        <v>20186</v>
      </c>
      <c r="D10203" s="2">
        <v>38884</v>
      </c>
      <c r="E10203" s="1" t="s">
        <v>20300</v>
      </c>
      <c r="F10203" s="1" t="s">
        <v>95</v>
      </c>
    </row>
    <row r="10204" spans="1:6" ht="30" customHeight="1" x14ac:dyDescent="0.25">
      <c r="A10204" s="1" t="s">
        <v>20301</v>
      </c>
      <c r="B10204" s="1" t="str">
        <f>"9780801888854"</f>
        <v>9780801888854</v>
      </c>
      <c r="C10204" s="1" t="s">
        <v>20186</v>
      </c>
      <c r="D10204" s="2">
        <v>39479</v>
      </c>
      <c r="E10204" s="1" t="s">
        <v>20302</v>
      </c>
      <c r="F10204" s="1" t="s">
        <v>158</v>
      </c>
    </row>
    <row r="10205" spans="1:6" ht="30" customHeight="1" x14ac:dyDescent="0.25">
      <c r="A10205" s="1" t="s">
        <v>20303</v>
      </c>
      <c r="B10205" s="1" t="str">
        <f>"9780801889653"</f>
        <v>9780801889653</v>
      </c>
      <c r="C10205" s="1" t="s">
        <v>20186</v>
      </c>
      <c r="D10205" s="2">
        <v>39417</v>
      </c>
      <c r="E10205" s="1" t="s">
        <v>20293</v>
      </c>
      <c r="F10205" s="1" t="s">
        <v>13</v>
      </c>
    </row>
    <row r="10206" spans="1:6" ht="30" customHeight="1" x14ac:dyDescent="0.25">
      <c r="A10206" s="1" t="s">
        <v>20304</v>
      </c>
      <c r="B10206" s="1" t="str">
        <f>"9780801889547"</f>
        <v>9780801889547</v>
      </c>
      <c r="C10206" s="1" t="s">
        <v>20186</v>
      </c>
      <c r="D10206" s="2">
        <v>39539</v>
      </c>
      <c r="E10206" s="1" t="s">
        <v>20305</v>
      </c>
      <c r="F10206" s="1" t="s">
        <v>13</v>
      </c>
    </row>
    <row r="10207" spans="1:6" ht="30" customHeight="1" x14ac:dyDescent="0.25">
      <c r="A10207" s="1" t="s">
        <v>20306</v>
      </c>
      <c r="B10207" s="1" t="str">
        <f>"9780801888991"</f>
        <v>9780801888991</v>
      </c>
      <c r="C10207" s="1" t="s">
        <v>20186</v>
      </c>
      <c r="D10207" s="2">
        <v>39508</v>
      </c>
      <c r="E10207" s="1" t="s">
        <v>20307</v>
      </c>
      <c r="F10207" s="1" t="s">
        <v>70</v>
      </c>
    </row>
    <row r="10208" spans="1:6" ht="30" customHeight="1" x14ac:dyDescent="0.25">
      <c r="A10208" s="1" t="s">
        <v>20308</v>
      </c>
      <c r="B10208" s="1" t="str">
        <f>"9780801889288"</f>
        <v>9780801889288</v>
      </c>
      <c r="C10208" s="1" t="s">
        <v>20186</v>
      </c>
      <c r="D10208" s="2">
        <v>40422</v>
      </c>
      <c r="E10208" s="1" t="s">
        <v>20309</v>
      </c>
      <c r="F10208" s="1" t="s">
        <v>148</v>
      </c>
    </row>
    <row r="10209" spans="1:6" ht="30" customHeight="1" x14ac:dyDescent="0.25">
      <c r="A10209" s="1" t="s">
        <v>20310</v>
      </c>
      <c r="B10209" s="1" t="str">
        <f>"9780801889622"</f>
        <v>9780801889622</v>
      </c>
      <c r="C10209" s="1" t="s">
        <v>20186</v>
      </c>
      <c r="D10209" s="2">
        <v>39031</v>
      </c>
      <c r="E10209" s="1" t="s">
        <v>20311</v>
      </c>
      <c r="F10209" s="1" t="s">
        <v>33</v>
      </c>
    </row>
    <row r="10210" spans="1:6" ht="30" customHeight="1" x14ac:dyDescent="0.25">
      <c r="A10210" s="1" t="s">
        <v>20312</v>
      </c>
      <c r="B10210" s="1" t="str">
        <f>"9780801889400"</f>
        <v>9780801889400</v>
      </c>
      <c r="C10210" s="1" t="s">
        <v>20186</v>
      </c>
      <c r="D10210" s="2">
        <v>39479</v>
      </c>
      <c r="E10210" s="1" t="s">
        <v>20313</v>
      </c>
      <c r="F10210" s="1" t="s">
        <v>13</v>
      </c>
    </row>
    <row r="10211" spans="1:6" ht="30" customHeight="1" x14ac:dyDescent="0.25">
      <c r="A10211" s="1" t="s">
        <v>20314</v>
      </c>
      <c r="B10211" s="1" t="str">
        <f>"9780801889004"</f>
        <v>9780801889004</v>
      </c>
      <c r="C10211" s="1" t="s">
        <v>20186</v>
      </c>
      <c r="D10211" s="2">
        <v>39569</v>
      </c>
      <c r="E10211" s="1" t="s">
        <v>20315</v>
      </c>
      <c r="F10211" s="1" t="s">
        <v>13</v>
      </c>
    </row>
    <row r="10212" spans="1:6" ht="30" customHeight="1" x14ac:dyDescent="0.25">
      <c r="A10212" s="1" t="s">
        <v>20316</v>
      </c>
      <c r="B10212" s="1" t="str">
        <f>"9780801889028"</f>
        <v>9780801889028</v>
      </c>
      <c r="C10212" s="1" t="s">
        <v>20186</v>
      </c>
      <c r="D10212" s="2">
        <v>39070</v>
      </c>
      <c r="E10212" s="1" t="s">
        <v>20317</v>
      </c>
      <c r="F10212" s="1" t="s">
        <v>30</v>
      </c>
    </row>
    <row r="10213" spans="1:6" ht="30" customHeight="1" x14ac:dyDescent="0.25">
      <c r="A10213" s="1" t="s">
        <v>20318</v>
      </c>
      <c r="B10213" s="1" t="str">
        <f>"9780801889561"</f>
        <v>9780801889561</v>
      </c>
      <c r="C10213" s="1" t="s">
        <v>20186</v>
      </c>
      <c r="D10213" s="2">
        <v>39539</v>
      </c>
      <c r="E10213" s="1" t="s">
        <v>20319</v>
      </c>
      <c r="F10213" s="1" t="s">
        <v>13</v>
      </c>
    </row>
    <row r="10214" spans="1:6" ht="30" customHeight="1" x14ac:dyDescent="0.25">
      <c r="A10214" s="1" t="s">
        <v>20320</v>
      </c>
      <c r="B10214" s="1" t="str">
        <f>"9780801889356"</f>
        <v>9780801889356</v>
      </c>
      <c r="C10214" s="1" t="s">
        <v>20186</v>
      </c>
      <c r="D10214" s="2">
        <v>39569</v>
      </c>
      <c r="E10214" s="1" t="s">
        <v>20321</v>
      </c>
      <c r="F10214" s="1" t="s">
        <v>13</v>
      </c>
    </row>
    <row r="10215" spans="1:6" ht="30" customHeight="1" x14ac:dyDescent="0.25">
      <c r="A10215" s="1" t="s">
        <v>20322</v>
      </c>
      <c r="B10215" s="1" t="str">
        <f>"9780801889110"</f>
        <v>9780801889110</v>
      </c>
      <c r="C10215" s="1" t="s">
        <v>20186</v>
      </c>
      <c r="D10215" s="2">
        <v>39003</v>
      </c>
      <c r="E10215" s="1" t="s">
        <v>20323</v>
      </c>
      <c r="F10215" s="1" t="s">
        <v>13</v>
      </c>
    </row>
    <row r="10216" spans="1:6" ht="30" customHeight="1" x14ac:dyDescent="0.25">
      <c r="A10216" s="1" t="s">
        <v>20324</v>
      </c>
      <c r="B10216" s="1" t="str">
        <f>"9780801888915"</f>
        <v>9780801888915</v>
      </c>
      <c r="C10216" s="1" t="s">
        <v>20186</v>
      </c>
      <c r="D10216" s="2">
        <v>39042</v>
      </c>
      <c r="E10216" s="1" t="s">
        <v>20325</v>
      </c>
      <c r="F10216" s="1" t="s">
        <v>87</v>
      </c>
    </row>
    <row r="10217" spans="1:6" ht="30" customHeight="1" x14ac:dyDescent="0.25">
      <c r="A10217" s="1" t="s">
        <v>20326</v>
      </c>
      <c r="B10217" s="1" t="str">
        <f>"9780801889578"</f>
        <v>9780801889578</v>
      </c>
      <c r="C10217" s="1" t="s">
        <v>20186</v>
      </c>
      <c r="D10217" s="2">
        <v>39508</v>
      </c>
      <c r="E10217" s="1" t="s">
        <v>20327</v>
      </c>
      <c r="F10217" s="1" t="s">
        <v>13</v>
      </c>
    </row>
    <row r="10218" spans="1:6" ht="30" customHeight="1" x14ac:dyDescent="0.25">
      <c r="A10218" s="1" t="s">
        <v>20328</v>
      </c>
      <c r="B10218" s="1" t="str">
        <f>"9780801888908"</f>
        <v>9780801888908</v>
      </c>
      <c r="C10218" s="1" t="s">
        <v>20186</v>
      </c>
      <c r="D10218" s="2">
        <v>40156</v>
      </c>
      <c r="E10218" s="1" t="s">
        <v>20329</v>
      </c>
      <c r="F10218" s="1" t="s">
        <v>13</v>
      </c>
    </row>
    <row r="10219" spans="1:6" ht="30" customHeight="1" x14ac:dyDescent="0.25">
      <c r="A10219" s="1" t="s">
        <v>20330</v>
      </c>
      <c r="B10219" s="1" t="str">
        <f>"9780801889554"</f>
        <v>9780801889554</v>
      </c>
      <c r="C10219" s="1" t="s">
        <v>20186</v>
      </c>
      <c r="D10219" s="2">
        <v>39539</v>
      </c>
      <c r="E10219" s="1" t="s">
        <v>6241</v>
      </c>
      <c r="F10219" s="1" t="s">
        <v>13</v>
      </c>
    </row>
    <row r="10220" spans="1:6" ht="30" customHeight="1" x14ac:dyDescent="0.25">
      <c r="A10220" s="1" t="s">
        <v>20331</v>
      </c>
      <c r="B10220" s="1" t="str">
        <f>"9780801892035"</f>
        <v>9780801892035</v>
      </c>
      <c r="C10220" s="1" t="s">
        <v>20186</v>
      </c>
      <c r="D10220" s="2">
        <v>40261</v>
      </c>
      <c r="E10220" s="1" t="s">
        <v>20332</v>
      </c>
      <c r="F10220" s="1" t="s">
        <v>30</v>
      </c>
    </row>
    <row r="10221" spans="1:6" ht="30" customHeight="1" x14ac:dyDescent="0.25">
      <c r="A10221" s="1" t="s">
        <v>20333</v>
      </c>
      <c r="B10221" s="1" t="str">
        <f>"9780801891908"</f>
        <v>9780801891908</v>
      </c>
      <c r="C10221" s="1" t="s">
        <v>20186</v>
      </c>
      <c r="D10221" s="2">
        <v>39904</v>
      </c>
      <c r="E10221" s="1" t="s">
        <v>20334</v>
      </c>
      <c r="F10221" s="1" t="s">
        <v>406</v>
      </c>
    </row>
    <row r="10222" spans="1:6" ht="30" customHeight="1" x14ac:dyDescent="0.25">
      <c r="A10222" s="1" t="s">
        <v>20335</v>
      </c>
      <c r="B10222" s="1" t="str">
        <f>"9780801892349"</f>
        <v>9780801892349</v>
      </c>
      <c r="C10222" s="1" t="s">
        <v>20186</v>
      </c>
      <c r="D10222" s="2">
        <v>39539</v>
      </c>
      <c r="E10222" s="1" t="s">
        <v>20336</v>
      </c>
      <c r="F10222" s="1" t="s">
        <v>95</v>
      </c>
    </row>
    <row r="10223" spans="1:6" ht="30" customHeight="1" x14ac:dyDescent="0.25">
      <c r="A10223" s="1" t="s">
        <v>20337</v>
      </c>
      <c r="B10223" s="1" t="str">
        <f>"9780801892264"</f>
        <v>9780801892264</v>
      </c>
      <c r="C10223" s="1" t="s">
        <v>20186</v>
      </c>
      <c r="D10223" s="2">
        <v>39904</v>
      </c>
      <c r="E10223" s="1" t="s">
        <v>20338</v>
      </c>
      <c r="F10223" s="1" t="s">
        <v>21</v>
      </c>
    </row>
    <row r="10224" spans="1:6" ht="30" customHeight="1" x14ac:dyDescent="0.25">
      <c r="A10224" s="1" t="s">
        <v>20339</v>
      </c>
      <c r="B10224" s="1" t="str">
        <f>"9780801892301"</f>
        <v>9780801892301</v>
      </c>
      <c r="C10224" s="1" t="s">
        <v>20186</v>
      </c>
      <c r="D10224" s="2">
        <v>39539</v>
      </c>
      <c r="E10224" s="1" t="s">
        <v>20340</v>
      </c>
      <c r="F10224" s="1" t="s">
        <v>3393</v>
      </c>
    </row>
    <row r="10225" spans="1:6" ht="30" customHeight="1" x14ac:dyDescent="0.25">
      <c r="A10225" s="1" t="s">
        <v>20341</v>
      </c>
      <c r="B10225" s="1" t="str">
        <f>"9780801892097"</f>
        <v>9780801892097</v>
      </c>
      <c r="C10225" s="1" t="s">
        <v>20186</v>
      </c>
      <c r="D10225" s="2">
        <v>39995</v>
      </c>
      <c r="E10225" s="1" t="s">
        <v>20342</v>
      </c>
      <c r="F10225" s="1" t="s">
        <v>268</v>
      </c>
    </row>
    <row r="10226" spans="1:6" ht="30" customHeight="1" x14ac:dyDescent="0.25">
      <c r="A10226" s="1" t="s">
        <v>20343</v>
      </c>
      <c r="B10226" s="1" t="str">
        <f>"9780801892417"</f>
        <v>9780801892417</v>
      </c>
      <c r="C10226" s="1" t="s">
        <v>20186</v>
      </c>
      <c r="D10226" s="2">
        <v>39904</v>
      </c>
      <c r="E10226" s="1" t="s">
        <v>20344</v>
      </c>
      <c r="F10226" s="1" t="s">
        <v>13</v>
      </c>
    </row>
    <row r="10227" spans="1:6" ht="30" customHeight="1" x14ac:dyDescent="0.25">
      <c r="A10227" s="1" t="s">
        <v>20345</v>
      </c>
      <c r="B10227" s="1" t="str">
        <f>"9780801892004"</f>
        <v>9780801892004</v>
      </c>
      <c r="C10227" s="1" t="s">
        <v>20186</v>
      </c>
      <c r="D10227" s="2">
        <v>39539</v>
      </c>
      <c r="E10227" s="1" t="s">
        <v>20346</v>
      </c>
      <c r="F10227" s="1" t="s">
        <v>13</v>
      </c>
    </row>
    <row r="10228" spans="1:6" ht="30" customHeight="1" x14ac:dyDescent="0.25">
      <c r="A10228" s="1" t="s">
        <v>20347</v>
      </c>
      <c r="B10228" s="1" t="str">
        <f>"9780801891731"</f>
        <v>9780801891731</v>
      </c>
      <c r="C10228" s="1" t="s">
        <v>20186</v>
      </c>
      <c r="D10228" s="2">
        <v>40056</v>
      </c>
      <c r="E10228" s="1" t="s">
        <v>20348</v>
      </c>
      <c r="F10228" s="1" t="s">
        <v>158</v>
      </c>
    </row>
    <row r="10229" spans="1:6" ht="30" customHeight="1" x14ac:dyDescent="0.25">
      <c r="A10229" s="1" t="s">
        <v>20349</v>
      </c>
      <c r="B10229" s="1" t="str">
        <f>"9780801891670"</f>
        <v>9780801891670</v>
      </c>
      <c r="C10229" s="1" t="s">
        <v>20186</v>
      </c>
      <c r="D10229" s="2">
        <v>39904</v>
      </c>
      <c r="E10229" s="1" t="s">
        <v>20350</v>
      </c>
      <c r="F10229" s="1" t="s">
        <v>148</v>
      </c>
    </row>
    <row r="10230" spans="1:6" ht="30" customHeight="1" x14ac:dyDescent="0.25">
      <c r="A10230" s="1" t="s">
        <v>20351</v>
      </c>
      <c r="B10230" s="1" t="str">
        <f>"9780801892134"</f>
        <v>9780801892134</v>
      </c>
      <c r="C10230" s="1" t="s">
        <v>20186</v>
      </c>
      <c r="D10230" s="2">
        <v>39539</v>
      </c>
      <c r="E10230" s="1" t="s">
        <v>20352</v>
      </c>
      <c r="F10230" s="1" t="s">
        <v>13</v>
      </c>
    </row>
    <row r="10231" spans="1:6" ht="30" customHeight="1" x14ac:dyDescent="0.25">
      <c r="A10231" s="1" t="s">
        <v>20353</v>
      </c>
      <c r="B10231" s="1" t="str">
        <f>"9780801891977"</f>
        <v>9780801891977</v>
      </c>
      <c r="C10231" s="1" t="s">
        <v>20186</v>
      </c>
      <c r="D10231" s="2">
        <v>40155</v>
      </c>
      <c r="E10231" s="1" t="s">
        <v>20354</v>
      </c>
      <c r="F10231" s="1" t="s">
        <v>13</v>
      </c>
    </row>
    <row r="10232" spans="1:6" ht="30" customHeight="1" x14ac:dyDescent="0.25">
      <c r="A10232" s="1" t="s">
        <v>20355</v>
      </c>
      <c r="B10232" s="1" t="str">
        <f>"9780801892257"</f>
        <v>9780801892257</v>
      </c>
      <c r="C10232" s="1" t="s">
        <v>20186</v>
      </c>
      <c r="D10232" s="2">
        <v>39934</v>
      </c>
      <c r="E10232" s="1" t="s">
        <v>20356</v>
      </c>
      <c r="F10232" s="1" t="s">
        <v>268</v>
      </c>
    </row>
    <row r="10233" spans="1:6" ht="30" customHeight="1" x14ac:dyDescent="0.25">
      <c r="A10233" s="1" t="s">
        <v>20357</v>
      </c>
      <c r="B10233" s="1" t="str">
        <f>"9780801892073"</f>
        <v>9780801892073</v>
      </c>
      <c r="C10233" s="1" t="s">
        <v>20186</v>
      </c>
      <c r="D10233" s="2">
        <v>39206</v>
      </c>
      <c r="E10233" s="1" t="s">
        <v>20358</v>
      </c>
      <c r="F10233" s="1" t="s">
        <v>3261</v>
      </c>
    </row>
    <row r="10234" spans="1:6" ht="30" customHeight="1" x14ac:dyDescent="0.25">
      <c r="A10234" s="1" t="s">
        <v>20359</v>
      </c>
      <c r="B10234" s="1" t="str">
        <f>"9780801891946"</f>
        <v>9780801891946</v>
      </c>
      <c r="C10234" s="1" t="s">
        <v>20186</v>
      </c>
      <c r="D10234" s="2">
        <v>39934</v>
      </c>
      <c r="E10234" s="1" t="s">
        <v>20360</v>
      </c>
      <c r="F10234" s="1" t="s">
        <v>21</v>
      </c>
    </row>
    <row r="10235" spans="1:6" ht="30" customHeight="1" x14ac:dyDescent="0.25">
      <c r="A10235" s="1" t="s">
        <v>20361</v>
      </c>
      <c r="B10235" s="1" t="str">
        <f>"9780801892288"</f>
        <v>9780801892288</v>
      </c>
      <c r="C10235" s="1" t="s">
        <v>20186</v>
      </c>
      <c r="D10235" s="2">
        <v>40057</v>
      </c>
      <c r="E10235" s="1" t="s">
        <v>20362</v>
      </c>
      <c r="F10235" s="1" t="s">
        <v>3056</v>
      </c>
    </row>
    <row r="10236" spans="1:6" ht="30" customHeight="1" x14ac:dyDescent="0.25">
      <c r="A10236" s="1" t="s">
        <v>20363</v>
      </c>
      <c r="B10236" s="1" t="str">
        <f>"9780801895234"</f>
        <v>9780801895234</v>
      </c>
      <c r="C10236" s="1" t="s">
        <v>20186</v>
      </c>
      <c r="D10236" s="2">
        <v>40391</v>
      </c>
      <c r="E10236" s="1" t="s">
        <v>20364</v>
      </c>
      <c r="F10236" s="1" t="s">
        <v>13</v>
      </c>
    </row>
    <row r="10237" spans="1:6" ht="30" customHeight="1" x14ac:dyDescent="0.25">
      <c r="A10237" s="1" t="s">
        <v>20365</v>
      </c>
      <c r="B10237" s="1" t="str">
        <f>"9780801895845"</f>
        <v>9780801895845</v>
      </c>
      <c r="C10237" s="1" t="s">
        <v>20186</v>
      </c>
      <c r="D10237" s="2">
        <v>40134</v>
      </c>
      <c r="E10237" s="1" t="s">
        <v>20366</v>
      </c>
      <c r="F10237" s="1" t="s">
        <v>13</v>
      </c>
    </row>
    <row r="10238" spans="1:6" ht="30" customHeight="1" x14ac:dyDescent="0.25">
      <c r="A10238" s="1" t="s">
        <v>20367</v>
      </c>
      <c r="B10238" s="1" t="str">
        <f>"9780801892363"</f>
        <v>9780801892363</v>
      </c>
      <c r="C10238" s="1" t="s">
        <v>20186</v>
      </c>
      <c r="D10238" s="2">
        <v>40134</v>
      </c>
      <c r="E10238" s="1" t="s">
        <v>20368</v>
      </c>
      <c r="F10238" s="1" t="s">
        <v>650</v>
      </c>
    </row>
    <row r="10239" spans="1:6" ht="30" customHeight="1" x14ac:dyDescent="0.25">
      <c r="A10239" s="1" t="s">
        <v>20369</v>
      </c>
      <c r="B10239" s="1" t="str">
        <f>"9780801896347"</f>
        <v>9780801896347</v>
      </c>
      <c r="C10239" s="1" t="s">
        <v>20186</v>
      </c>
      <c r="D10239" s="2">
        <v>39647</v>
      </c>
      <c r="E10239" s="1" t="s">
        <v>20370</v>
      </c>
      <c r="F10239" s="1" t="s">
        <v>13</v>
      </c>
    </row>
    <row r="10240" spans="1:6" ht="30" customHeight="1" x14ac:dyDescent="0.25">
      <c r="A10240" s="1" t="s">
        <v>20371</v>
      </c>
      <c r="B10240" s="1" t="str">
        <f>"9780801895678"</f>
        <v>9780801895678</v>
      </c>
      <c r="C10240" s="1" t="s">
        <v>20186</v>
      </c>
      <c r="D10240" s="2">
        <v>39381</v>
      </c>
      <c r="E10240" s="1" t="s">
        <v>20372</v>
      </c>
      <c r="F10240" s="1" t="s">
        <v>13</v>
      </c>
    </row>
    <row r="10241" spans="1:6" ht="30" customHeight="1" x14ac:dyDescent="0.25">
      <c r="A10241" s="1" t="s">
        <v>20373</v>
      </c>
      <c r="B10241" s="1" t="str">
        <f>"9780801886782"</f>
        <v>9780801886782</v>
      </c>
      <c r="C10241" s="1" t="s">
        <v>20186</v>
      </c>
      <c r="D10241" s="2">
        <v>40261</v>
      </c>
      <c r="E10241" s="1" t="s">
        <v>20374</v>
      </c>
      <c r="F10241" s="1" t="s">
        <v>13</v>
      </c>
    </row>
    <row r="10242" spans="1:6" ht="30" customHeight="1" x14ac:dyDescent="0.25">
      <c r="A10242" s="1" t="s">
        <v>20375</v>
      </c>
      <c r="B10242" s="1" t="str">
        <f>"9780801896057"</f>
        <v>9780801896057</v>
      </c>
      <c r="C10242" s="1" t="s">
        <v>20186</v>
      </c>
      <c r="D10242" s="2">
        <v>40134</v>
      </c>
      <c r="E10242" s="1" t="s">
        <v>20376</v>
      </c>
      <c r="F10242" s="1" t="s">
        <v>13</v>
      </c>
    </row>
    <row r="10243" spans="1:6" ht="30" customHeight="1" x14ac:dyDescent="0.25">
      <c r="A10243" s="1" t="s">
        <v>20377</v>
      </c>
      <c r="B10243" s="1" t="str">
        <f>"9780801895944"</f>
        <v>9780801895944</v>
      </c>
      <c r="C10243" s="1" t="s">
        <v>20186</v>
      </c>
      <c r="D10243" s="2">
        <v>39101</v>
      </c>
      <c r="E10243" s="1" t="s">
        <v>20378</v>
      </c>
      <c r="F10243" s="1" t="s">
        <v>13</v>
      </c>
    </row>
    <row r="10244" spans="1:6" ht="30" customHeight="1" x14ac:dyDescent="0.25">
      <c r="A10244" s="1" t="s">
        <v>20379</v>
      </c>
      <c r="B10244" s="1" t="str">
        <f>"9780801897283"</f>
        <v>9780801897283</v>
      </c>
      <c r="C10244" s="1" t="s">
        <v>20186</v>
      </c>
      <c r="D10244" s="2">
        <v>40269</v>
      </c>
      <c r="E10244" s="1" t="s">
        <v>20380</v>
      </c>
      <c r="F10244" s="1" t="s">
        <v>13</v>
      </c>
    </row>
    <row r="10245" spans="1:6" ht="30" customHeight="1" x14ac:dyDescent="0.25">
      <c r="A10245" s="1" t="s">
        <v>20381</v>
      </c>
      <c r="B10245" s="1" t="str">
        <f>"9780801897092"</f>
        <v>9780801897092</v>
      </c>
      <c r="C10245" s="1" t="s">
        <v>20186</v>
      </c>
      <c r="D10245" s="2">
        <v>39598</v>
      </c>
      <c r="E10245" s="1" t="s">
        <v>20262</v>
      </c>
      <c r="F10245" s="1" t="s">
        <v>95</v>
      </c>
    </row>
    <row r="10246" spans="1:6" ht="30" customHeight="1" x14ac:dyDescent="0.25">
      <c r="A10246" s="1" t="s">
        <v>20382</v>
      </c>
      <c r="B10246" s="1" t="str">
        <f>"9780801895388"</f>
        <v>9780801895388</v>
      </c>
      <c r="C10246" s="1" t="s">
        <v>20186</v>
      </c>
      <c r="D10246" s="2">
        <v>39969</v>
      </c>
      <c r="E10246" s="1" t="s">
        <v>20383</v>
      </c>
      <c r="F10246" s="1" t="s">
        <v>367</v>
      </c>
    </row>
    <row r="10247" spans="1:6" ht="30" customHeight="1" x14ac:dyDescent="0.25">
      <c r="A10247" s="1" t="s">
        <v>20384</v>
      </c>
      <c r="B10247" s="1" t="str">
        <f>"9780801896491"</f>
        <v>9780801896491</v>
      </c>
      <c r="C10247" s="1" t="s">
        <v>20186</v>
      </c>
      <c r="D10247" s="2">
        <v>40118</v>
      </c>
      <c r="E10247" s="1" t="s">
        <v>20385</v>
      </c>
      <c r="F10247" s="1" t="s">
        <v>13</v>
      </c>
    </row>
    <row r="10248" spans="1:6" ht="30" customHeight="1" x14ac:dyDescent="0.25">
      <c r="A10248" s="1" t="s">
        <v>20386</v>
      </c>
      <c r="B10248" s="1" t="str">
        <f>""</f>
        <v/>
      </c>
      <c r="C10248" s="1" t="s">
        <v>20186</v>
      </c>
      <c r="D10248" s="2">
        <v>39763</v>
      </c>
      <c r="E10248" s="1" t="s">
        <v>20387</v>
      </c>
      <c r="F10248" s="1" t="s">
        <v>13</v>
      </c>
    </row>
    <row r="10249" spans="1:6" ht="30" customHeight="1" x14ac:dyDescent="0.25">
      <c r="A10249" s="1" t="s">
        <v>20388</v>
      </c>
      <c r="B10249" s="1" t="str">
        <f>"9780801896026"</f>
        <v>9780801896026</v>
      </c>
      <c r="C10249" s="1" t="s">
        <v>20186</v>
      </c>
      <c r="D10249" s="2">
        <v>40155</v>
      </c>
      <c r="E10249" s="1" t="s">
        <v>20389</v>
      </c>
      <c r="F10249" s="1" t="s">
        <v>87</v>
      </c>
    </row>
    <row r="10250" spans="1:6" ht="30" customHeight="1" x14ac:dyDescent="0.25">
      <c r="A10250" s="1" t="s">
        <v>20390</v>
      </c>
      <c r="B10250" s="1" t="str">
        <f>"9780801897139"</f>
        <v>9780801897139</v>
      </c>
      <c r="C10250" s="1" t="s">
        <v>20186</v>
      </c>
      <c r="D10250" s="2">
        <v>40207</v>
      </c>
      <c r="E10250" s="1" t="s">
        <v>20391</v>
      </c>
      <c r="F10250" s="1" t="s">
        <v>286</v>
      </c>
    </row>
    <row r="10251" spans="1:6" ht="30" customHeight="1" x14ac:dyDescent="0.25">
      <c r="A10251" s="1" t="s">
        <v>20392</v>
      </c>
      <c r="B10251" s="1" t="str">
        <f>"9780801895227"</f>
        <v>9780801895227</v>
      </c>
      <c r="C10251" s="1" t="s">
        <v>20186</v>
      </c>
      <c r="D10251" s="2">
        <v>39913</v>
      </c>
      <c r="E10251" s="1" t="s">
        <v>20393</v>
      </c>
      <c r="F10251" s="1" t="s">
        <v>6200</v>
      </c>
    </row>
    <row r="10252" spans="1:6" ht="30" customHeight="1" x14ac:dyDescent="0.25">
      <c r="A10252" s="1" t="s">
        <v>20394</v>
      </c>
      <c r="B10252" s="1" t="str">
        <f>"9780801895777"</f>
        <v>9780801895777</v>
      </c>
      <c r="C10252" s="1" t="s">
        <v>20186</v>
      </c>
      <c r="D10252" s="2">
        <v>40011</v>
      </c>
      <c r="E10252" s="1" t="s">
        <v>20395</v>
      </c>
      <c r="F10252" s="1" t="s">
        <v>30</v>
      </c>
    </row>
    <row r="10253" spans="1:6" ht="30" customHeight="1" x14ac:dyDescent="0.25">
      <c r="A10253" s="1" t="s">
        <v>20396</v>
      </c>
      <c r="B10253" s="1" t="str">
        <f>"9780801898297"</f>
        <v>9780801898297</v>
      </c>
      <c r="C10253" s="1" t="s">
        <v>20186</v>
      </c>
      <c r="D10253" s="2">
        <v>40330</v>
      </c>
      <c r="E10253" s="1" t="s">
        <v>20397</v>
      </c>
      <c r="F10253" s="1" t="s">
        <v>480</v>
      </c>
    </row>
    <row r="10254" spans="1:6" ht="30" customHeight="1" x14ac:dyDescent="0.25">
      <c r="A10254" s="1" t="s">
        <v>20398</v>
      </c>
      <c r="B10254" s="1" t="str">
        <f>"9780801898402"</f>
        <v>9780801898402</v>
      </c>
      <c r="C10254" s="1" t="s">
        <v>20186</v>
      </c>
      <c r="D10254" s="2">
        <v>40249</v>
      </c>
      <c r="E10254" s="1" t="s">
        <v>20399</v>
      </c>
      <c r="F10254" s="1" t="s">
        <v>13</v>
      </c>
    </row>
    <row r="10255" spans="1:6" ht="30" customHeight="1" x14ac:dyDescent="0.25">
      <c r="A10255" s="1" t="s">
        <v>20400</v>
      </c>
      <c r="B10255" s="1" t="str">
        <f>"9780801898105"</f>
        <v>9780801898105</v>
      </c>
      <c r="C10255" s="1" t="s">
        <v>20186</v>
      </c>
      <c r="D10255" s="2">
        <v>40212</v>
      </c>
      <c r="E10255" s="1" t="s">
        <v>20401</v>
      </c>
      <c r="F10255" s="1" t="s">
        <v>63</v>
      </c>
    </row>
    <row r="10256" spans="1:6" ht="30" customHeight="1" x14ac:dyDescent="0.25">
      <c r="A10256" s="1" t="s">
        <v>20402</v>
      </c>
      <c r="B10256" s="1" t="str">
        <f>"9780801898280"</f>
        <v>9780801898280</v>
      </c>
      <c r="C10256" s="1" t="s">
        <v>20186</v>
      </c>
      <c r="D10256" s="2">
        <v>40369</v>
      </c>
      <c r="E10256" s="1" t="s">
        <v>20403</v>
      </c>
      <c r="F10256" s="1" t="s">
        <v>95</v>
      </c>
    </row>
    <row r="10257" spans="1:6" ht="30" customHeight="1" x14ac:dyDescent="0.25">
      <c r="A10257" s="1" t="s">
        <v>20404</v>
      </c>
      <c r="B10257" s="1" t="str">
        <f>"9780801896019"</f>
        <v>9780801896019</v>
      </c>
      <c r="C10257" s="1" t="s">
        <v>20186</v>
      </c>
      <c r="D10257" s="2">
        <v>40158</v>
      </c>
      <c r="E10257" s="1" t="s">
        <v>20222</v>
      </c>
      <c r="F10257" s="1" t="s">
        <v>176</v>
      </c>
    </row>
    <row r="10258" spans="1:6" ht="30" customHeight="1" x14ac:dyDescent="0.25">
      <c r="A10258" s="1" t="s">
        <v>20405</v>
      </c>
      <c r="B10258" s="1" t="str">
        <f>"9780801898709"</f>
        <v>9780801898709</v>
      </c>
      <c r="C10258" s="1" t="s">
        <v>20186</v>
      </c>
      <c r="D10258" s="2">
        <v>40391</v>
      </c>
      <c r="E10258" s="1" t="s">
        <v>20406</v>
      </c>
      <c r="F10258" s="1" t="s">
        <v>30</v>
      </c>
    </row>
    <row r="10259" spans="1:6" ht="30" customHeight="1" x14ac:dyDescent="0.25">
      <c r="A10259" s="1" t="s">
        <v>20407</v>
      </c>
      <c r="B10259" s="1" t="str">
        <f>"9780801881473"</f>
        <v>9780801881473</v>
      </c>
      <c r="C10259" s="1" t="s">
        <v>20186</v>
      </c>
      <c r="D10259" s="2">
        <v>38322</v>
      </c>
      <c r="E10259" s="1" t="s">
        <v>20408</v>
      </c>
      <c r="F10259" s="1" t="s">
        <v>30</v>
      </c>
    </row>
    <row r="10260" spans="1:6" ht="30" customHeight="1" x14ac:dyDescent="0.25">
      <c r="A10260" s="1" t="s">
        <v>20409</v>
      </c>
      <c r="B10260" s="1" t="str">
        <f>"9780801898693"</f>
        <v>9780801898693</v>
      </c>
      <c r="C10260" s="1" t="s">
        <v>20186</v>
      </c>
      <c r="D10260" s="2">
        <v>40520</v>
      </c>
      <c r="E10260" s="1" t="s">
        <v>20410</v>
      </c>
      <c r="F10260" s="1" t="s">
        <v>13</v>
      </c>
    </row>
    <row r="10261" spans="1:6" ht="30" customHeight="1" x14ac:dyDescent="0.25">
      <c r="A10261" s="1" t="s">
        <v>20411</v>
      </c>
      <c r="B10261" s="1" t="str">
        <f>"9780801898600"</f>
        <v>9780801898600</v>
      </c>
      <c r="C10261" s="1" t="s">
        <v>20186</v>
      </c>
      <c r="D10261" s="2">
        <v>40330</v>
      </c>
      <c r="E10261" s="1" t="s">
        <v>20412</v>
      </c>
      <c r="F10261" s="1" t="s">
        <v>30</v>
      </c>
    </row>
    <row r="10262" spans="1:6" ht="30" customHeight="1" x14ac:dyDescent="0.25">
      <c r="A10262" s="1" t="s">
        <v>20413</v>
      </c>
      <c r="B10262" s="1" t="str">
        <f>"9780801898792"</f>
        <v>9780801898792</v>
      </c>
      <c r="C10262" s="1" t="s">
        <v>20186</v>
      </c>
      <c r="D10262" s="2">
        <v>40391</v>
      </c>
      <c r="E10262" s="1" t="s">
        <v>20414</v>
      </c>
      <c r="F10262" s="1" t="s">
        <v>3753</v>
      </c>
    </row>
    <row r="10263" spans="1:6" ht="30" customHeight="1" x14ac:dyDescent="0.25">
      <c r="A10263" s="1" t="s">
        <v>20415</v>
      </c>
      <c r="B10263" s="1" t="str">
        <f>"9781421406725"</f>
        <v>9781421406725</v>
      </c>
      <c r="C10263" s="1" t="s">
        <v>20186</v>
      </c>
      <c r="D10263" s="2">
        <v>41110</v>
      </c>
      <c r="E10263" s="1" t="s">
        <v>20416</v>
      </c>
      <c r="F10263" s="1" t="s">
        <v>268</v>
      </c>
    </row>
    <row r="10264" spans="1:6" ht="30" customHeight="1" x14ac:dyDescent="0.25">
      <c r="A10264" s="1" t="s">
        <v>20417</v>
      </c>
      <c r="B10264" s="1" t="str">
        <f>"9781421406046"</f>
        <v>9781421406046</v>
      </c>
      <c r="C10264" s="1" t="s">
        <v>20186</v>
      </c>
      <c r="D10264" s="2">
        <v>40953</v>
      </c>
      <c r="E10264" s="1" t="s">
        <v>20418</v>
      </c>
      <c r="F10264" s="1" t="s">
        <v>13</v>
      </c>
    </row>
    <row r="10265" spans="1:6" ht="30" customHeight="1" x14ac:dyDescent="0.25">
      <c r="A10265" s="1" t="s">
        <v>20419</v>
      </c>
      <c r="B10265" s="1" t="str">
        <f>"9781421407326"</f>
        <v>9781421407326</v>
      </c>
      <c r="C10265" s="1" t="s">
        <v>20186</v>
      </c>
      <c r="D10265" s="2">
        <v>40929</v>
      </c>
      <c r="E10265" s="1" t="s">
        <v>20420</v>
      </c>
      <c r="F10265" s="1" t="s">
        <v>3328</v>
      </c>
    </row>
    <row r="10266" spans="1:6" ht="30" customHeight="1" x14ac:dyDescent="0.25">
      <c r="A10266" s="1" t="s">
        <v>20421</v>
      </c>
      <c r="B10266" s="1" t="str">
        <f>"9781421407845"</f>
        <v>9781421407845</v>
      </c>
      <c r="C10266" s="1" t="s">
        <v>20186</v>
      </c>
      <c r="D10266" s="2">
        <v>41247</v>
      </c>
      <c r="E10266" s="1" t="s">
        <v>20422</v>
      </c>
      <c r="F10266" s="1" t="s">
        <v>13</v>
      </c>
    </row>
    <row r="10267" spans="1:6" ht="30" customHeight="1" x14ac:dyDescent="0.25">
      <c r="A10267" s="1" t="s">
        <v>20423</v>
      </c>
      <c r="B10267" s="1" t="str">
        <f>"9781421408248"</f>
        <v>9781421408248</v>
      </c>
      <c r="C10267" s="1" t="s">
        <v>20186</v>
      </c>
      <c r="D10267" s="2">
        <v>41278</v>
      </c>
      <c r="E10267" s="1" t="s">
        <v>20424</v>
      </c>
      <c r="F10267" s="1" t="s">
        <v>13</v>
      </c>
    </row>
    <row r="10268" spans="1:6" ht="30" customHeight="1" x14ac:dyDescent="0.25">
      <c r="A10268" s="1" t="s">
        <v>20425</v>
      </c>
      <c r="B10268" s="1" t="str">
        <f>"9781421409214"</f>
        <v>9781421409214</v>
      </c>
      <c r="C10268" s="1" t="s">
        <v>20186</v>
      </c>
      <c r="D10268" s="2">
        <v>41313</v>
      </c>
      <c r="E10268" s="1" t="s">
        <v>20426</v>
      </c>
      <c r="F10268" s="1" t="s">
        <v>13</v>
      </c>
    </row>
    <row r="10269" spans="1:6" ht="30" customHeight="1" x14ac:dyDescent="0.25">
      <c r="A10269" s="1" t="s">
        <v>20427</v>
      </c>
      <c r="B10269" s="1" t="str">
        <f>"9781421408026"</f>
        <v>9781421408026</v>
      </c>
      <c r="C10269" s="1" t="s">
        <v>20186</v>
      </c>
      <c r="D10269" s="2">
        <v>41313</v>
      </c>
      <c r="E10269" s="1" t="s">
        <v>20428</v>
      </c>
      <c r="F10269" s="1" t="s">
        <v>13</v>
      </c>
    </row>
    <row r="10270" spans="1:6" ht="30" customHeight="1" x14ac:dyDescent="0.25">
      <c r="A10270" s="1" t="s">
        <v>20429</v>
      </c>
      <c r="B10270" s="1" t="str">
        <f>"9781421409054"</f>
        <v>9781421409054</v>
      </c>
      <c r="C10270" s="1" t="s">
        <v>20186</v>
      </c>
      <c r="D10270" s="2">
        <v>41333</v>
      </c>
      <c r="E10270" s="1" t="s">
        <v>20412</v>
      </c>
      <c r="F10270" s="1" t="s">
        <v>95</v>
      </c>
    </row>
    <row r="10271" spans="1:6" ht="30" customHeight="1" x14ac:dyDescent="0.25">
      <c r="A10271" s="1" t="s">
        <v>20430</v>
      </c>
      <c r="B10271" s="1" t="str">
        <f>"9781421409207"</f>
        <v>9781421409207</v>
      </c>
      <c r="C10271" s="1" t="s">
        <v>20186</v>
      </c>
      <c r="D10271" s="2">
        <v>41353</v>
      </c>
      <c r="E10271" s="1" t="s">
        <v>3661</v>
      </c>
      <c r="F10271" s="1" t="s">
        <v>13</v>
      </c>
    </row>
    <row r="10272" spans="1:6" ht="30" customHeight="1" x14ac:dyDescent="0.25">
      <c r="A10272" s="1" t="s">
        <v>20431</v>
      </c>
      <c r="B10272" s="1" t="str">
        <f>"9781421408859"</f>
        <v>9781421408859</v>
      </c>
      <c r="C10272" s="1" t="s">
        <v>20186</v>
      </c>
      <c r="D10272" s="2">
        <v>41379</v>
      </c>
      <c r="E10272" s="1" t="s">
        <v>20432</v>
      </c>
      <c r="F10272" s="1" t="s">
        <v>30</v>
      </c>
    </row>
    <row r="10273" spans="1:6" ht="30" customHeight="1" x14ac:dyDescent="0.25">
      <c r="A10273" s="1" t="s">
        <v>20433</v>
      </c>
      <c r="B10273" s="1" t="str">
        <f>"9781421405360"</f>
        <v>9781421405360</v>
      </c>
      <c r="C10273" s="1" t="s">
        <v>20186</v>
      </c>
      <c r="D10273" s="2">
        <v>41033</v>
      </c>
      <c r="E10273" s="1" t="s">
        <v>20434</v>
      </c>
      <c r="F10273" s="1" t="s">
        <v>13</v>
      </c>
    </row>
    <row r="10274" spans="1:6" ht="30" customHeight="1" x14ac:dyDescent="0.25">
      <c r="A10274" s="1" t="s">
        <v>20435</v>
      </c>
      <c r="B10274" s="1" t="str">
        <f>"9781421410814"</f>
        <v>9781421410814</v>
      </c>
      <c r="C10274" s="1" t="s">
        <v>20186</v>
      </c>
      <c r="D10274" s="2">
        <v>41530</v>
      </c>
      <c r="E10274" s="1" t="s">
        <v>20436</v>
      </c>
      <c r="F10274" s="1" t="s">
        <v>13</v>
      </c>
    </row>
    <row r="10275" spans="1:6" ht="30" customHeight="1" x14ac:dyDescent="0.25">
      <c r="A10275" s="1" t="s">
        <v>20437</v>
      </c>
      <c r="B10275" s="1" t="str">
        <f>"9781421411507"</f>
        <v>9781421411507</v>
      </c>
      <c r="C10275" s="1" t="s">
        <v>20186</v>
      </c>
      <c r="D10275" s="2">
        <v>41322</v>
      </c>
      <c r="E10275" s="1" t="s">
        <v>20438</v>
      </c>
      <c r="F10275" s="1" t="s">
        <v>20439</v>
      </c>
    </row>
    <row r="10276" spans="1:6" ht="30" customHeight="1" x14ac:dyDescent="0.25">
      <c r="A10276" s="1" t="s">
        <v>20440</v>
      </c>
      <c r="B10276" s="1" t="str">
        <f>"9781421403953"</f>
        <v>9781421403953</v>
      </c>
      <c r="C10276" s="1" t="s">
        <v>20186</v>
      </c>
      <c r="D10276" s="2">
        <v>40850</v>
      </c>
      <c r="E10276" s="1" t="s">
        <v>20441</v>
      </c>
      <c r="F10276" s="1" t="s">
        <v>205</v>
      </c>
    </row>
    <row r="10277" spans="1:6" ht="30" customHeight="1" x14ac:dyDescent="0.25">
      <c r="A10277" s="1" t="s">
        <v>20442</v>
      </c>
      <c r="B10277" s="1" t="str">
        <f>"9781421403380"</f>
        <v>9781421403380</v>
      </c>
      <c r="C10277" s="1" t="s">
        <v>20186</v>
      </c>
      <c r="D10277" s="2">
        <v>40868</v>
      </c>
      <c r="E10277" s="1" t="s">
        <v>20443</v>
      </c>
      <c r="F10277" s="1" t="s">
        <v>541</v>
      </c>
    </row>
    <row r="10278" spans="1:6" ht="30" customHeight="1" x14ac:dyDescent="0.25">
      <c r="A10278" s="1" t="s">
        <v>20444</v>
      </c>
      <c r="B10278" s="1" t="str">
        <f>"9781421411323"</f>
        <v>9781421411323</v>
      </c>
      <c r="C10278" s="1" t="s">
        <v>20186</v>
      </c>
      <c r="D10278" s="2">
        <v>41583</v>
      </c>
      <c r="E10278" s="1" t="s">
        <v>20445</v>
      </c>
      <c r="F10278" s="1" t="s">
        <v>13</v>
      </c>
    </row>
    <row r="10279" spans="1:6" ht="30" customHeight="1" x14ac:dyDescent="0.25">
      <c r="A10279" s="1" t="s">
        <v>20446</v>
      </c>
      <c r="B10279" s="1" t="str">
        <f>"9781421402130"</f>
        <v>9781421402130</v>
      </c>
      <c r="C10279" s="1" t="s">
        <v>20447</v>
      </c>
      <c r="D10279" s="2">
        <v>41570</v>
      </c>
      <c r="E10279" s="1" t="s">
        <v>20448</v>
      </c>
      <c r="F10279" s="1" t="s">
        <v>13</v>
      </c>
    </row>
    <row r="10280" spans="1:6" ht="30" customHeight="1" x14ac:dyDescent="0.25">
      <c r="A10280" s="1" t="s">
        <v>20449</v>
      </c>
      <c r="B10280" s="1" t="str">
        <f>"9781421404271"</f>
        <v>9781421404271</v>
      </c>
      <c r="C10280" s="1" t="s">
        <v>20186</v>
      </c>
      <c r="D10280" s="2">
        <v>40908</v>
      </c>
      <c r="E10280" s="1" t="s">
        <v>20450</v>
      </c>
      <c r="F10280" s="1" t="s">
        <v>13</v>
      </c>
    </row>
    <row r="10281" spans="1:6" ht="30" customHeight="1" x14ac:dyDescent="0.25">
      <c r="A10281" s="1" t="s">
        <v>20451</v>
      </c>
      <c r="B10281" s="1" t="str">
        <f>"9781421404424"</f>
        <v>9781421404424</v>
      </c>
      <c r="C10281" s="1" t="s">
        <v>20186</v>
      </c>
      <c r="D10281" s="2">
        <v>40690</v>
      </c>
      <c r="E10281" s="1" t="s">
        <v>20452</v>
      </c>
      <c r="F10281" s="1" t="s">
        <v>13</v>
      </c>
    </row>
    <row r="10282" spans="1:6" ht="30" customHeight="1" x14ac:dyDescent="0.25">
      <c r="A10282" s="1" t="s">
        <v>20453</v>
      </c>
      <c r="B10282" s="1" t="str">
        <f>"9781421411132"</f>
        <v>9781421411132</v>
      </c>
      <c r="C10282" s="1" t="s">
        <v>20186</v>
      </c>
      <c r="D10282" s="2">
        <v>41583</v>
      </c>
      <c r="E10282" s="1" t="s">
        <v>20454</v>
      </c>
      <c r="F10282" s="1" t="s">
        <v>214</v>
      </c>
    </row>
    <row r="10283" spans="1:6" ht="30" customHeight="1" x14ac:dyDescent="0.25">
      <c r="A10283" s="1" t="s">
        <v>20455</v>
      </c>
      <c r="B10283" s="1" t="str">
        <f>"9781421412931"</f>
        <v>9781421412931</v>
      </c>
      <c r="C10283" s="1" t="s">
        <v>20186</v>
      </c>
      <c r="D10283" s="2">
        <v>41604</v>
      </c>
      <c r="E10283" s="1" t="s">
        <v>20456</v>
      </c>
      <c r="F10283" s="1" t="s">
        <v>158</v>
      </c>
    </row>
    <row r="10284" spans="1:6" ht="30" customHeight="1" x14ac:dyDescent="0.25">
      <c r="A10284" s="1" t="s">
        <v>20457</v>
      </c>
      <c r="B10284" s="1" t="str">
        <f>"9781421413198"</f>
        <v>9781421413198</v>
      </c>
      <c r="C10284" s="1" t="s">
        <v>20186</v>
      </c>
      <c r="D10284" s="2">
        <v>41709</v>
      </c>
      <c r="E10284" s="1" t="s">
        <v>20003</v>
      </c>
      <c r="F10284" s="1" t="s">
        <v>13</v>
      </c>
    </row>
    <row r="10285" spans="1:6" ht="30" customHeight="1" x14ac:dyDescent="0.25">
      <c r="A10285" s="1" t="s">
        <v>20458</v>
      </c>
      <c r="B10285" s="1" t="str">
        <f>"9781421412399"</f>
        <v>9781421412399</v>
      </c>
      <c r="C10285" s="1" t="s">
        <v>20186</v>
      </c>
      <c r="D10285" s="2">
        <v>41717</v>
      </c>
      <c r="E10285" s="1" t="s">
        <v>20459</v>
      </c>
      <c r="F10285" s="1" t="s">
        <v>2537</v>
      </c>
    </row>
    <row r="10286" spans="1:6" ht="30" customHeight="1" x14ac:dyDescent="0.25">
      <c r="A10286" s="1" t="s">
        <v>20460</v>
      </c>
      <c r="B10286" s="1" t="str">
        <f>"9781421413556"</f>
        <v>9781421413556</v>
      </c>
      <c r="C10286" s="1" t="s">
        <v>20186</v>
      </c>
      <c r="D10286" s="2">
        <v>41752</v>
      </c>
      <c r="E10286" s="1" t="s">
        <v>20461</v>
      </c>
      <c r="F10286" s="1" t="s">
        <v>70</v>
      </c>
    </row>
    <row r="10287" spans="1:6" ht="30" customHeight="1" x14ac:dyDescent="0.25">
      <c r="A10287" s="1" t="s">
        <v>20462</v>
      </c>
      <c r="B10287" s="1" t="str">
        <f>"9781421413044"</f>
        <v>9781421413044</v>
      </c>
      <c r="C10287" s="1" t="s">
        <v>20186</v>
      </c>
      <c r="D10287" s="2">
        <v>41737</v>
      </c>
      <c r="E10287" s="1" t="s">
        <v>19280</v>
      </c>
      <c r="F10287" s="1" t="s">
        <v>13</v>
      </c>
    </row>
    <row r="10288" spans="1:6" ht="30" customHeight="1" x14ac:dyDescent="0.25">
      <c r="A10288" s="1" t="s">
        <v>20463</v>
      </c>
      <c r="B10288" s="1" t="str">
        <f>"9781421413662"</f>
        <v>9781421413662</v>
      </c>
      <c r="C10288" s="1" t="s">
        <v>20186</v>
      </c>
      <c r="D10288" s="2">
        <v>41765</v>
      </c>
      <c r="E10288" s="1" t="s">
        <v>20464</v>
      </c>
      <c r="F10288" s="1" t="s">
        <v>214</v>
      </c>
    </row>
    <row r="10289" spans="1:6" ht="30" customHeight="1" x14ac:dyDescent="0.25">
      <c r="A10289" s="1" t="s">
        <v>20465</v>
      </c>
      <c r="B10289" s="1" t="str">
        <f>"9781421412740"</f>
        <v>9781421412740</v>
      </c>
      <c r="C10289" s="1" t="s">
        <v>20186</v>
      </c>
      <c r="D10289" s="2">
        <v>41765</v>
      </c>
      <c r="E10289" s="1" t="s">
        <v>20466</v>
      </c>
      <c r="F10289" s="1" t="s">
        <v>599</v>
      </c>
    </row>
    <row r="10290" spans="1:6" ht="30" customHeight="1" x14ac:dyDescent="0.25">
      <c r="A10290" s="1" t="s">
        <v>20467</v>
      </c>
      <c r="B10290" s="1" t="str">
        <f>"9781421401416"</f>
        <v>9781421401416</v>
      </c>
      <c r="C10290" s="1" t="s">
        <v>20186</v>
      </c>
      <c r="D10290" s="2">
        <v>40675</v>
      </c>
      <c r="E10290" s="1" t="s">
        <v>20468</v>
      </c>
      <c r="F10290" s="1" t="s">
        <v>158</v>
      </c>
    </row>
    <row r="10291" spans="1:6" ht="30" customHeight="1" x14ac:dyDescent="0.25">
      <c r="A10291" s="1" t="s">
        <v>20469</v>
      </c>
      <c r="B10291" s="1" t="str">
        <f>"9781421415031"</f>
        <v>9781421415031</v>
      </c>
      <c r="C10291" s="1" t="s">
        <v>20186</v>
      </c>
      <c r="D10291" s="2">
        <v>41892</v>
      </c>
      <c r="E10291" s="1" t="s">
        <v>7148</v>
      </c>
      <c r="F10291" s="1" t="s">
        <v>13</v>
      </c>
    </row>
    <row r="10292" spans="1:6" ht="30" customHeight="1" x14ac:dyDescent="0.25">
      <c r="A10292" s="1" t="s">
        <v>20470</v>
      </c>
      <c r="B10292" s="1" t="str">
        <f>"9781421414997"</f>
        <v>9781421414997</v>
      </c>
      <c r="C10292" s="1" t="s">
        <v>20186</v>
      </c>
      <c r="D10292" s="2">
        <v>41894</v>
      </c>
      <c r="E10292" s="1" t="s">
        <v>20471</v>
      </c>
      <c r="F10292" s="1" t="s">
        <v>13</v>
      </c>
    </row>
    <row r="10293" spans="1:6" ht="30" customHeight="1" x14ac:dyDescent="0.25">
      <c r="A10293" s="1" t="s">
        <v>20472</v>
      </c>
      <c r="B10293" s="1" t="str">
        <f>"9781421414850"</f>
        <v>9781421414850</v>
      </c>
      <c r="C10293" s="1" t="s">
        <v>20186</v>
      </c>
      <c r="D10293" s="2">
        <v>41941</v>
      </c>
      <c r="E10293" s="1" t="s">
        <v>20473</v>
      </c>
      <c r="F10293" s="1" t="s">
        <v>13</v>
      </c>
    </row>
    <row r="10294" spans="1:6" ht="30" customHeight="1" x14ac:dyDescent="0.25">
      <c r="A10294" s="1" t="s">
        <v>20474</v>
      </c>
      <c r="B10294" s="1" t="str">
        <f>"9781421415345"</f>
        <v>9781421415345</v>
      </c>
      <c r="C10294" s="1" t="s">
        <v>20186</v>
      </c>
      <c r="D10294" s="2">
        <v>41941</v>
      </c>
      <c r="E10294" s="1" t="s">
        <v>20475</v>
      </c>
      <c r="F10294" s="1" t="s">
        <v>13</v>
      </c>
    </row>
    <row r="10295" spans="1:6" ht="30" customHeight="1" x14ac:dyDescent="0.25">
      <c r="A10295" s="1" t="s">
        <v>20476</v>
      </c>
      <c r="B10295" s="1" t="str">
        <f>"9781421401072"</f>
        <v>9781421401072</v>
      </c>
      <c r="C10295" s="1" t="s">
        <v>20186</v>
      </c>
      <c r="D10295" s="2">
        <v>40695</v>
      </c>
      <c r="E10295" s="1" t="s">
        <v>20477</v>
      </c>
      <c r="F10295" s="1" t="s">
        <v>30</v>
      </c>
    </row>
    <row r="10296" spans="1:6" ht="30" customHeight="1" x14ac:dyDescent="0.25">
      <c r="A10296" s="1" t="s">
        <v>20478</v>
      </c>
      <c r="B10296" s="1" t="str">
        <f>"9781421414744"</f>
        <v>9781421414744</v>
      </c>
      <c r="C10296" s="1" t="s">
        <v>20186</v>
      </c>
      <c r="D10296" s="2">
        <v>41975</v>
      </c>
      <c r="E10296" s="1" t="s">
        <v>20479</v>
      </c>
      <c r="F10296" s="1" t="s">
        <v>176</v>
      </c>
    </row>
    <row r="10297" spans="1:6" ht="30" customHeight="1" x14ac:dyDescent="0.25">
      <c r="A10297" s="1" t="s">
        <v>20480</v>
      </c>
      <c r="B10297" s="1" t="str">
        <f>"9781421414041"</f>
        <v>9781421414041</v>
      </c>
      <c r="C10297" s="1" t="s">
        <v>20186</v>
      </c>
      <c r="D10297" s="2">
        <v>41976</v>
      </c>
      <c r="E10297" s="1" t="s">
        <v>20481</v>
      </c>
      <c r="F10297" s="1" t="s">
        <v>13</v>
      </c>
    </row>
    <row r="10298" spans="1:6" ht="30" customHeight="1" x14ac:dyDescent="0.25">
      <c r="A10298" s="1" t="s">
        <v>20482</v>
      </c>
      <c r="B10298" s="1" t="str">
        <f>"9781421415949"</f>
        <v>9781421415949</v>
      </c>
      <c r="C10298" s="1" t="s">
        <v>20186</v>
      </c>
      <c r="D10298" s="2">
        <v>42031</v>
      </c>
      <c r="E10298" s="1" t="s">
        <v>20309</v>
      </c>
      <c r="F10298" s="1" t="s">
        <v>137</v>
      </c>
    </row>
    <row r="10299" spans="1:6" ht="30" customHeight="1" x14ac:dyDescent="0.25">
      <c r="A10299" s="1" t="s">
        <v>20483</v>
      </c>
      <c r="B10299" s="1" t="str">
        <f>"9781421415987"</f>
        <v>9781421415987</v>
      </c>
      <c r="C10299" s="1" t="s">
        <v>20186</v>
      </c>
      <c r="D10299" s="2">
        <v>42054</v>
      </c>
      <c r="E10299" s="1" t="s">
        <v>20484</v>
      </c>
      <c r="F10299" s="1" t="s">
        <v>95</v>
      </c>
    </row>
    <row r="10300" spans="1:6" ht="30" customHeight="1" x14ac:dyDescent="0.25">
      <c r="A10300" s="1" t="s">
        <v>20485</v>
      </c>
      <c r="B10300" s="1" t="str">
        <f>"9781421416298"</f>
        <v>9781421416298</v>
      </c>
      <c r="C10300" s="1" t="s">
        <v>20186</v>
      </c>
      <c r="D10300" s="2">
        <v>42090</v>
      </c>
      <c r="E10300" s="1" t="s">
        <v>20486</v>
      </c>
      <c r="F10300" s="1" t="s">
        <v>13</v>
      </c>
    </row>
    <row r="10301" spans="1:6" ht="30" customHeight="1" x14ac:dyDescent="0.25">
      <c r="A10301" s="1" t="s">
        <v>20487</v>
      </c>
      <c r="B10301" s="1" t="str">
        <f>"9789048506576"</f>
        <v>9789048506576</v>
      </c>
      <c r="C10301" s="1" t="s">
        <v>20488</v>
      </c>
      <c r="D10301" s="2">
        <v>39882</v>
      </c>
      <c r="E10301" s="1" t="s">
        <v>20489</v>
      </c>
      <c r="F10301" s="1" t="s">
        <v>3393</v>
      </c>
    </row>
    <row r="10302" spans="1:6" ht="30" customHeight="1" x14ac:dyDescent="0.25">
      <c r="A10302" s="1" t="s">
        <v>20490</v>
      </c>
      <c r="B10302" s="1" t="str">
        <f>"9789048505913"</f>
        <v>9789048505913</v>
      </c>
      <c r="C10302" s="1" t="s">
        <v>20488</v>
      </c>
      <c r="D10302" s="2">
        <v>39126</v>
      </c>
      <c r="E10302" s="1" t="s">
        <v>20491</v>
      </c>
      <c r="F10302" s="1" t="s">
        <v>13</v>
      </c>
    </row>
    <row r="10303" spans="1:6" ht="30" customHeight="1" x14ac:dyDescent="0.25">
      <c r="A10303" s="1" t="s">
        <v>20492</v>
      </c>
      <c r="B10303" s="1" t="str">
        <f>"9789048502172"</f>
        <v>9789048502172</v>
      </c>
      <c r="C10303" s="1" t="s">
        <v>20488</v>
      </c>
      <c r="D10303" s="2">
        <v>39434</v>
      </c>
      <c r="E10303" s="1" t="s">
        <v>20493</v>
      </c>
      <c r="F10303" s="1" t="s">
        <v>268</v>
      </c>
    </row>
    <row r="10304" spans="1:6" ht="30" customHeight="1" x14ac:dyDescent="0.25">
      <c r="A10304" s="1" t="s">
        <v>20494</v>
      </c>
      <c r="B10304" s="1" t="str">
        <f>"9789175195001"</f>
        <v>9789175195001</v>
      </c>
      <c r="C10304" s="1" t="s">
        <v>20495</v>
      </c>
      <c r="D10304" s="2">
        <v>41548</v>
      </c>
      <c r="E10304" s="1" t="s">
        <v>20496</v>
      </c>
      <c r="F10304" s="1" t="s">
        <v>13</v>
      </c>
    </row>
    <row r="10305" spans="1:6" ht="30" customHeight="1" x14ac:dyDescent="0.25">
      <c r="A10305" s="1" t="s">
        <v>20497</v>
      </c>
      <c r="B10305" s="1" t="str">
        <f>"9789175191140"</f>
        <v>9789175191140</v>
      </c>
      <c r="C10305" s="1" t="s">
        <v>20495</v>
      </c>
      <c r="D10305" s="2">
        <v>42064</v>
      </c>
      <c r="E10305" s="1" t="s">
        <v>20498</v>
      </c>
      <c r="F10305" s="1" t="s">
        <v>13</v>
      </c>
    </row>
    <row r="10306" spans="1:6" ht="30" customHeight="1" x14ac:dyDescent="0.25">
      <c r="A10306" s="1" t="s">
        <v>20499</v>
      </c>
      <c r="B10306" s="1" t="str">
        <f>"9789175191201"</f>
        <v>9789175191201</v>
      </c>
      <c r="C10306" s="1" t="s">
        <v>20495</v>
      </c>
      <c r="D10306" s="2">
        <v>42095</v>
      </c>
      <c r="E10306" s="1" t="s">
        <v>20500</v>
      </c>
      <c r="F10306" s="1" t="s">
        <v>356</v>
      </c>
    </row>
    <row r="10307" spans="1:6" ht="30" customHeight="1" x14ac:dyDescent="0.25">
      <c r="A10307" s="1" t="s">
        <v>20501</v>
      </c>
      <c r="B10307" s="1" t="str">
        <f>"9780718843472"</f>
        <v>9780718843472</v>
      </c>
      <c r="C10307" s="1" t="s">
        <v>20502</v>
      </c>
      <c r="D10307" s="2">
        <v>42061</v>
      </c>
      <c r="E10307" s="1" t="s">
        <v>20503</v>
      </c>
      <c r="F10307" s="1" t="s">
        <v>13</v>
      </c>
    </row>
    <row r="10308" spans="1:6" ht="30" customHeight="1" x14ac:dyDescent="0.25">
      <c r="A10308" s="1" t="s">
        <v>20504</v>
      </c>
      <c r="B10308" s="1" t="str">
        <f>"9781898683780"</f>
        <v>9781898683780</v>
      </c>
      <c r="C10308" s="1" t="s">
        <v>20505</v>
      </c>
      <c r="D10308" s="2">
        <v>39153</v>
      </c>
      <c r="F10308" s="1" t="s">
        <v>13</v>
      </c>
    </row>
    <row r="10309" spans="1:6" ht="30" customHeight="1" x14ac:dyDescent="0.25">
      <c r="A10309" s="1" t="s">
        <v>20506</v>
      </c>
      <c r="B10309" s="1" t="str">
        <f>"9781898683834"</f>
        <v>9781898683834</v>
      </c>
      <c r="C10309" s="1" t="s">
        <v>20505</v>
      </c>
      <c r="D10309" s="2">
        <v>39650</v>
      </c>
      <c r="E10309" s="1" t="s">
        <v>20507</v>
      </c>
      <c r="F10309" s="1" t="s">
        <v>13</v>
      </c>
    </row>
    <row r="10310" spans="1:6" ht="30" customHeight="1" x14ac:dyDescent="0.25">
      <c r="A10310" s="1" t="s">
        <v>20508</v>
      </c>
      <c r="B10310" s="1" t="str">
        <f>"9781898683841"</f>
        <v>9781898683841</v>
      </c>
      <c r="C10310" s="1" t="s">
        <v>20505</v>
      </c>
      <c r="D10310" s="2">
        <v>39785</v>
      </c>
      <c r="E10310" s="1" t="s">
        <v>20509</v>
      </c>
      <c r="F10310" s="1" t="s">
        <v>13</v>
      </c>
    </row>
    <row r="10311" spans="1:6" ht="30" customHeight="1" x14ac:dyDescent="0.25">
      <c r="A10311" s="1" t="s">
        <v>20510</v>
      </c>
      <c r="B10311" s="1" t="str">
        <f>"9781898683728"</f>
        <v>9781898683728</v>
      </c>
      <c r="C10311" s="1" t="s">
        <v>20505</v>
      </c>
      <c r="D10311" s="2">
        <v>40179</v>
      </c>
      <c r="E10311" s="1" t="s">
        <v>20511</v>
      </c>
      <c r="F10311" s="1" t="s">
        <v>13</v>
      </c>
    </row>
    <row r="10312" spans="1:6" ht="30" customHeight="1" x14ac:dyDescent="0.25">
      <c r="A10312" s="1" t="s">
        <v>20512</v>
      </c>
      <c r="B10312" s="1" t="str">
        <f>"9781898683827"</f>
        <v>9781898683827</v>
      </c>
      <c r="C10312" s="1" t="s">
        <v>20505</v>
      </c>
      <c r="D10312" s="2">
        <v>39538</v>
      </c>
      <c r="E10312" s="1" t="s">
        <v>20513</v>
      </c>
      <c r="F10312" s="1" t="s">
        <v>13</v>
      </c>
    </row>
    <row r="10313" spans="1:6" ht="30" customHeight="1" x14ac:dyDescent="0.25">
      <c r="A10313" s="1" t="s">
        <v>20514</v>
      </c>
      <c r="B10313" s="1" t="str">
        <f>"9781898683810"</f>
        <v>9781898683810</v>
      </c>
      <c r="C10313" s="1" t="s">
        <v>20505</v>
      </c>
      <c r="D10313" s="2">
        <v>39181</v>
      </c>
      <c r="E10313" s="1" t="s">
        <v>20515</v>
      </c>
      <c r="F10313" s="1" t="s">
        <v>13</v>
      </c>
    </row>
    <row r="10314" spans="1:6" ht="30" customHeight="1" x14ac:dyDescent="0.25">
      <c r="A10314" s="1" t="s">
        <v>20516</v>
      </c>
      <c r="B10314" s="1" t="str">
        <f>"9781898683773"</f>
        <v>9781898683773</v>
      </c>
      <c r="C10314" s="1" t="s">
        <v>20505</v>
      </c>
      <c r="D10314" s="2">
        <v>38960</v>
      </c>
      <c r="E10314" s="1" t="s">
        <v>20517</v>
      </c>
      <c r="F10314" s="1" t="s">
        <v>13</v>
      </c>
    </row>
    <row r="10315" spans="1:6" ht="30" customHeight="1" x14ac:dyDescent="0.25">
      <c r="A10315" s="1" t="s">
        <v>20518</v>
      </c>
      <c r="B10315" s="1" t="str">
        <f>"9781898683735"</f>
        <v>9781898683735</v>
      </c>
      <c r="C10315" s="1" t="s">
        <v>20505</v>
      </c>
      <c r="D10315" s="2">
        <v>40179</v>
      </c>
      <c r="E10315" s="1" t="s">
        <v>20519</v>
      </c>
      <c r="F10315" s="1" t="s">
        <v>13</v>
      </c>
    </row>
    <row r="10316" spans="1:6" ht="30" customHeight="1" x14ac:dyDescent="0.25">
      <c r="A10316" s="1" t="s">
        <v>20520</v>
      </c>
      <c r="B10316" s="1" t="str">
        <f>"9781898683858"</f>
        <v>9781898683858</v>
      </c>
      <c r="C10316" s="1" t="s">
        <v>20505</v>
      </c>
      <c r="D10316" s="2">
        <v>40179</v>
      </c>
      <c r="E10316" s="1" t="s">
        <v>20521</v>
      </c>
      <c r="F10316" s="1" t="s">
        <v>13</v>
      </c>
    </row>
    <row r="10317" spans="1:6" ht="30" customHeight="1" x14ac:dyDescent="0.25">
      <c r="A10317" s="1" t="s">
        <v>20522</v>
      </c>
      <c r="B10317" s="1" t="str">
        <f>"9781898683766"</f>
        <v>9781898683766</v>
      </c>
      <c r="C10317" s="1" t="s">
        <v>20505</v>
      </c>
      <c r="D10317" s="2">
        <v>38827</v>
      </c>
      <c r="E10317" s="1" t="s">
        <v>20523</v>
      </c>
      <c r="F10317" s="1" t="s">
        <v>221</v>
      </c>
    </row>
    <row r="10318" spans="1:6" ht="30" customHeight="1" x14ac:dyDescent="0.25">
      <c r="A10318" s="1" t="s">
        <v>20524</v>
      </c>
      <c r="B10318" s="1" t="str">
        <f>"9781898683797"</f>
        <v>9781898683797</v>
      </c>
      <c r="C10318" s="1" t="s">
        <v>20505</v>
      </c>
      <c r="D10318" s="2">
        <v>39153</v>
      </c>
      <c r="E10318" s="1" t="s">
        <v>20525</v>
      </c>
      <c r="F10318" s="1" t="s">
        <v>30</v>
      </c>
    </row>
    <row r="10319" spans="1:6" ht="30" customHeight="1" x14ac:dyDescent="0.25">
      <c r="A10319" s="1" t="s">
        <v>20526</v>
      </c>
      <c r="B10319" s="1" t="str">
        <f>"9781898683964"</f>
        <v>9781898683964</v>
      </c>
      <c r="C10319" s="1" t="s">
        <v>20505</v>
      </c>
      <c r="D10319" s="2">
        <v>40071</v>
      </c>
      <c r="E10319" s="1" t="s">
        <v>20527</v>
      </c>
      <c r="F10319" s="1" t="s">
        <v>13</v>
      </c>
    </row>
    <row r="10320" spans="1:6" ht="30" customHeight="1" x14ac:dyDescent="0.25">
      <c r="A10320" s="1" t="s">
        <v>20528</v>
      </c>
      <c r="B10320" s="1" t="str">
        <f>"9781898683162"</f>
        <v>9781898683162</v>
      </c>
      <c r="C10320" s="1" t="s">
        <v>20505</v>
      </c>
      <c r="D10320" s="2">
        <v>39965</v>
      </c>
      <c r="E10320" s="1" t="s">
        <v>20529</v>
      </c>
      <c r="F10320" s="1" t="s">
        <v>13</v>
      </c>
    </row>
    <row r="10321" spans="1:6" ht="30" customHeight="1" x14ac:dyDescent="0.25">
      <c r="A10321" s="1" t="s">
        <v>20530</v>
      </c>
      <c r="B10321" s="1" t="str">
        <f>"9781898683711"</f>
        <v>9781898683711</v>
      </c>
      <c r="C10321" s="1" t="s">
        <v>20505</v>
      </c>
      <c r="D10321" s="2">
        <v>38127</v>
      </c>
      <c r="E10321" s="1" t="s">
        <v>20531</v>
      </c>
      <c r="F10321" s="1" t="s">
        <v>13</v>
      </c>
    </row>
    <row r="10322" spans="1:6" ht="30" customHeight="1" x14ac:dyDescent="0.25">
      <c r="A10322" s="1" t="s">
        <v>20532</v>
      </c>
      <c r="B10322" s="1" t="str">
        <f>"9781898683742"</f>
        <v>9781898683742</v>
      </c>
      <c r="C10322" s="1" t="s">
        <v>20505</v>
      </c>
      <c r="D10322" s="2">
        <v>39538</v>
      </c>
      <c r="E10322" s="1" t="s">
        <v>20533</v>
      </c>
      <c r="F10322" s="1" t="s">
        <v>13</v>
      </c>
    </row>
    <row r="10323" spans="1:6" ht="30" customHeight="1" x14ac:dyDescent="0.25">
      <c r="A10323" s="1" t="s">
        <v>20534</v>
      </c>
      <c r="B10323" s="1" t="str">
        <f>"9781898683919"</f>
        <v>9781898683919</v>
      </c>
      <c r="C10323" s="1" t="s">
        <v>20505</v>
      </c>
      <c r="D10323" s="2">
        <v>40197</v>
      </c>
      <c r="E10323" s="1" t="s">
        <v>20535</v>
      </c>
      <c r="F10323" s="1" t="s">
        <v>13</v>
      </c>
    </row>
    <row r="10324" spans="1:6" ht="30" customHeight="1" x14ac:dyDescent="0.25">
      <c r="A10324" s="1" t="s">
        <v>20536</v>
      </c>
      <c r="B10324" s="1" t="str">
        <f>"9781898683759"</f>
        <v>9781898683759</v>
      </c>
      <c r="C10324" s="1" t="s">
        <v>20505</v>
      </c>
      <c r="D10324" s="2">
        <v>38127</v>
      </c>
      <c r="E10324" s="1" t="s">
        <v>20537</v>
      </c>
      <c r="F10324" s="1" t="s">
        <v>13</v>
      </c>
    </row>
    <row r="10325" spans="1:6" ht="30" customHeight="1" x14ac:dyDescent="0.25">
      <c r="A10325" s="1" t="s">
        <v>20538</v>
      </c>
      <c r="B10325" s="1" t="str">
        <f>""</f>
        <v/>
      </c>
      <c r="C10325" s="1" t="s">
        <v>20505</v>
      </c>
      <c r="D10325" s="2">
        <v>40391</v>
      </c>
      <c r="E10325" s="1" t="s">
        <v>20539</v>
      </c>
      <c r="F10325" s="1" t="s">
        <v>13</v>
      </c>
    </row>
    <row r="10326" spans="1:6" ht="30" customHeight="1" x14ac:dyDescent="0.25">
      <c r="A10326" s="1" t="s">
        <v>20540</v>
      </c>
      <c r="B10326" s="1" t="str">
        <f>"9781907655005"</f>
        <v>9781907655005</v>
      </c>
      <c r="C10326" s="1" t="s">
        <v>20505</v>
      </c>
      <c r="D10326" s="2">
        <v>40422</v>
      </c>
      <c r="E10326" s="1" t="s">
        <v>20541</v>
      </c>
      <c r="F10326" s="1" t="s">
        <v>13</v>
      </c>
    </row>
    <row r="10327" spans="1:6" ht="30" customHeight="1" x14ac:dyDescent="0.25">
      <c r="A10327" s="1" t="s">
        <v>20542</v>
      </c>
      <c r="B10327" s="1" t="str">
        <f>""</f>
        <v/>
      </c>
      <c r="C10327" s="1" t="s">
        <v>20505</v>
      </c>
      <c r="D10327" s="2">
        <v>40603</v>
      </c>
      <c r="E10327" s="1" t="s">
        <v>20543</v>
      </c>
      <c r="F10327" s="1" t="s">
        <v>13</v>
      </c>
    </row>
    <row r="10328" spans="1:6" ht="30" customHeight="1" x14ac:dyDescent="0.25">
      <c r="A10328" s="1" t="s">
        <v>20544</v>
      </c>
      <c r="B10328" s="1" t="str">
        <f>"9781907655401"</f>
        <v>9781907655401</v>
      </c>
      <c r="C10328" s="1" t="s">
        <v>20505</v>
      </c>
      <c r="D10328" s="2">
        <v>40868</v>
      </c>
      <c r="E10328" s="1" t="s">
        <v>20545</v>
      </c>
      <c r="F10328" s="1" t="s">
        <v>13</v>
      </c>
    </row>
    <row r="10329" spans="1:6" ht="30" customHeight="1" x14ac:dyDescent="0.25">
      <c r="A10329" s="1" t="s">
        <v>20546</v>
      </c>
      <c r="B10329" s="1" t="str">
        <f>"9781908316424"</f>
        <v>9781908316424</v>
      </c>
      <c r="C10329" s="1" t="s">
        <v>20505</v>
      </c>
      <c r="D10329" s="2">
        <v>41043</v>
      </c>
      <c r="E10329" s="1" t="s">
        <v>20547</v>
      </c>
      <c r="F10329" s="1" t="s">
        <v>117</v>
      </c>
    </row>
    <row r="10330" spans="1:6" ht="30" customHeight="1" x14ac:dyDescent="0.25">
      <c r="A10330" s="1" t="s">
        <v>20548</v>
      </c>
      <c r="B10330" s="1" t="str">
        <f>"9781907655357"</f>
        <v>9781907655357</v>
      </c>
      <c r="C10330" s="1" t="s">
        <v>20505</v>
      </c>
      <c r="D10330" s="2">
        <v>40701</v>
      </c>
      <c r="E10330" s="1" t="s">
        <v>20549</v>
      </c>
      <c r="F10330" s="1" t="s">
        <v>13</v>
      </c>
    </row>
    <row r="10331" spans="1:6" ht="30" customHeight="1" x14ac:dyDescent="0.25">
      <c r="A10331" s="1" t="s">
        <v>20550</v>
      </c>
      <c r="B10331" s="1" t="str">
        <f>"9781907655395"</f>
        <v>9781907655395</v>
      </c>
      <c r="C10331" s="1" t="s">
        <v>20505</v>
      </c>
      <c r="D10331" s="2">
        <v>40973</v>
      </c>
      <c r="E10331" s="1" t="s">
        <v>20551</v>
      </c>
      <c r="F10331" s="1" t="s">
        <v>1948</v>
      </c>
    </row>
    <row r="10332" spans="1:6" ht="30" customHeight="1" x14ac:dyDescent="0.25">
      <c r="A10332" s="1" t="s">
        <v>20552</v>
      </c>
      <c r="B10332" s="1" t="str">
        <f>"9781907655388"</f>
        <v>9781907655388</v>
      </c>
      <c r="C10332" s="1" t="s">
        <v>20505</v>
      </c>
      <c r="D10332" s="2">
        <v>41050</v>
      </c>
      <c r="E10332" s="1" t="s">
        <v>20553</v>
      </c>
      <c r="F10332" s="1" t="s">
        <v>221</v>
      </c>
    </row>
    <row r="10333" spans="1:6" ht="30" customHeight="1" x14ac:dyDescent="0.25">
      <c r="A10333" s="1" t="s">
        <v>20554</v>
      </c>
      <c r="B10333" s="1" t="str">
        <f>"9781907655418"</f>
        <v>9781907655418</v>
      </c>
      <c r="C10333" s="1" t="s">
        <v>20505</v>
      </c>
      <c r="D10333" s="2">
        <v>40651</v>
      </c>
      <c r="E10333" s="1" t="s">
        <v>20555</v>
      </c>
      <c r="F10333" s="1" t="s">
        <v>13</v>
      </c>
    </row>
    <row r="10334" spans="1:6" ht="30" customHeight="1" x14ac:dyDescent="0.25">
      <c r="A10334" s="1" t="s">
        <v>20556</v>
      </c>
      <c r="B10334" s="1" t="str">
        <f>"9781908316400"</f>
        <v>9781908316400</v>
      </c>
      <c r="C10334" s="1" t="s">
        <v>20505</v>
      </c>
      <c r="D10334" s="2">
        <v>40952</v>
      </c>
      <c r="E10334" s="1" t="s">
        <v>20557</v>
      </c>
      <c r="F10334" s="1" t="s">
        <v>13</v>
      </c>
    </row>
    <row r="10335" spans="1:6" ht="30" customHeight="1" x14ac:dyDescent="0.25">
      <c r="A10335" s="1" t="s">
        <v>20558</v>
      </c>
      <c r="B10335" s="1" t="str">
        <f>"9781908316363"</f>
        <v>9781908316363</v>
      </c>
      <c r="C10335" s="1" t="s">
        <v>20505</v>
      </c>
      <c r="D10335" s="2">
        <v>39785</v>
      </c>
      <c r="E10335" s="1" t="s">
        <v>20559</v>
      </c>
      <c r="F10335" s="1" t="s">
        <v>13</v>
      </c>
    </row>
    <row r="10336" spans="1:6" ht="30" customHeight="1" x14ac:dyDescent="0.25">
      <c r="A10336" s="1" t="s">
        <v>20560</v>
      </c>
      <c r="B10336" s="1" t="str">
        <f>"9781907655364"</f>
        <v>9781907655364</v>
      </c>
      <c r="C10336" s="1" t="s">
        <v>20505</v>
      </c>
      <c r="D10336" s="2">
        <v>41260</v>
      </c>
      <c r="E10336" s="1" t="s">
        <v>20561</v>
      </c>
      <c r="F10336" s="1" t="s">
        <v>13</v>
      </c>
    </row>
    <row r="10337" spans="1:6" ht="30" customHeight="1" x14ac:dyDescent="0.25">
      <c r="A10337" s="1" t="s">
        <v>20562</v>
      </c>
      <c r="B10337" s="1" t="str">
        <f>"9781908316639"</f>
        <v>9781908316639</v>
      </c>
      <c r="C10337" s="1" t="s">
        <v>20505</v>
      </c>
      <c r="D10337" s="2">
        <v>41386</v>
      </c>
      <c r="E10337" s="1" t="s">
        <v>20563</v>
      </c>
      <c r="F10337" s="1" t="s">
        <v>13</v>
      </c>
    </row>
    <row r="10338" spans="1:6" ht="30" customHeight="1" x14ac:dyDescent="0.25">
      <c r="A10338" s="1" t="s">
        <v>20564</v>
      </c>
      <c r="B10338" s="1" t="str">
        <f>"9781908316790"</f>
        <v>9781908316790</v>
      </c>
      <c r="C10338" s="1" t="s">
        <v>20505</v>
      </c>
      <c r="D10338" s="2">
        <v>41520</v>
      </c>
      <c r="F10338" s="1" t="s">
        <v>13</v>
      </c>
    </row>
    <row r="10339" spans="1:6" ht="30" customHeight="1" x14ac:dyDescent="0.25">
      <c r="A10339" s="1" t="s">
        <v>20565</v>
      </c>
      <c r="B10339" s="1" t="str">
        <f>"9781908316110"</f>
        <v>9781908316110</v>
      </c>
      <c r="C10339" s="1" t="s">
        <v>20505</v>
      </c>
      <c r="D10339" s="2">
        <v>40245</v>
      </c>
      <c r="E10339" s="1" t="s">
        <v>20566</v>
      </c>
      <c r="F10339" s="1" t="s">
        <v>13</v>
      </c>
    </row>
    <row r="10340" spans="1:6" ht="30" customHeight="1" x14ac:dyDescent="0.25">
      <c r="A10340" s="1" t="s">
        <v>20567</v>
      </c>
      <c r="B10340" s="1" t="str">
        <f>"9781908316127"</f>
        <v>9781908316127</v>
      </c>
      <c r="C10340" s="1" t="s">
        <v>20505</v>
      </c>
      <c r="D10340" s="2">
        <v>40007</v>
      </c>
      <c r="E10340" s="1" t="s">
        <v>20568</v>
      </c>
      <c r="F10340" s="1" t="s">
        <v>13</v>
      </c>
    </row>
    <row r="10341" spans="1:6" ht="30" customHeight="1" x14ac:dyDescent="0.25">
      <c r="A10341" s="1" t="s">
        <v>20569</v>
      </c>
      <c r="B10341" s="1" t="str">
        <f>"9781898683995"</f>
        <v>9781898683995</v>
      </c>
      <c r="C10341" s="1" t="s">
        <v>20505</v>
      </c>
      <c r="D10341" s="2">
        <v>40497</v>
      </c>
      <c r="E10341" s="1" t="s">
        <v>20570</v>
      </c>
      <c r="F10341" s="1" t="s">
        <v>13</v>
      </c>
    </row>
    <row r="10342" spans="1:6" ht="30" customHeight="1" x14ac:dyDescent="0.25">
      <c r="A10342" s="1" t="s">
        <v>20571</v>
      </c>
      <c r="B10342" s="1" t="str">
        <f>"9781908316899"</f>
        <v>9781908316899</v>
      </c>
      <c r="C10342" s="1" t="s">
        <v>20505</v>
      </c>
      <c r="D10342" s="2">
        <v>41624</v>
      </c>
      <c r="E10342" s="1" t="s">
        <v>20572</v>
      </c>
      <c r="F10342" s="1" t="s">
        <v>1372</v>
      </c>
    </row>
    <row r="10343" spans="1:6" ht="30" customHeight="1" x14ac:dyDescent="0.25">
      <c r="A10343" s="1" t="s">
        <v>20573</v>
      </c>
      <c r="B10343" s="1" t="str">
        <f>"9781909962453"</f>
        <v>9781909962453</v>
      </c>
      <c r="C10343" s="1" t="s">
        <v>20505</v>
      </c>
      <c r="D10343" s="2">
        <v>41828</v>
      </c>
      <c r="E10343" s="1" t="s">
        <v>20574</v>
      </c>
      <c r="F10343" s="1" t="s">
        <v>13</v>
      </c>
    </row>
    <row r="10344" spans="1:6" ht="30" customHeight="1" x14ac:dyDescent="0.25">
      <c r="A10344" s="1" t="s">
        <v>20575</v>
      </c>
      <c r="B10344" s="1" t="str">
        <f>"9781909962484"</f>
        <v>9781909962484</v>
      </c>
      <c r="C10344" s="1" t="s">
        <v>20505</v>
      </c>
      <c r="D10344" s="2">
        <v>42086</v>
      </c>
      <c r="E10344" s="1" t="s">
        <v>20576</v>
      </c>
      <c r="F10344" s="1" t="s">
        <v>13</v>
      </c>
    </row>
    <row r="10345" spans="1:6" ht="30" customHeight="1" x14ac:dyDescent="0.25">
      <c r="A10345" s="1" t="s">
        <v>20577</v>
      </c>
      <c r="B10345" s="1" t="str">
        <f>"9781909962422"</f>
        <v>9781909962422</v>
      </c>
      <c r="C10345" s="1" t="s">
        <v>20505</v>
      </c>
      <c r="D10345" s="2">
        <v>42121</v>
      </c>
      <c r="E10345" s="1" t="s">
        <v>20578</v>
      </c>
      <c r="F10345" s="1" t="s">
        <v>13</v>
      </c>
    </row>
    <row r="10346" spans="1:6" ht="30" customHeight="1" x14ac:dyDescent="0.25">
      <c r="A10346" s="1" t="s">
        <v>20579</v>
      </c>
      <c r="B10346" s="1" t="str">
        <f>"9780773569997"</f>
        <v>9780773569997</v>
      </c>
      <c r="C10346" s="1" t="s">
        <v>20580</v>
      </c>
      <c r="D10346" s="2">
        <v>37357</v>
      </c>
      <c r="E10346" s="1" t="s">
        <v>20581</v>
      </c>
      <c r="F10346" s="1" t="s">
        <v>356</v>
      </c>
    </row>
    <row r="10347" spans="1:6" ht="30" customHeight="1" x14ac:dyDescent="0.25">
      <c r="A10347" s="1" t="s">
        <v>20582</v>
      </c>
      <c r="B10347" s="1" t="str">
        <f>"9780773572102"</f>
        <v>9780773572102</v>
      </c>
      <c r="C10347" s="1" t="s">
        <v>20580</v>
      </c>
      <c r="D10347" s="2">
        <v>38330</v>
      </c>
      <c r="E10347" s="1" t="s">
        <v>20583</v>
      </c>
      <c r="F10347" s="1" t="s">
        <v>13</v>
      </c>
    </row>
    <row r="10348" spans="1:6" ht="30" customHeight="1" x14ac:dyDescent="0.25">
      <c r="A10348" s="1" t="s">
        <v>20584</v>
      </c>
      <c r="B10348" s="1" t="str">
        <f>"9780773571808"</f>
        <v>9780773571808</v>
      </c>
      <c r="C10348" s="1" t="s">
        <v>20580</v>
      </c>
      <c r="D10348" s="2">
        <v>38105</v>
      </c>
      <c r="E10348" s="1" t="s">
        <v>20585</v>
      </c>
      <c r="F10348" s="1" t="s">
        <v>176</v>
      </c>
    </row>
    <row r="10349" spans="1:6" ht="30" customHeight="1" x14ac:dyDescent="0.25">
      <c r="A10349" s="1" t="s">
        <v>20586</v>
      </c>
      <c r="B10349" s="1" t="str">
        <f>"9780773569317"</f>
        <v>9780773569317</v>
      </c>
      <c r="C10349" s="1" t="s">
        <v>20580</v>
      </c>
      <c r="D10349" s="2">
        <v>37239</v>
      </c>
      <c r="E10349" s="1" t="s">
        <v>20587</v>
      </c>
      <c r="F10349" s="1" t="s">
        <v>205</v>
      </c>
    </row>
    <row r="10350" spans="1:6" ht="30" customHeight="1" x14ac:dyDescent="0.25">
      <c r="A10350" s="1" t="s">
        <v>20588</v>
      </c>
      <c r="B10350" s="1" t="str">
        <f>"9780773569157"</f>
        <v>9780773569157</v>
      </c>
      <c r="C10350" s="1" t="s">
        <v>20580</v>
      </c>
      <c r="D10350" s="2">
        <v>37004</v>
      </c>
      <c r="E10350" s="1" t="s">
        <v>20589</v>
      </c>
      <c r="F10350" s="1" t="s">
        <v>13</v>
      </c>
    </row>
    <row r="10351" spans="1:6" ht="30" customHeight="1" x14ac:dyDescent="0.25">
      <c r="A10351" s="1" t="s">
        <v>20590</v>
      </c>
      <c r="B10351" s="1" t="str">
        <f>"9780773569355"</f>
        <v>9780773569355</v>
      </c>
      <c r="C10351" s="1" t="s">
        <v>20580</v>
      </c>
      <c r="D10351" s="2">
        <v>37154</v>
      </c>
      <c r="E10351" s="1" t="s">
        <v>20591</v>
      </c>
      <c r="F10351" s="1" t="s">
        <v>176</v>
      </c>
    </row>
    <row r="10352" spans="1:6" ht="30" customHeight="1" x14ac:dyDescent="0.25">
      <c r="A10352" s="1" t="s">
        <v>20592</v>
      </c>
      <c r="B10352" s="1" t="str">
        <f>"9780773570795"</f>
        <v>9780773570795</v>
      </c>
      <c r="C10352" s="1" t="s">
        <v>20580</v>
      </c>
      <c r="D10352" s="2">
        <v>37767</v>
      </c>
      <c r="E10352" s="1" t="s">
        <v>20593</v>
      </c>
      <c r="F10352" s="1" t="s">
        <v>30</v>
      </c>
    </row>
    <row r="10353" spans="1:6" ht="30" customHeight="1" x14ac:dyDescent="0.25">
      <c r="A10353" s="1" t="s">
        <v>20594</v>
      </c>
      <c r="B10353" s="1" t="str">
        <f>"9780773572256"</f>
        <v>9780773572256</v>
      </c>
      <c r="C10353" s="1" t="s">
        <v>20595</v>
      </c>
      <c r="D10353" s="2">
        <v>38230</v>
      </c>
      <c r="E10353" s="1" t="s">
        <v>4844</v>
      </c>
      <c r="F10353" s="1" t="s">
        <v>95</v>
      </c>
    </row>
    <row r="10354" spans="1:6" ht="30" customHeight="1" x14ac:dyDescent="0.25">
      <c r="A10354" s="1" t="s">
        <v>20596</v>
      </c>
      <c r="B10354" s="1" t="str">
        <f>"9780773570214"</f>
        <v>9780773570214</v>
      </c>
      <c r="C10354" s="1" t="s">
        <v>20580</v>
      </c>
      <c r="D10354" s="2">
        <v>37341</v>
      </c>
      <c r="E10354" s="1" t="s">
        <v>20597</v>
      </c>
      <c r="F10354" s="1" t="s">
        <v>95</v>
      </c>
    </row>
    <row r="10355" spans="1:6" ht="30" customHeight="1" x14ac:dyDescent="0.25">
      <c r="A10355" s="1" t="s">
        <v>20598</v>
      </c>
      <c r="B10355" s="1" t="str">
        <f>"9780773571181"</f>
        <v>9780773571181</v>
      </c>
      <c r="C10355" s="1" t="s">
        <v>20580</v>
      </c>
      <c r="D10355" s="2">
        <v>37935</v>
      </c>
      <c r="E10355" s="1" t="s">
        <v>20599</v>
      </c>
      <c r="F10355" s="1" t="s">
        <v>13</v>
      </c>
    </row>
    <row r="10356" spans="1:6" ht="30" customHeight="1" x14ac:dyDescent="0.25">
      <c r="A10356" s="1" t="s">
        <v>20600</v>
      </c>
      <c r="B10356" s="1" t="str">
        <f>"9780773571457"</f>
        <v>9780773571457</v>
      </c>
      <c r="C10356" s="1" t="s">
        <v>20595</v>
      </c>
      <c r="D10356" s="2">
        <v>37921</v>
      </c>
      <c r="E10356" s="1" t="s">
        <v>20601</v>
      </c>
      <c r="F10356" s="1" t="s">
        <v>1372</v>
      </c>
    </row>
    <row r="10357" spans="1:6" ht="30" customHeight="1" x14ac:dyDescent="0.25">
      <c r="A10357" s="1" t="s">
        <v>20602</v>
      </c>
      <c r="B10357" s="1" t="str">
        <f>"9780773570580"</f>
        <v>9780773570580</v>
      </c>
      <c r="C10357" s="1" t="s">
        <v>20580</v>
      </c>
      <c r="D10357" s="2">
        <v>37573</v>
      </c>
      <c r="E10357" s="1" t="s">
        <v>20603</v>
      </c>
      <c r="F10357" s="1" t="s">
        <v>95</v>
      </c>
    </row>
    <row r="10358" spans="1:6" ht="30" customHeight="1" x14ac:dyDescent="0.25">
      <c r="A10358" s="1" t="s">
        <v>20604</v>
      </c>
      <c r="B10358" s="1" t="str">
        <f>"9780773570788"</f>
        <v>9780773570788</v>
      </c>
      <c r="C10358" s="1" t="s">
        <v>20580</v>
      </c>
      <c r="D10358" s="2">
        <v>37727</v>
      </c>
      <c r="E10358" s="1" t="s">
        <v>20605</v>
      </c>
      <c r="F10358" s="1" t="s">
        <v>30</v>
      </c>
    </row>
    <row r="10359" spans="1:6" ht="30" customHeight="1" x14ac:dyDescent="0.25">
      <c r="A10359" s="1" t="s">
        <v>20606</v>
      </c>
      <c r="B10359" s="1" t="str">
        <f>"9780773570948"</f>
        <v>9780773570948</v>
      </c>
      <c r="C10359" s="1" t="s">
        <v>20580</v>
      </c>
      <c r="D10359" s="2">
        <v>37839</v>
      </c>
      <c r="E10359" s="1" t="s">
        <v>20607</v>
      </c>
      <c r="F10359" s="1" t="s">
        <v>13</v>
      </c>
    </row>
    <row r="10360" spans="1:6" ht="30" customHeight="1" x14ac:dyDescent="0.25">
      <c r="A10360" s="1" t="s">
        <v>20608</v>
      </c>
      <c r="B10360" s="1" t="str">
        <f>"9780773566446"</f>
        <v>9780773566446</v>
      </c>
      <c r="C10360" s="1" t="s">
        <v>20580</v>
      </c>
      <c r="D10360" s="2">
        <v>35472</v>
      </c>
      <c r="E10360" s="1" t="s">
        <v>20609</v>
      </c>
      <c r="F10360" s="1" t="s">
        <v>30</v>
      </c>
    </row>
    <row r="10361" spans="1:6" ht="30" customHeight="1" x14ac:dyDescent="0.25">
      <c r="A10361" s="1" t="s">
        <v>20610</v>
      </c>
      <c r="B10361" s="1" t="str">
        <f>"9780773565005"</f>
        <v>9780773565005</v>
      </c>
      <c r="C10361" s="1" t="s">
        <v>20580</v>
      </c>
      <c r="D10361" s="2">
        <v>34820</v>
      </c>
      <c r="E10361" s="1" t="s">
        <v>20611</v>
      </c>
      <c r="F10361" s="1" t="s">
        <v>3843</v>
      </c>
    </row>
    <row r="10362" spans="1:6" ht="30" customHeight="1" x14ac:dyDescent="0.25">
      <c r="A10362" s="1" t="s">
        <v>20612</v>
      </c>
      <c r="B10362" s="1" t="str">
        <f>"9780773570818"</f>
        <v>9780773570818</v>
      </c>
      <c r="C10362" s="1" t="s">
        <v>20580</v>
      </c>
      <c r="D10362" s="2">
        <v>37818</v>
      </c>
      <c r="E10362" s="1" t="s">
        <v>20613</v>
      </c>
      <c r="F10362" s="1" t="s">
        <v>1693</v>
      </c>
    </row>
    <row r="10363" spans="1:6" ht="30" customHeight="1" x14ac:dyDescent="0.25">
      <c r="A10363" s="1" t="s">
        <v>20614</v>
      </c>
      <c r="B10363" s="1" t="str">
        <f>"9780773563704"</f>
        <v>9780773563704</v>
      </c>
      <c r="C10363" s="1" t="s">
        <v>20580</v>
      </c>
      <c r="D10363" s="2">
        <v>34191</v>
      </c>
      <c r="E10363" s="1" t="s">
        <v>20615</v>
      </c>
      <c r="F10363" s="1" t="s">
        <v>13</v>
      </c>
    </row>
    <row r="10364" spans="1:6" ht="30" customHeight="1" x14ac:dyDescent="0.25">
      <c r="A10364" s="1" t="s">
        <v>20616</v>
      </c>
      <c r="B10364" s="1" t="str">
        <f>"9780773572294"</f>
        <v>9780773572294</v>
      </c>
      <c r="C10364" s="1" t="s">
        <v>20595</v>
      </c>
      <c r="D10364" s="2">
        <v>38240</v>
      </c>
      <c r="E10364" s="1" t="s">
        <v>20617</v>
      </c>
      <c r="F10364" s="1" t="s">
        <v>148</v>
      </c>
    </row>
    <row r="10365" spans="1:6" ht="30" customHeight="1" x14ac:dyDescent="0.25">
      <c r="A10365" s="1" t="s">
        <v>20618</v>
      </c>
      <c r="B10365" s="1" t="str">
        <f>"9780773568839"</f>
        <v>9780773568839</v>
      </c>
      <c r="C10365" s="1" t="s">
        <v>20595</v>
      </c>
      <c r="D10365" s="2">
        <v>36892</v>
      </c>
      <c r="E10365" s="1" t="s">
        <v>20619</v>
      </c>
      <c r="F10365" s="1" t="s">
        <v>70</v>
      </c>
    </row>
    <row r="10366" spans="1:6" ht="30" customHeight="1" x14ac:dyDescent="0.25">
      <c r="A10366" s="1" t="s">
        <v>20620</v>
      </c>
      <c r="B10366" s="1" t="str">
        <f>"9780773564831"</f>
        <v>9780773564831</v>
      </c>
      <c r="C10366" s="1" t="s">
        <v>20580</v>
      </c>
      <c r="D10366" s="2">
        <v>34717</v>
      </c>
      <c r="E10366" s="1" t="s">
        <v>20621</v>
      </c>
      <c r="F10366" s="1" t="s">
        <v>13</v>
      </c>
    </row>
    <row r="10367" spans="1:6" ht="30" customHeight="1" x14ac:dyDescent="0.25">
      <c r="A10367" s="1" t="s">
        <v>20622</v>
      </c>
      <c r="B10367" s="1" t="str">
        <f>"9780773574205"</f>
        <v>9780773574205</v>
      </c>
      <c r="C10367" s="1" t="s">
        <v>20580</v>
      </c>
      <c r="D10367" s="2">
        <v>36479</v>
      </c>
      <c r="E10367" s="1" t="s">
        <v>20623</v>
      </c>
      <c r="F10367" s="1" t="s">
        <v>148</v>
      </c>
    </row>
    <row r="10368" spans="1:6" ht="30" customHeight="1" x14ac:dyDescent="0.25">
      <c r="A10368" s="1" t="s">
        <v>20624</v>
      </c>
      <c r="B10368" s="1" t="str">
        <f>"9780773564671"</f>
        <v>9780773564671</v>
      </c>
      <c r="C10368" s="1" t="s">
        <v>20580</v>
      </c>
      <c r="D10368" s="2">
        <v>34494</v>
      </c>
      <c r="E10368" s="1" t="s">
        <v>20625</v>
      </c>
      <c r="F10368" s="1" t="s">
        <v>87</v>
      </c>
    </row>
    <row r="10369" spans="1:6" ht="30" customHeight="1" x14ac:dyDescent="0.25">
      <c r="A10369" s="1" t="s">
        <v>20626</v>
      </c>
      <c r="B10369" s="1" t="str">
        <f>"9780773564459"</f>
        <v>9780773564459</v>
      </c>
      <c r="C10369" s="1" t="s">
        <v>20580</v>
      </c>
      <c r="D10369" s="2">
        <v>34411</v>
      </c>
      <c r="E10369" s="1" t="s">
        <v>20627</v>
      </c>
      <c r="F10369" s="1" t="s">
        <v>13</v>
      </c>
    </row>
    <row r="10370" spans="1:6" ht="30" customHeight="1" x14ac:dyDescent="0.25">
      <c r="A10370" s="1" t="s">
        <v>20628</v>
      </c>
      <c r="B10370" s="1" t="str">
        <f>"9780773566644"</f>
        <v>9780773566644</v>
      </c>
      <c r="C10370" s="1" t="s">
        <v>20580</v>
      </c>
      <c r="D10370" s="2">
        <v>35713</v>
      </c>
      <c r="E10370" s="1" t="s">
        <v>20629</v>
      </c>
      <c r="F10370" s="1" t="s">
        <v>19044</v>
      </c>
    </row>
    <row r="10371" spans="1:6" ht="30" customHeight="1" x14ac:dyDescent="0.25">
      <c r="A10371" s="1" t="s">
        <v>20630</v>
      </c>
      <c r="B10371" s="1" t="str">
        <f>"9780773565050"</f>
        <v>9780773565050</v>
      </c>
      <c r="C10371" s="1" t="s">
        <v>20580</v>
      </c>
      <c r="D10371" s="2">
        <v>34656</v>
      </c>
      <c r="E10371" s="1" t="s">
        <v>20631</v>
      </c>
      <c r="F10371" s="1" t="s">
        <v>20632</v>
      </c>
    </row>
    <row r="10372" spans="1:6" ht="30" customHeight="1" x14ac:dyDescent="0.25">
      <c r="A10372" s="1" t="s">
        <v>20633</v>
      </c>
      <c r="B10372" s="1" t="str">
        <f>"9780773570221"</f>
        <v>9780773570221</v>
      </c>
      <c r="C10372" s="1" t="s">
        <v>20580</v>
      </c>
      <c r="D10372" s="2">
        <v>37568</v>
      </c>
      <c r="E10372" s="1" t="s">
        <v>20634</v>
      </c>
      <c r="F10372" s="1" t="s">
        <v>30</v>
      </c>
    </row>
    <row r="10373" spans="1:6" ht="30" customHeight="1" x14ac:dyDescent="0.25">
      <c r="A10373" s="1" t="s">
        <v>20635</v>
      </c>
      <c r="B10373" s="1" t="str">
        <f>"9780773570863"</f>
        <v>9780773570863</v>
      </c>
      <c r="C10373" s="1" t="s">
        <v>20580</v>
      </c>
      <c r="D10373" s="2">
        <v>37749</v>
      </c>
      <c r="E10373" s="1" t="s">
        <v>20636</v>
      </c>
      <c r="F10373" s="1" t="s">
        <v>30</v>
      </c>
    </row>
    <row r="10374" spans="1:6" ht="30" customHeight="1" x14ac:dyDescent="0.25">
      <c r="A10374" s="1" t="s">
        <v>20637</v>
      </c>
      <c r="B10374" s="1" t="str">
        <f>"9780773574113"</f>
        <v>9780773574113</v>
      </c>
      <c r="C10374" s="1" t="s">
        <v>20580</v>
      </c>
      <c r="D10374" s="2">
        <v>36152</v>
      </c>
      <c r="E10374" s="1" t="s">
        <v>20638</v>
      </c>
      <c r="F10374" s="1" t="s">
        <v>126</v>
      </c>
    </row>
    <row r="10375" spans="1:6" ht="30" customHeight="1" x14ac:dyDescent="0.25">
      <c r="A10375" s="1" t="s">
        <v>20639</v>
      </c>
      <c r="B10375" s="1" t="str">
        <f>"9780773570931"</f>
        <v>9780773570931</v>
      </c>
      <c r="C10375" s="1" t="s">
        <v>20580</v>
      </c>
      <c r="D10375" s="2">
        <v>37881</v>
      </c>
      <c r="E10375" s="1" t="s">
        <v>20640</v>
      </c>
      <c r="F10375" s="1" t="s">
        <v>13</v>
      </c>
    </row>
    <row r="10376" spans="1:6" ht="30" customHeight="1" x14ac:dyDescent="0.25">
      <c r="A10376" s="1" t="s">
        <v>20641</v>
      </c>
      <c r="B10376" s="1" t="str">
        <f>"9780773567030"</f>
        <v>9780773567030</v>
      </c>
      <c r="C10376" s="1" t="s">
        <v>20580</v>
      </c>
      <c r="D10376" s="2">
        <v>35948</v>
      </c>
      <c r="E10376" s="1" t="s">
        <v>20642</v>
      </c>
      <c r="F10376" s="1" t="s">
        <v>20643</v>
      </c>
    </row>
    <row r="10377" spans="1:6" ht="30" customHeight="1" x14ac:dyDescent="0.25">
      <c r="A10377" s="1" t="s">
        <v>20644</v>
      </c>
      <c r="B10377" s="1" t="str">
        <f>"9780773562301"</f>
        <v>9780773562301</v>
      </c>
      <c r="C10377" s="1" t="s">
        <v>20580</v>
      </c>
      <c r="D10377" s="2">
        <v>33091</v>
      </c>
      <c r="E10377" s="1" t="s">
        <v>20642</v>
      </c>
      <c r="F10377" s="1" t="s">
        <v>95</v>
      </c>
    </row>
    <row r="10378" spans="1:6" ht="30" customHeight="1" x14ac:dyDescent="0.25">
      <c r="A10378" s="1" t="s">
        <v>20645</v>
      </c>
      <c r="B10378" s="1" t="str">
        <f>"9780773572652"</f>
        <v>9780773572652</v>
      </c>
      <c r="C10378" s="1" t="s">
        <v>20595</v>
      </c>
      <c r="D10378" s="2">
        <v>38476</v>
      </c>
      <c r="E10378" s="1" t="s">
        <v>20646</v>
      </c>
      <c r="F10378" s="1" t="s">
        <v>234</v>
      </c>
    </row>
    <row r="10379" spans="1:6" ht="30" customHeight="1" x14ac:dyDescent="0.25">
      <c r="A10379" s="1" t="s">
        <v>20647</v>
      </c>
      <c r="B10379" s="1" t="str">
        <f>"9780773573185"</f>
        <v>9780773573185</v>
      </c>
      <c r="C10379" s="1" t="s">
        <v>20595</v>
      </c>
      <c r="D10379" s="2">
        <v>38639</v>
      </c>
      <c r="E10379" s="1" t="s">
        <v>20648</v>
      </c>
      <c r="F10379" s="1" t="s">
        <v>13</v>
      </c>
    </row>
    <row r="10380" spans="1:6" ht="30" customHeight="1" x14ac:dyDescent="0.25">
      <c r="A10380" s="1" t="s">
        <v>20649</v>
      </c>
      <c r="B10380" s="1" t="str">
        <f>"9780773572409"</f>
        <v>9780773572409</v>
      </c>
      <c r="C10380" s="1" t="s">
        <v>20595</v>
      </c>
      <c r="D10380" s="2">
        <v>38316</v>
      </c>
      <c r="E10380" s="1" t="s">
        <v>20650</v>
      </c>
      <c r="F10380" s="1" t="s">
        <v>20651</v>
      </c>
    </row>
    <row r="10381" spans="1:6" ht="30" customHeight="1" x14ac:dyDescent="0.25">
      <c r="A10381" s="1" t="s">
        <v>20652</v>
      </c>
      <c r="B10381" s="1" t="str">
        <f>"9780773566583"</f>
        <v>9780773566583</v>
      </c>
      <c r="C10381" s="1" t="s">
        <v>20580</v>
      </c>
      <c r="D10381" s="2">
        <v>35578</v>
      </c>
      <c r="E10381" s="1" t="s">
        <v>20653</v>
      </c>
      <c r="F10381" s="1" t="s">
        <v>15023</v>
      </c>
    </row>
    <row r="10382" spans="1:6" ht="30" customHeight="1" x14ac:dyDescent="0.25">
      <c r="A10382" s="1" t="s">
        <v>20654</v>
      </c>
      <c r="B10382" s="1" t="str">
        <f>"9780773572478"</f>
        <v>9780773572478</v>
      </c>
      <c r="C10382" s="1" t="s">
        <v>20595</v>
      </c>
      <c r="D10382" s="2">
        <v>38488</v>
      </c>
      <c r="E10382" s="1" t="s">
        <v>20655</v>
      </c>
      <c r="F10382" s="1" t="s">
        <v>33</v>
      </c>
    </row>
    <row r="10383" spans="1:6" ht="30" customHeight="1" x14ac:dyDescent="0.25">
      <c r="A10383" s="1" t="s">
        <v>20656</v>
      </c>
      <c r="B10383" s="1" t="str">
        <f>"9780773572706"</f>
        <v>9780773572706</v>
      </c>
      <c r="C10383" s="1" t="s">
        <v>20580</v>
      </c>
      <c r="D10383" s="2">
        <v>38484</v>
      </c>
      <c r="E10383" s="1" t="s">
        <v>20657</v>
      </c>
      <c r="F10383" s="1" t="s">
        <v>13</v>
      </c>
    </row>
    <row r="10384" spans="1:6" ht="30" customHeight="1" x14ac:dyDescent="0.25">
      <c r="A10384" s="1" t="s">
        <v>20658</v>
      </c>
      <c r="B10384" s="1" t="str">
        <f>"9780773572201"</f>
        <v>9780773572201</v>
      </c>
      <c r="C10384" s="1" t="s">
        <v>20595</v>
      </c>
      <c r="D10384" s="2">
        <v>41773</v>
      </c>
      <c r="E10384" s="1" t="s">
        <v>20659</v>
      </c>
      <c r="F10384" s="1" t="s">
        <v>205</v>
      </c>
    </row>
    <row r="10385" spans="1:6" ht="30" customHeight="1" x14ac:dyDescent="0.25">
      <c r="A10385" s="1" t="s">
        <v>20660</v>
      </c>
      <c r="B10385" s="1" t="str">
        <f>"9780773574021"</f>
        <v>9780773574021</v>
      </c>
      <c r="C10385" s="1" t="s">
        <v>20580</v>
      </c>
      <c r="D10385" s="2">
        <v>35353</v>
      </c>
      <c r="E10385" s="1" t="s">
        <v>20661</v>
      </c>
      <c r="F10385" s="1" t="s">
        <v>13</v>
      </c>
    </row>
    <row r="10386" spans="1:6" ht="30" customHeight="1" x14ac:dyDescent="0.25">
      <c r="A10386" s="1" t="s">
        <v>20662</v>
      </c>
      <c r="B10386" s="1" t="str">
        <f>"9780773573161"</f>
        <v>9780773573161</v>
      </c>
      <c r="C10386" s="1" t="s">
        <v>20595</v>
      </c>
      <c r="D10386" s="2">
        <v>34187</v>
      </c>
      <c r="E10386" s="1" t="s">
        <v>20663</v>
      </c>
      <c r="F10386" s="1" t="s">
        <v>13</v>
      </c>
    </row>
    <row r="10387" spans="1:6" ht="30" customHeight="1" x14ac:dyDescent="0.25">
      <c r="A10387" s="1" t="s">
        <v>20664</v>
      </c>
      <c r="B10387" s="1" t="str">
        <f>"9780773576704"</f>
        <v>9780773576704</v>
      </c>
      <c r="C10387" s="1" t="s">
        <v>20580</v>
      </c>
      <c r="D10387" s="2">
        <v>38807</v>
      </c>
      <c r="E10387" s="1" t="s">
        <v>20665</v>
      </c>
      <c r="F10387" s="1" t="s">
        <v>13</v>
      </c>
    </row>
    <row r="10388" spans="1:6" ht="30" customHeight="1" x14ac:dyDescent="0.25">
      <c r="A10388" s="1" t="s">
        <v>20666</v>
      </c>
      <c r="B10388" s="1" t="str">
        <f>"9780773576544"</f>
        <v>9780773576544</v>
      </c>
      <c r="C10388" s="1" t="s">
        <v>20580</v>
      </c>
      <c r="D10388" s="2">
        <v>38943</v>
      </c>
      <c r="E10388" s="1" t="s">
        <v>20619</v>
      </c>
      <c r="F10388" s="1" t="s">
        <v>95</v>
      </c>
    </row>
    <row r="10389" spans="1:6" ht="30" customHeight="1" x14ac:dyDescent="0.25">
      <c r="A10389" s="1" t="s">
        <v>20667</v>
      </c>
      <c r="B10389" s="1" t="str">
        <f>"9780773576841"</f>
        <v>9780773576841</v>
      </c>
      <c r="C10389" s="1" t="s">
        <v>20580</v>
      </c>
      <c r="D10389" s="2">
        <v>39002</v>
      </c>
      <c r="E10389" s="1" t="s">
        <v>20668</v>
      </c>
      <c r="F10389" s="1" t="s">
        <v>148</v>
      </c>
    </row>
    <row r="10390" spans="1:6" ht="30" customHeight="1" x14ac:dyDescent="0.25">
      <c r="A10390" s="1" t="s">
        <v>20669</v>
      </c>
      <c r="B10390" s="1" t="str">
        <f>"9780773575738"</f>
        <v>9780773575738</v>
      </c>
      <c r="C10390" s="1" t="s">
        <v>20580</v>
      </c>
      <c r="D10390" s="2">
        <v>39904</v>
      </c>
      <c r="E10390" s="1" t="s">
        <v>20670</v>
      </c>
      <c r="F10390" s="1" t="s">
        <v>33</v>
      </c>
    </row>
    <row r="10391" spans="1:6" ht="30" customHeight="1" x14ac:dyDescent="0.25">
      <c r="A10391" s="1" t="s">
        <v>20671</v>
      </c>
      <c r="B10391" s="1" t="str">
        <f>"9780773577152"</f>
        <v>9780773577152</v>
      </c>
      <c r="C10391" s="1" t="s">
        <v>20580</v>
      </c>
      <c r="D10391" s="2">
        <v>40167</v>
      </c>
      <c r="E10391" s="1" t="s">
        <v>20672</v>
      </c>
      <c r="F10391" s="1" t="s">
        <v>13</v>
      </c>
    </row>
    <row r="10392" spans="1:6" ht="30" customHeight="1" x14ac:dyDescent="0.25">
      <c r="A10392" s="1" t="s">
        <v>20673</v>
      </c>
      <c r="B10392" s="1" t="str">
        <f>"9780773577046"</f>
        <v>9780773577046</v>
      </c>
      <c r="C10392" s="1" t="s">
        <v>20580</v>
      </c>
      <c r="D10392" s="2">
        <v>40179</v>
      </c>
      <c r="E10392" s="1" t="s">
        <v>20674</v>
      </c>
      <c r="F10392" s="1" t="s">
        <v>13</v>
      </c>
    </row>
    <row r="10393" spans="1:6" ht="30" customHeight="1" x14ac:dyDescent="0.25">
      <c r="A10393" s="1" t="s">
        <v>20675</v>
      </c>
      <c r="B10393" s="1" t="str">
        <f>"9780773576858"</f>
        <v>9780773576858</v>
      </c>
      <c r="C10393" s="1" t="s">
        <v>20580</v>
      </c>
      <c r="D10393" s="2">
        <v>40256</v>
      </c>
      <c r="E10393" s="1" t="s">
        <v>20676</v>
      </c>
      <c r="F10393" s="1" t="s">
        <v>176</v>
      </c>
    </row>
    <row r="10394" spans="1:6" ht="30" customHeight="1" x14ac:dyDescent="0.25">
      <c r="A10394" s="1" t="s">
        <v>20677</v>
      </c>
      <c r="B10394" s="1" t="str">
        <f>"9780773575455"</f>
        <v>9780773575455</v>
      </c>
      <c r="C10394" s="1" t="s">
        <v>20580</v>
      </c>
      <c r="D10394" s="2">
        <v>38938</v>
      </c>
      <c r="E10394" s="1" t="s">
        <v>20678</v>
      </c>
      <c r="F10394" s="1" t="s">
        <v>13</v>
      </c>
    </row>
    <row r="10395" spans="1:6" ht="30" customHeight="1" x14ac:dyDescent="0.25">
      <c r="A10395" s="1" t="s">
        <v>20679</v>
      </c>
      <c r="B10395" s="1" t="str">
        <f>"9780773576476"</f>
        <v>9780773576476</v>
      </c>
      <c r="C10395" s="1" t="s">
        <v>20580</v>
      </c>
      <c r="D10395" s="2">
        <v>39188</v>
      </c>
      <c r="E10395" s="1" t="s">
        <v>20680</v>
      </c>
      <c r="F10395" s="1" t="s">
        <v>95</v>
      </c>
    </row>
    <row r="10396" spans="1:6" ht="30" customHeight="1" x14ac:dyDescent="0.25">
      <c r="A10396" s="1" t="s">
        <v>20681</v>
      </c>
      <c r="B10396" s="1" t="str">
        <f>"9780773580916"</f>
        <v>9780773580916</v>
      </c>
      <c r="C10396" s="1" t="s">
        <v>20580</v>
      </c>
      <c r="D10396" s="2">
        <v>40430</v>
      </c>
      <c r="E10396" s="1" t="s">
        <v>20682</v>
      </c>
      <c r="F10396" s="1" t="s">
        <v>114</v>
      </c>
    </row>
    <row r="10397" spans="1:6" ht="30" customHeight="1" x14ac:dyDescent="0.25">
      <c r="A10397" s="1" t="s">
        <v>20683</v>
      </c>
      <c r="B10397" s="1" t="str">
        <f>"9780773586567"</f>
        <v>9780773586567</v>
      </c>
      <c r="C10397" s="1" t="s">
        <v>20580</v>
      </c>
      <c r="D10397" s="2">
        <v>40584</v>
      </c>
      <c r="E10397" s="1" t="s">
        <v>20684</v>
      </c>
      <c r="F10397" s="1" t="s">
        <v>30</v>
      </c>
    </row>
    <row r="10398" spans="1:6" ht="30" customHeight="1" x14ac:dyDescent="0.25">
      <c r="A10398" s="1" t="s">
        <v>20685</v>
      </c>
      <c r="B10398" s="1" t="str">
        <f>"9780773588219"</f>
        <v>9780773588219</v>
      </c>
      <c r="C10398" s="1" t="s">
        <v>20580</v>
      </c>
      <c r="D10398" s="2">
        <v>41365</v>
      </c>
      <c r="E10398" s="1" t="s">
        <v>20686</v>
      </c>
      <c r="F10398" s="1" t="s">
        <v>95</v>
      </c>
    </row>
    <row r="10399" spans="1:6" ht="30" customHeight="1" x14ac:dyDescent="0.25">
      <c r="A10399" s="1" t="s">
        <v>20687</v>
      </c>
      <c r="B10399" s="1" t="str">
        <f>"9780773588547"</f>
        <v>9780773588547</v>
      </c>
      <c r="C10399" s="1" t="s">
        <v>20580</v>
      </c>
      <c r="D10399" s="2">
        <v>41426</v>
      </c>
      <c r="E10399" s="1" t="s">
        <v>20688</v>
      </c>
      <c r="F10399" s="1" t="s">
        <v>356</v>
      </c>
    </row>
    <row r="10400" spans="1:6" ht="30" customHeight="1" x14ac:dyDescent="0.25">
      <c r="A10400" s="1" t="s">
        <v>20689</v>
      </c>
      <c r="B10400" s="1" t="str">
        <f>"9780773589575"</f>
        <v>9780773589575</v>
      </c>
      <c r="C10400" s="1" t="s">
        <v>20580</v>
      </c>
      <c r="D10400" s="2">
        <v>41548</v>
      </c>
      <c r="E10400" s="1" t="s">
        <v>20690</v>
      </c>
      <c r="F10400" s="1" t="s">
        <v>30</v>
      </c>
    </row>
    <row r="10401" spans="1:6" ht="30" customHeight="1" x14ac:dyDescent="0.25">
      <c r="A10401" s="1" t="s">
        <v>20691</v>
      </c>
      <c r="B10401" s="1" t="str">
        <f>"9780773589414"</f>
        <v>9780773589414</v>
      </c>
      <c r="C10401" s="1" t="s">
        <v>20580</v>
      </c>
      <c r="D10401" s="2">
        <v>41609</v>
      </c>
      <c r="E10401" s="1" t="s">
        <v>20692</v>
      </c>
      <c r="F10401" s="1" t="s">
        <v>14204</v>
      </c>
    </row>
    <row r="10402" spans="1:6" ht="30" customHeight="1" x14ac:dyDescent="0.25">
      <c r="A10402" s="1" t="s">
        <v>20693</v>
      </c>
      <c r="B10402" s="1" t="str">
        <f>"9780773589155"</f>
        <v>9780773589155</v>
      </c>
      <c r="C10402" s="1" t="s">
        <v>20580</v>
      </c>
      <c r="D10402" s="2">
        <v>41730</v>
      </c>
      <c r="E10402" s="1" t="s">
        <v>20694</v>
      </c>
      <c r="F10402" s="1" t="s">
        <v>205</v>
      </c>
    </row>
    <row r="10403" spans="1:6" ht="30" customHeight="1" x14ac:dyDescent="0.25">
      <c r="A10403" s="1" t="s">
        <v>20695</v>
      </c>
      <c r="B10403" s="1" t="str">
        <f>"9780773592261"</f>
        <v>9780773592261</v>
      </c>
      <c r="C10403" s="1" t="s">
        <v>20595</v>
      </c>
      <c r="D10403" s="2">
        <v>41730</v>
      </c>
      <c r="E10403" s="1" t="s">
        <v>20696</v>
      </c>
      <c r="F10403" s="1" t="s">
        <v>13</v>
      </c>
    </row>
    <row r="10404" spans="1:6" ht="30" customHeight="1" x14ac:dyDescent="0.25">
      <c r="A10404" s="1" t="s">
        <v>20697</v>
      </c>
      <c r="B10404" s="1" t="str">
        <f>"9780773591813"</f>
        <v>9780773591813</v>
      </c>
      <c r="C10404" s="1" t="s">
        <v>20580</v>
      </c>
      <c r="D10404" s="2">
        <v>41773</v>
      </c>
      <c r="E10404" s="1" t="s">
        <v>20698</v>
      </c>
      <c r="F10404" s="1" t="s">
        <v>8581</v>
      </c>
    </row>
    <row r="10405" spans="1:6" ht="30" customHeight="1" x14ac:dyDescent="0.25">
      <c r="A10405" s="1" t="s">
        <v>20699</v>
      </c>
      <c r="B10405" s="1" t="str">
        <f>"9780773590304"</f>
        <v>9780773590304</v>
      </c>
      <c r="C10405" s="1" t="s">
        <v>20580</v>
      </c>
      <c r="D10405" s="2">
        <v>41866</v>
      </c>
      <c r="E10405" s="1" t="s">
        <v>20700</v>
      </c>
      <c r="F10405" s="1" t="s">
        <v>13</v>
      </c>
    </row>
    <row r="10406" spans="1:6" ht="30" customHeight="1" x14ac:dyDescent="0.25">
      <c r="A10406" s="1" t="s">
        <v>20701</v>
      </c>
      <c r="B10406" s="1" t="str">
        <f>"9780773596412"</f>
        <v>9780773596412</v>
      </c>
      <c r="C10406" s="1" t="s">
        <v>20580</v>
      </c>
      <c r="D10406" s="2">
        <v>41974</v>
      </c>
      <c r="E10406" s="1" t="s">
        <v>20702</v>
      </c>
      <c r="F10406" s="1" t="s">
        <v>30</v>
      </c>
    </row>
    <row r="10407" spans="1:6" ht="30" customHeight="1" x14ac:dyDescent="0.25">
      <c r="A10407" s="1" t="s">
        <v>20703</v>
      </c>
      <c r="B10407" s="1" t="str">
        <f>"9780773597112"</f>
        <v>9780773597112</v>
      </c>
      <c r="C10407" s="1" t="s">
        <v>20580</v>
      </c>
      <c r="D10407" s="2">
        <v>42111</v>
      </c>
      <c r="E10407" s="1" t="s">
        <v>20704</v>
      </c>
      <c r="F10407" s="1" t="s">
        <v>214</v>
      </c>
    </row>
    <row r="10408" spans="1:6" ht="30" customHeight="1" x14ac:dyDescent="0.25">
      <c r="A10408" s="1" t="s">
        <v>20705</v>
      </c>
      <c r="B10408" s="1" t="str">
        <f>"9780870139109"</f>
        <v>9780870139109</v>
      </c>
      <c r="C10408" s="1" t="s">
        <v>20706</v>
      </c>
      <c r="D10408" s="2">
        <v>34242</v>
      </c>
      <c r="E10408" s="1" t="s">
        <v>20707</v>
      </c>
      <c r="F10408" s="1" t="s">
        <v>13</v>
      </c>
    </row>
    <row r="10409" spans="1:6" ht="30" customHeight="1" x14ac:dyDescent="0.25">
      <c r="A10409" s="1" t="s">
        <v>20708</v>
      </c>
      <c r="B10409" s="1" t="str">
        <f>"9781609173265"</f>
        <v>9781609173265</v>
      </c>
      <c r="C10409" s="1" t="s">
        <v>20706</v>
      </c>
      <c r="D10409" s="2">
        <v>40909</v>
      </c>
      <c r="E10409" s="1" t="s">
        <v>20709</v>
      </c>
      <c r="F10409" s="1" t="s">
        <v>268</v>
      </c>
    </row>
    <row r="10410" spans="1:6" ht="30" customHeight="1" x14ac:dyDescent="0.25">
      <c r="A10410" s="1" t="s">
        <v>20710</v>
      </c>
      <c r="B10410" s="1" t="str">
        <f>"9781609173555"</f>
        <v>9781609173555</v>
      </c>
      <c r="C10410" s="1" t="s">
        <v>20706</v>
      </c>
      <c r="D10410" s="2">
        <v>41306</v>
      </c>
      <c r="E10410" s="1" t="s">
        <v>20711</v>
      </c>
      <c r="F10410" s="1" t="s">
        <v>13</v>
      </c>
    </row>
    <row r="10411" spans="1:6" ht="30" customHeight="1" x14ac:dyDescent="0.25">
      <c r="A10411" s="1" t="s">
        <v>20712</v>
      </c>
      <c r="B10411" s="1" t="str">
        <f>"9781609173760"</f>
        <v>9781609173760</v>
      </c>
      <c r="C10411" s="1" t="s">
        <v>20706</v>
      </c>
      <c r="D10411" s="2">
        <v>41487</v>
      </c>
      <c r="E10411" s="1" t="s">
        <v>20713</v>
      </c>
      <c r="F10411" s="1" t="s">
        <v>13</v>
      </c>
    </row>
    <row r="10412" spans="1:6" ht="30" customHeight="1" x14ac:dyDescent="0.25">
      <c r="A10412" s="1" t="s">
        <v>20714</v>
      </c>
      <c r="B10412" s="1" t="str">
        <f>"9781609174125"</f>
        <v>9781609174125</v>
      </c>
      <c r="C10412" s="1" t="s">
        <v>20706</v>
      </c>
      <c r="D10412" s="2">
        <v>41760</v>
      </c>
      <c r="E10412" s="1" t="s">
        <v>20715</v>
      </c>
      <c r="F10412" s="1" t="s">
        <v>541</v>
      </c>
    </row>
    <row r="10413" spans="1:6" ht="30" customHeight="1" x14ac:dyDescent="0.25">
      <c r="A10413" s="1" t="s">
        <v>20716</v>
      </c>
      <c r="B10413" s="1" t="str">
        <f>"9781609174170"</f>
        <v>9781609174170</v>
      </c>
      <c r="C10413" s="1" t="s">
        <v>20706</v>
      </c>
      <c r="D10413" s="2">
        <v>41913</v>
      </c>
      <c r="E10413" s="1" t="s">
        <v>20717</v>
      </c>
      <c r="F10413" s="1" t="s">
        <v>13</v>
      </c>
    </row>
    <row r="10414" spans="1:6" ht="30" customHeight="1" x14ac:dyDescent="0.25">
      <c r="A10414" s="1" t="s">
        <v>20718</v>
      </c>
      <c r="B10414" s="1" t="str">
        <f>"9780262274326"</f>
        <v>9780262274326</v>
      </c>
      <c r="C10414" s="1" t="s">
        <v>20719</v>
      </c>
      <c r="D10414" s="2">
        <v>41773</v>
      </c>
      <c r="E10414" s="1" t="s">
        <v>20720</v>
      </c>
      <c r="F10414" s="1" t="s">
        <v>480</v>
      </c>
    </row>
    <row r="10415" spans="1:6" ht="30" customHeight="1" x14ac:dyDescent="0.25">
      <c r="A10415" s="1" t="s">
        <v>20721</v>
      </c>
      <c r="B10415" s="1" t="str">
        <f>"9780262281287"</f>
        <v>9780262281287</v>
      </c>
      <c r="C10415" s="1" t="s">
        <v>20719</v>
      </c>
      <c r="D10415" s="2">
        <v>41773</v>
      </c>
      <c r="E10415" s="1" t="s">
        <v>20722</v>
      </c>
      <c r="F10415" s="1" t="s">
        <v>148</v>
      </c>
    </row>
    <row r="10416" spans="1:6" ht="30" customHeight="1" x14ac:dyDescent="0.25">
      <c r="A10416" s="1" t="s">
        <v>20723</v>
      </c>
      <c r="B10416" s="1" t="str">
        <f>"9780262270922"</f>
        <v>9780262270922</v>
      </c>
      <c r="C10416" s="1" t="s">
        <v>20719</v>
      </c>
      <c r="D10416" s="2">
        <v>41773</v>
      </c>
      <c r="E10416" s="1" t="s">
        <v>20724</v>
      </c>
      <c r="F10416" s="1" t="s">
        <v>127</v>
      </c>
    </row>
    <row r="10417" spans="1:6" ht="30" customHeight="1" x14ac:dyDescent="0.25">
      <c r="A10417" s="1" t="s">
        <v>20725</v>
      </c>
      <c r="B10417" s="1" t="str">
        <f>"9780262269247"</f>
        <v>9780262269247</v>
      </c>
      <c r="C10417" s="1" t="s">
        <v>20719</v>
      </c>
      <c r="D10417" s="2">
        <v>41773</v>
      </c>
      <c r="E10417" s="1" t="s">
        <v>20726</v>
      </c>
      <c r="F10417" s="1" t="s">
        <v>205</v>
      </c>
    </row>
    <row r="10418" spans="1:6" ht="30" customHeight="1" x14ac:dyDescent="0.25">
      <c r="A10418" s="1" t="s">
        <v>20727</v>
      </c>
      <c r="B10418" s="1" t="str">
        <f>"9780262274234"</f>
        <v>9780262274234</v>
      </c>
      <c r="C10418" s="1" t="s">
        <v>20719</v>
      </c>
      <c r="D10418" s="2">
        <v>41773</v>
      </c>
      <c r="E10418" s="1" t="s">
        <v>20728</v>
      </c>
      <c r="F10418" s="1" t="s">
        <v>13</v>
      </c>
    </row>
    <row r="10419" spans="1:6" ht="30" customHeight="1" x14ac:dyDescent="0.25">
      <c r="A10419" s="1" t="s">
        <v>20729</v>
      </c>
      <c r="B10419" s="1" t="str">
        <f>"9780262270809"</f>
        <v>9780262270809</v>
      </c>
      <c r="C10419" s="1" t="s">
        <v>20719</v>
      </c>
      <c r="D10419" s="2">
        <v>41773</v>
      </c>
      <c r="E10419" s="1" t="s">
        <v>20730</v>
      </c>
      <c r="F10419" s="1" t="s">
        <v>95</v>
      </c>
    </row>
    <row r="10420" spans="1:6" ht="30" customHeight="1" x14ac:dyDescent="0.25">
      <c r="A10420" s="1" t="s">
        <v>20731</v>
      </c>
      <c r="B10420" s="1" t="str">
        <f>"9780262274371"</f>
        <v>9780262274371</v>
      </c>
      <c r="C10420" s="1" t="s">
        <v>20719</v>
      </c>
      <c r="D10420" s="2">
        <v>41773</v>
      </c>
      <c r="E10420" s="1" t="s">
        <v>20732</v>
      </c>
      <c r="F10420" s="1" t="s">
        <v>205</v>
      </c>
    </row>
    <row r="10421" spans="1:6" ht="30" customHeight="1" x14ac:dyDescent="0.25">
      <c r="A10421" s="1" t="s">
        <v>20733</v>
      </c>
      <c r="B10421" s="1" t="str">
        <f>"9780262267724"</f>
        <v>9780262267724</v>
      </c>
      <c r="C10421" s="1" t="s">
        <v>20719</v>
      </c>
      <c r="D10421" s="2">
        <v>41773</v>
      </c>
      <c r="E10421" s="1" t="s">
        <v>20734</v>
      </c>
      <c r="F10421" s="1" t="s">
        <v>21</v>
      </c>
    </row>
    <row r="10422" spans="1:6" ht="30" customHeight="1" x14ac:dyDescent="0.25">
      <c r="A10422" s="1" t="s">
        <v>20735</v>
      </c>
      <c r="B10422" s="1" t="str">
        <f>"9780262275941"</f>
        <v>9780262275941</v>
      </c>
      <c r="C10422" s="1" t="s">
        <v>20719</v>
      </c>
      <c r="D10422" s="2">
        <v>41773</v>
      </c>
      <c r="E10422" s="1" t="s">
        <v>20736</v>
      </c>
      <c r="F10422" s="1" t="s">
        <v>2877</v>
      </c>
    </row>
    <row r="10423" spans="1:6" ht="30" customHeight="1" x14ac:dyDescent="0.25">
      <c r="A10423" s="1" t="s">
        <v>20735</v>
      </c>
      <c r="B10423" s="1" t="str">
        <f>"9780262275958"</f>
        <v>9780262275958</v>
      </c>
      <c r="C10423" s="1" t="s">
        <v>20719</v>
      </c>
      <c r="D10423" s="2">
        <v>41773</v>
      </c>
      <c r="E10423" s="1" t="s">
        <v>20737</v>
      </c>
      <c r="F10423" s="1" t="s">
        <v>2877</v>
      </c>
    </row>
    <row r="10424" spans="1:6" ht="30" customHeight="1" x14ac:dyDescent="0.25">
      <c r="A10424" s="1" t="s">
        <v>20738</v>
      </c>
      <c r="B10424" s="1" t="str">
        <f>"9780262283359"</f>
        <v>9780262283359</v>
      </c>
      <c r="C10424" s="1" t="s">
        <v>20719</v>
      </c>
      <c r="D10424" s="2">
        <v>41773</v>
      </c>
      <c r="E10424" s="1" t="s">
        <v>20739</v>
      </c>
      <c r="F10424" s="1" t="s">
        <v>13</v>
      </c>
    </row>
    <row r="10425" spans="1:6" ht="30" customHeight="1" x14ac:dyDescent="0.25">
      <c r="A10425" s="1" t="s">
        <v>20740</v>
      </c>
      <c r="B10425" s="1" t="str">
        <f>"9780262269964"</f>
        <v>9780262269964</v>
      </c>
      <c r="C10425" s="1" t="s">
        <v>20719</v>
      </c>
      <c r="D10425" s="2">
        <v>41773</v>
      </c>
      <c r="E10425" s="1" t="s">
        <v>20741</v>
      </c>
      <c r="F10425" s="1" t="s">
        <v>3084</v>
      </c>
    </row>
    <row r="10426" spans="1:6" ht="30" customHeight="1" x14ac:dyDescent="0.25">
      <c r="A10426" s="1" t="s">
        <v>20742</v>
      </c>
      <c r="B10426" s="1" t="str">
        <f>"9780262283793"</f>
        <v>9780262283793</v>
      </c>
      <c r="C10426" s="1" t="s">
        <v>20719</v>
      </c>
      <c r="D10426" s="2">
        <v>41773</v>
      </c>
      <c r="E10426" s="1" t="s">
        <v>20743</v>
      </c>
      <c r="F10426" s="1" t="s">
        <v>30</v>
      </c>
    </row>
    <row r="10427" spans="1:6" ht="30" customHeight="1" x14ac:dyDescent="0.25">
      <c r="A10427" s="1" t="s">
        <v>20744</v>
      </c>
      <c r="B10427" s="1" t="str">
        <f>"9780262275477"</f>
        <v>9780262275477</v>
      </c>
      <c r="C10427" s="1" t="s">
        <v>20719</v>
      </c>
      <c r="D10427" s="2">
        <v>41773</v>
      </c>
      <c r="E10427" s="1" t="s">
        <v>20745</v>
      </c>
      <c r="F10427" s="1" t="s">
        <v>13</v>
      </c>
    </row>
    <row r="10428" spans="1:6" ht="30" customHeight="1" x14ac:dyDescent="0.25">
      <c r="A10428" s="1" t="s">
        <v>20746</v>
      </c>
      <c r="B10428" s="1" t="str">
        <f>"9780262275484"</f>
        <v>9780262275484</v>
      </c>
      <c r="C10428" s="1" t="s">
        <v>20719</v>
      </c>
      <c r="D10428" s="2">
        <v>39164</v>
      </c>
      <c r="E10428" s="1" t="s">
        <v>20747</v>
      </c>
      <c r="F10428" s="1" t="s">
        <v>1349</v>
      </c>
    </row>
    <row r="10429" spans="1:6" ht="30" customHeight="1" x14ac:dyDescent="0.25">
      <c r="A10429" s="1" t="s">
        <v>20748</v>
      </c>
      <c r="B10429" s="1" t="str">
        <f>"9780262280334"</f>
        <v>9780262280334</v>
      </c>
      <c r="C10429" s="1" t="s">
        <v>20719</v>
      </c>
      <c r="D10429" s="2">
        <v>39129</v>
      </c>
      <c r="E10429" s="1" t="s">
        <v>20749</v>
      </c>
      <c r="F10429" s="1" t="s">
        <v>54</v>
      </c>
    </row>
    <row r="10430" spans="1:6" ht="30" customHeight="1" x14ac:dyDescent="0.25">
      <c r="A10430" s="1" t="s">
        <v>20750</v>
      </c>
      <c r="B10430" s="1" t="str">
        <f>"9780262256919"</f>
        <v>9780262256919</v>
      </c>
      <c r="C10430" s="1" t="s">
        <v>20719</v>
      </c>
      <c r="D10430" s="2">
        <v>39332</v>
      </c>
      <c r="E10430" s="1" t="s">
        <v>20751</v>
      </c>
      <c r="F10430" s="1" t="s">
        <v>7350</v>
      </c>
    </row>
    <row r="10431" spans="1:6" ht="30" customHeight="1" x14ac:dyDescent="0.25">
      <c r="A10431" s="1" t="s">
        <v>20752</v>
      </c>
      <c r="B10431" s="1" t="str">
        <f>"9780262279321"</f>
        <v>9780262279321</v>
      </c>
      <c r="C10431" s="1" t="s">
        <v>20719</v>
      </c>
      <c r="D10431" s="2">
        <v>41773</v>
      </c>
      <c r="E10431" s="1" t="s">
        <v>20753</v>
      </c>
      <c r="F10431" s="1" t="s">
        <v>13</v>
      </c>
    </row>
    <row r="10432" spans="1:6" ht="30" customHeight="1" x14ac:dyDescent="0.25">
      <c r="A10432" s="1" t="s">
        <v>20754</v>
      </c>
      <c r="B10432" s="1" t="str">
        <f>"9780262268745"</f>
        <v>9780262268745</v>
      </c>
      <c r="C10432" s="1" t="s">
        <v>20719</v>
      </c>
      <c r="D10432" s="2">
        <v>41773</v>
      </c>
      <c r="E10432" s="1" t="s">
        <v>20755</v>
      </c>
      <c r="F10432" s="1" t="s">
        <v>13</v>
      </c>
    </row>
    <row r="10433" spans="1:6" ht="30" customHeight="1" x14ac:dyDescent="0.25">
      <c r="A10433" s="1" t="s">
        <v>20756</v>
      </c>
      <c r="B10433" s="1" t="str">
        <f>"9780262272247"</f>
        <v>9780262272247</v>
      </c>
      <c r="C10433" s="1" t="s">
        <v>20719</v>
      </c>
      <c r="D10433" s="2">
        <v>41773</v>
      </c>
      <c r="E10433" s="1" t="s">
        <v>20757</v>
      </c>
      <c r="F10433" s="1" t="s">
        <v>480</v>
      </c>
    </row>
    <row r="10434" spans="1:6" ht="30" customHeight="1" x14ac:dyDescent="0.25">
      <c r="A10434" s="1" t="s">
        <v>20758</v>
      </c>
      <c r="B10434" s="1" t="str">
        <f>"9780262277549"</f>
        <v>9780262277549</v>
      </c>
      <c r="C10434" s="1" t="s">
        <v>20719</v>
      </c>
      <c r="D10434" s="2">
        <v>41773</v>
      </c>
      <c r="E10434" s="1" t="s">
        <v>20759</v>
      </c>
      <c r="F10434" s="1" t="s">
        <v>14235</v>
      </c>
    </row>
    <row r="10435" spans="1:6" ht="30" customHeight="1" x14ac:dyDescent="0.25">
      <c r="A10435" s="1" t="s">
        <v>20760</v>
      </c>
      <c r="B10435" s="1" t="str">
        <f>"9780262270632"</f>
        <v>9780262270632</v>
      </c>
      <c r="C10435" s="1" t="s">
        <v>20719</v>
      </c>
      <c r="D10435" s="2">
        <v>41773</v>
      </c>
      <c r="E10435" s="1" t="s">
        <v>20761</v>
      </c>
      <c r="F10435" s="1" t="s">
        <v>7940</v>
      </c>
    </row>
    <row r="10436" spans="1:6" ht="30" customHeight="1" x14ac:dyDescent="0.25">
      <c r="A10436" s="1" t="s">
        <v>20762</v>
      </c>
      <c r="B10436" s="1" t="str">
        <f>"9780262283809"</f>
        <v>9780262283809</v>
      </c>
      <c r="C10436" s="1" t="s">
        <v>20719</v>
      </c>
      <c r="D10436" s="2">
        <v>39458</v>
      </c>
      <c r="E10436" s="1" t="s">
        <v>20763</v>
      </c>
      <c r="F10436" s="1" t="s">
        <v>20764</v>
      </c>
    </row>
    <row r="10437" spans="1:6" ht="30" customHeight="1" x14ac:dyDescent="0.25">
      <c r="A10437" s="1" t="s">
        <v>20765</v>
      </c>
      <c r="B10437" s="1" t="str">
        <f>"9780262282642"</f>
        <v>9780262282642</v>
      </c>
      <c r="C10437" s="1" t="s">
        <v>20719</v>
      </c>
      <c r="D10437" s="2">
        <v>41773</v>
      </c>
      <c r="E10437" s="1" t="s">
        <v>20766</v>
      </c>
      <c r="F10437" s="1" t="s">
        <v>13</v>
      </c>
    </row>
    <row r="10438" spans="1:6" ht="30" customHeight="1" x14ac:dyDescent="0.25">
      <c r="A10438" s="1" t="s">
        <v>20767</v>
      </c>
      <c r="B10438" s="1" t="str">
        <f>"9780262275842"</f>
        <v>9780262275842</v>
      </c>
      <c r="C10438" s="1" t="s">
        <v>20719</v>
      </c>
      <c r="D10438" s="2">
        <v>41773</v>
      </c>
      <c r="E10438" s="1" t="s">
        <v>20768</v>
      </c>
      <c r="F10438" s="1" t="s">
        <v>751</v>
      </c>
    </row>
    <row r="10439" spans="1:6" ht="30" customHeight="1" x14ac:dyDescent="0.25">
      <c r="A10439" s="1" t="s">
        <v>20769</v>
      </c>
      <c r="B10439" s="1" t="str">
        <f>"9780262279338"</f>
        <v>9780262279338</v>
      </c>
      <c r="C10439" s="1" t="s">
        <v>20719</v>
      </c>
      <c r="D10439" s="2">
        <v>41773</v>
      </c>
      <c r="E10439" s="1" t="s">
        <v>20770</v>
      </c>
      <c r="F10439" s="1" t="s">
        <v>158</v>
      </c>
    </row>
    <row r="10440" spans="1:6" ht="30" customHeight="1" x14ac:dyDescent="0.25">
      <c r="A10440" s="1" t="s">
        <v>20771</v>
      </c>
      <c r="B10440" s="1" t="str">
        <f>"9780262267571"</f>
        <v>9780262267571</v>
      </c>
      <c r="C10440" s="1" t="s">
        <v>20719</v>
      </c>
      <c r="D10440" s="2">
        <v>41773</v>
      </c>
      <c r="E10440" s="1" t="s">
        <v>20772</v>
      </c>
      <c r="F10440" s="1" t="s">
        <v>10361</v>
      </c>
    </row>
    <row r="10441" spans="1:6" ht="30" customHeight="1" x14ac:dyDescent="0.25">
      <c r="A10441" s="1" t="s">
        <v>20773</v>
      </c>
      <c r="B10441" s="1" t="str">
        <f>"9780262275569"</f>
        <v>9780262275569</v>
      </c>
      <c r="C10441" s="1" t="s">
        <v>20719</v>
      </c>
      <c r="D10441" s="2">
        <v>42073</v>
      </c>
      <c r="E10441" s="1" t="s">
        <v>20774</v>
      </c>
      <c r="F10441" s="1" t="s">
        <v>20775</v>
      </c>
    </row>
    <row r="10442" spans="1:6" ht="30" customHeight="1" x14ac:dyDescent="0.25">
      <c r="A10442" s="1" t="s">
        <v>20776</v>
      </c>
      <c r="B10442" s="1" t="str">
        <f>"9780262273602"</f>
        <v>9780262273602</v>
      </c>
      <c r="C10442" s="1" t="s">
        <v>20719</v>
      </c>
      <c r="D10442" s="2">
        <v>38268</v>
      </c>
      <c r="E10442" s="1" t="s">
        <v>20777</v>
      </c>
      <c r="F10442" s="1" t="s">
        <v>963</v>
      </c>
    </row>
    <row r="10443" spans="1:6" ht="30" customHeight="1" x14ac:dyDescent="0.25">
      <c r="A10443" s="1" t="s">
        <v>20778</v>
      </c>
      <c r="B10443" s="1" t="str">
        <f>"9780262287746"</f>
        <v>9780262287746</v>
      </c>
      <c r="C10443" s="1" t="s">
        <v>20719</v>
      </c>
      <c r="D10443" s="2">
        <v>41773</v>
      </c>
      <c r="E10443" s="1" t="s">
        <v>20779</v>
      </c>
      <c r="F10443" s="1" t="s">
        <v>137</v>
      </c>
    </row>
    <row r="10444" spans="1:6" ht="30" customHeight="1" x14ac:dyDescent="0.25">
      <c r="A10444" s="1" t="s">
        <v>20780</v>
      </c>
      <c r="B10444" s="1" t="str">
        <f>"9780262277020"</f>
        <v>9780262277020</v>
      </c>
      <c r="C10444" s="1" t="s">
        <v>20719</v>
      </c>
      <c r="D10444" s="2">
        <v>41773</v>
      </c>
      <c r="E10444" s="1" t="s">
        <v>10877</v>
      </c>
      <c r="F10444" s="1" t="s">
        <v>13</v>
      </c>
    </row>
    <row r="10445" spans="1:6" ht="30" customHeight="1" x14ac:dyDescent="0.25">
      <c r="A10445" s="1" t="s">
        <v>20781</v>
      </c>
      <c r="B10445" s="1" t="str">
        <f>"9780262283816"</f>
        <v>9780262283816</v>
      </c>
      <c r="C10445" s="1" t="s">
        <v>20719</v>
      </c>
      <c r="D10445" s="2">
        <v>39584</v>
      </c>
      <c r="E10445" s="1" t="s">
        <v>20782</v>
      </c>
      <c r="F10445" s="1" t="s">
        <v>2383</v>
      </c>
    </row>
    <row r="10446" spans="1:6" ht="30" customHeight="1" x14ac:dyDescent="0.25">
      <c r="A10446" s="1" t="s">
        <v>20783</v>
      </c>
      <c r="B10446" s="1" t="str">
        <f>"9780262269674"</f>
        <v>9780262269674</v>
      </c>
      <c r="C10446" s="1" t="s">
        <v>20719</v>
      </c>
      <c r="D10446" s="2">
        <v>41773</v>
      </c>
      <c r="E10446" s="1" t="s">
        <v>20784</v>
      </c>
      <c r="F10446" s="1" t="s">
        <v>1568</v>
      </c>
    </row>
    <row r="10447" spans="1:6" ht="30" customHeight="1" x14ac:dyDescent="0.25">
      <c r="A10447" s="1" t="s">
        <v>20785</v>
      </c>
      <c r="B10447" s="1" t="str">
        <f>"9780262271073"</f>
        <v>9780262271073</v>
      </c>
      <c r="C10447" s="1" t="s">
        <v>20719</v>
      </c>
      <c r="D10447" s="2">
        <v>41773</v>
      </c>
      <c r="E10447" s="1" t="s">
        <v>20786</v>
      </c>
      <c r="F10447" s="1" t="s">
        <v>650</v>
      </c>
    </row>
    <row r="10448" spans="1:6" ht="30" customHeight="1" x14ac:dyDescent="0.25">
      <c r="A10448" s="1" t="s">
        <v>20787</v>
      </c>
      <c r="B10448" s="1" t="str">
        <f>"9780262271103"</f>
        <v>9780262271103</v>
      </c>
      <c r="C10448" s="1" t="s">
        <v>20719</v>
      </c>
      <c r="D10448" s="2">
        <v>41773</v>
      </c>
      <c r="E10448" s="1" t="s">
        <v>20788</v>
      </c>
      <c r="F10448" s="1" t="s">
        <v>13</v>
      </c>
    </row>
    <row r="10449" spans="1:6" ht="30" customHeight="1" x14ac:dyDescent="0.25">
      <c r="A10449" s="1" t="s">
        <v>20789</v>
      </c>
      <c r="B10449" s="1" t="str">
        <f>"9780262272353"</f>
        <v>9780262272353</v>
      </c>
      <c r="C10449" s="1" t="s">
        <v>20719</v>
      </c>
      <c r="D10449" s="2">
        <v>39569</v>
      </c>
      <c r="E10449" s="1" t="s">
        <v>20790</v>
      </c>
      <c r="F10449" s="1" t="s">
        <v>480</v>
      </c>
    </row>
    <row r="10450" spans="1:6" ht="30" customHeight="1" x14ac:dyDescent="0.25">
      <c r="A10450" s="1" t="s">
        <v>20791</v>
      </c>
      <c r="B10450" s="1" t="str">
        <f>"9780262280662"</f>
        <v>9780262280662</v>
      </c>
      <c r="C10450" s="1" t="s">
        <v>20719</v>
      </c>
      <c r="D10450" s="2">
        <v>41773</v>
      </c>
      <c r="E10450" s="1" t="s">
        <v>20792</v>
      </c>
      <c r="F10450" s="1" t="s">
        <v>13</v>
      </c>
    </row>
    <row r="10451" spans="1:6" ht="30" customHeight="1" x14ac:dyDescent="0.25">
      <c r="A10451" s="1" t="s">
        <v>20793</v>
      </c>
      <c r="B10451" s="1" t="str">
        <f>"9780262280532"</f>
        <v>9780262280532</v>
      </c>
      <c r="C10451" s="1" t="s">
        <v>20719</v>
      </c>
      <c r="D10451" s="2">
        <v>41773</v>
      </c>
      <c r="E10451" s="1" t="s">
        <v>20794</v>
      </c>
      <c r="F10451" s="1" t="s">
        <v>650</v>
      </c>
    </row>
    <row r="10452" spans="1:6" ht="30" customHeight="1" x14ac:dyDescent="0.25">
      <c r="A10452" s="1" t="s">
        <v>20795</v>
      </c>
      <c r="B10452" s="1" t="str">
        <f>"9780262278720"</f>
        <v>9780262278720</v>
      </c>
      <c r="C10452" s="1" t="s">
        <v>20719</v>
      </c>
      <c r="D10452" s="2">
        <v>41773</v>
      </c>
      <c r="E10452" s="1" t="s">
        <v>20796</v>
      </c>
      <c r="F10452" s="1" t="s">
        <v>21</v>
      </c>
    </row>
    <row r="10453" spans="1:6" ht="30" customHeight="1" x14ac:dyDescent="0.25">
      <c r="A10453" s="1" t="s">
        <v>20797</v>
      </c>
      <c r="B10453" s="1" t="str">
        <f>"9780262268653"</f>
        <v>9780262268653</v>
      </c>
      <c r="C10453" s="1" t="s">
        <v>20719</v>
      </c>
      <c r="D10453" s="2">
        <v>41773</v>
      </c>
      <c r="E10453" s="1" t="s">
        <v>20798</v>
      </c>
      <c r="F10453" s="1" t="s">
        <v>4434</v>
      </c>
    </row>
    <row r="10454" spans="1:6" ht="30" customHeight="1" x14ac:dyDescent="0.25">
      <c r="A10454" s="1" t="s">
        <v>20799</v>
      </c>
      <c r="B10454" s="1" t="str">
        <f>"9780262255530"</f>
        <v>9780262255530</v>
      </c>
      <c r="C10454" s="1" t="s">
        <v>20719</v>
      </c>
      <c r="D10454" s="2">
        <v>41773</v>
      </c>
      <c r="E10454" s="1" t="s">
        <v>20800</v>
      </c>
      <c r="F10454" s="1" t="s">
        <v>95</v>
      </c>
    </row>
    <row r="10455" spans="1:6" ht="30" customHeight="1" x14ac:dyDescent="0.25">
      <c r="A10455" s="1" t="s">
        <v>20801</v>
      </c>
      <c r="B10455" s="1" t="str">
        <f>"9780262254830"</f>
        <v>9780262254830</v>
      </c>
      <c r="C10455" s="1" t="s">
        <v>20719</v>
      </c>
      <c r="D10455" s="2">
        <v>40148</v>
      </c>
      <c r="E10455" s="1" t="s">
        <v>20802</v>
      </c>
      <c r="F10455" s="1" t="s">
        <v>3803</v>
      </c>
    </row>
    <row r="10456" spans="1:6" ht="30" customHeight="1" x14ac:dyDescent="0.25">
      <c r="A10456" s="1" t="s">
        <v>20803</v>
      </c>
      <c r="B10456" s="1" t="str">
        <f>"9780262255295"</f>
        <v>9780262255295</v>
      </c>
      <c r="C10456" s="1" t="s">
        <v>20719</v>
      </c>
      <c r="D10456" s="2">
        <v>40148</v>
      </c>
      <c r="E10456" s="1" t="s">
        <v>20804</v>
      </c>
      <c r="F10456" s="1" t="s">
        <v>20805</v>
      </c>
    </row>
    <row r="10457" spans="1:6" ht="30" customHeight="1" x14ac:dyDescent="0.25">
      <c r="A10457" s="1" t="s">
        <v>20806</v>
      </c>
      <c r="B10457" s="1" t="str">
        <f>"9780262255301"</f>
        <v>9780262255301</v>
      </c>
      <c r="C10457" s="1" t="s">
        <v>20719</v>
      </c>
      <c r="D10457" s="2">
        <v>40148</v>
      </c>
      <c r="E10457" s="1" t="s">
        <v>20807</v>
      </c>
      <c r="F10457" s="1" t="s">
        <v>20808</v>
      </c>
    </row>
    <row r="10458" spans="1:6" ht="30" customHeight="1" x14ac:dyDescent="0.25">
      <c r="A10458" s="1" t="s">
        <v>20809</v>
      </c>
      <c r="B10458" s="1" t="str">
        <f>"9780262258630"</f>
        <v>9780262258630</v>
      </c>
      <c r="C10458" s="1" t="s">
        <v>20719</v>
      </c>
      <c r="D10458" s="2">
        <v>40148</v>
      </c>
      <c r="E10458" s="1" t="s">
        <v>20810</v>
      </c>
      <c r="F10458" s="1" t="s">
        <v>95</v>
      </c>
    </row>
    <row r="10459" spans="1:6" ht="30" customHeight="1" x14ac:dyDescent="0.25">
      <c r="A10459" s="1" t="s">
        <v>20811</v>
      </c>
      <c r="B10459" s="1" t="str">
        <f>"9780262258876"</f>
        <v>9780262258876</v>
      </c>
      <c r="C10459" s="1" t="s">
        <v>20719</v>
      </c>
      <c r="D10459" s="2">
        <v>40148</v>
      </c>
      <c r="E10459" s="1" t="s">
        <v>20812</v>
      </c>
      <c r="F10459" s="1" t="s">
        <v>349</v>
      </c>
    </row>
    <row r="10460" spans="1:6" ht="30" customHeight="1" x14ac:dyDescent="0.25">
      <c r="A10460" s="1" t="s">
        <v>20813</v>
      </c>
      <c r="B10460" s="1" t="str">
        <f>"9780262258685"</f>
        <v>9780262258685</v>
      </c>
      <c r="C10460" s="1" t="s">
        <v>20719</v>
      </c>
      <c r="D10460" s="2">
        <v>41773</v>
      </c>
      <c r="E10460" s="1" t="s">
        <v>20730</v>
      </c>
      <c r="F10460" s="1" t="s">
        <v>95</v>
      </c>
    </row>
    <row r="10461" spans="1:6" ht="30" customHeight="1" x14ac:dyDescent="0.25">
      <c r="A10461" s="1" t="s">
        <v>20814</v>
      </c>
      <c r="B10461" s="1" t="str">
        <f>"9780262259637"</f>
        <v>9780262259637</v>
      </c>
      <c r="C10461" s="1" t="s">
        <v>20719</v>
      </c>
      <c r="D10461" s="2">
        <v>40032</v>
      </c>
      <c r="E10461" s="1" t="s">
        <v>20815</v>
      </c>
      <c r="F10461" s="1" t="s">
        <v>963</v>
      </c>
    </row>
    <row r="10462" spans="1:6" ht="30" customHeight="1" x14ac:dyDescent="0.25">
      <c r="A10462" s="1" t="s">
        <v>20816</v>
      </c>
      <c r="B10462" s="1" t="str">
        <f>"9780262259033"</f>
        <v>9780262259033</v>
      </c>
      <c r="C10462" s="1" t="s">
        <v>20719</v>
      </c>
      <c r="D10462" s="2">
        <v>40148</v>
      </c>
      <c r="E10462" s="1" t="s">
        <v>20817</v>
      </c>
      <c r="F10462" s="1" t="s">
        <v>30</v>
      </c>
    </row>
    <row r="10463" spans="1:6" ht="30" customHeight="1" x14ac:dyDescent="0.25">
      <c r="A10463" s="1" t="s">
        <v>20818</v>
      </c>
      <c r="B10463" s="1" t="str">
        <f>"9780262258722"</f>
        <v>9780262258722</v>
      </c>
      <c r="C10463" s="1" t="s">
        <v>20719</v>
      </c>
      <c r="D10463" s="2">
        <v>40513</v>
      </c>
      <c r="E10463" s="1" t="s">
        <v>20819</v>
      </c>
      <c r="F10463" s="1" t="s">
        <v>480</v>
      </c>
    </row>
    <row r="10464" spans="1:6" ht="30" customHeight="1" x14ac:dyDescent="0.25">
      <c r="A10464" s="1" t="s">
        <v>20820</v>
      </c>
      <c r="B10464" s="1" t="str">
        <f>"9780262258852"</f>
        <v>9780262258852</v>
      </c>
      <c r="C10464" s="1" t="s">
        <v>20719</v>
      </c>
      <c r="D10464" s="2">
        <v>40148</v>
      </c>
      <c r="E10464" s="1" t="s">
        <v>20821</v>
      </c>
      <c r="F10464" s="1" t="s">
        <v>13</v>
      </c>
    </row>
    <row r="10465" spans="1:6" ht="30" customHeight="1" x14ac:dyDescent="0.25">
      <c r="A10465" s="1" t="s">
        <v>20822</v>
      </c>
      <c r="B10465" s="1" t="str">
        <f>"9780262259118"</f>
        <v>9780262259118</v>
      </c>
      <c r="C10465" s="1" t="s">
        <v>20719</v>
      </c>
      <c r="D10465" s="2">
        <v>40060</v>
      </c>
      <c r="E10465" s="1" t="s">
        <v>20823</v>
      </c>
      <c r="F10465" s="1" t="s">
        <v>33</v>
      </c>
    </row>
    <row r="10466" spans="1:6" ht="30" customHeight="1" x14ac:dyDescent="0.25">
      <c r="A10466" s="1" t="s">
        <v>20824</v>
      </c>
      <c r="B10466" s="1" t="str">
        <f>"9780262277990"</f>
        <v>9780262277990</v>
      </c>
      <c r="C10466" s="1" t="s">
        <v>20719</v>
      </c>
      <c r="D10466" s="2">
        <v>40513</v>
      </c>
      <c r="E10466" s="1" t="s">
        <v>20825</v>
      </c>
      <c r="F10466" s="1" t="s">
        <v>20826</v>
      </c>
    </row>
    <row r="10467" spans="1:6" ht="30" customHeight="1" x14ac:dyDescent="0.25">
      <c r="A10467" s="1" t="s">
        <v>20827</v>
      </c>
      <c r="B10467" s="1" t="str">
        <f>"9780262288248"</f>
        <v>9780262288248</v>
      </c>
      <c r="C10467" s="1" t="s">
        <v>20719</v>
      </c>
      <c r="D10467" s="2">
        <v>40214</v>
      </c>
      <c r="E10467" s="1" t="s">
        <v>20828</v>
      </c>
      <c r="F10467" s="1" t="s">
        <v>13</v>
      </c>
    </row>
    <row r="10468" spans="1:6" ht="30" customHeight="1" x14ac:dyDescent="0.25">
      <c r="A10468" s="1" t="s">
        <v>20829</v>
      </c>
      <c r="B10468" s="1" t="str">
        <f>"9780262265966"</f>
        <v>9780262265966</v>
      </c>
      <c r="C10468" s="1" t="s">
        <v>20719</v>
      </c>
      <c r="D10468" s="2">
        <v>40513</v>
      </c>
      <c r="E10468" s="1" t="s">
        <v>20830</v>
      </c>
      <c r="F10468" s="1" t="s">
        <v>95</v>
      </c>
    </row>
    <row r="10469" spans="1:6" ht="30" customHeight="1" x14ac:dyDescent="0.25">
      <c r="A10469" s="1" t="s">
        <v>20831</v>
      </c>
      <c r="B10469" s="1" t="str">
        <f>"9780262259248"</f>
        <v>9780262259248</v>
      </c>
      <c r="C10469" s="1" t="s">
        <v>20719</v>
      </c>
      <c r="D10469" s="2">
        <v>40513</v>
      </c>
      <c r="E10469" s="1" t="s">
        <v>20832</v>
      </c>
      <c r="F10469" s="1" t="s">
        <v>13</v>
      </c>
    </row>
    <row r="10470" spans="1:6" ht="30" customHeight="1" x14ac:dyDescent="0.25">
      <c r="A10470" s="1" t="s">
        <v>20833</v>
      </c>
      <c r="B10470" s="1" t="str">
        <f>"9780262266055"</f>
        <v>9780262266055</v>
      </c>
      <c r="C10470" s="1" t="s">
        <v>20719</v>
      </c>
      <c r="D10470" s="2">
        <v>40513</v>
      </c>
      <c r="E10470" s="1" t="s">
        <v>20834</v>
      </c>
      <c r="F10470" s="1" t="s">
        <v>480</v>
      </c>
    </row>
    <row r="10471" spans="1:6" ht="30" customHeight="1" x14ac:dyDescent="0.25">
      <c r="A10471" s="1" t="s">
        <v>20835</v>
      </c>
      <c r="B10471" s="1" t="str">
        <f>"9780262265850"</f>
        <v>9780262265850</v>
      </c>
      <c r="C10471" s="1" t="s">
        <v>20719</v>
      </c>
      <c r="D10471" s="2">
        <v>40513</v>
      </c>
      <c r="E10471" s="1" t="s">
        <v>20836</v>
      </c>
      <c r="F10471" s="1" t="s">
        <v>117</v>
      </c>
    </row>
    <row r="10472" spans="1:6" ht="30" customHeight="1" x14ac:dyDescent="0.25">
      <c r="A10472" s="1" t="s">
        <v>20837</v>
      </c>
      <c r="B10472" s="1" t="str">
        <f>"9780262265904"</f>
        <v>9780262265904</v>
      </c>
      <c r="C10472" s="1" t="s">
        <v>20719</v>
      </c>
      <c r="D10472" s="2">
        <v>40333</v>
      </c>
      <c r="E10472" s="1" t="s">
        <v>20838</v>
      </c>
      <c r="F10472" s="1" t="s">
        <v>205</v>
      </c>
    </row>
    <row r="10473" spans="1:6" ht="30" customHeight="1" x14ac:dyDescent="0.25">
      <c r="A10473" s="1" t="s">
        <v>20839</v>
      </c>
      <c r="B10473" s="1" t="str">
        <f>"9780262289498"</f>
        <v>9780262289498</v>
      </c>
      <c r="C10473" s="1" t="s">
        <v>20719</v>
      </c>
      <c r="D10473" s="2">
        <v>40417</v>
      </c>
      <c r="E10473" s="1" t="s">
        <v>20840</v>
      </c>
      <c r="F10473" s="1" t="s">
        <v>30</v>
      </c>
    </row>
    <row r="10474" spans="1:6" ht="30" customHeight="1" x14ac:dyDescent="0.25">
      <c r="A10474" s="1" t="s">
        <v>20841</v>
      </c>
      <c r="B10474" s="1" t="str">
        <f>"9780262289382"</f>
        <v>9780262289382</v>
      </c>
      <c r="C10474" s="1" t="s">
        <v>20719</v>
      </c>
      <c r="D10474" s="2">
        <v>40445</v>
      </c>
      <c r="E10474" s="1" t="s">
        <v>20842</v>
      </c>
      <c r="F10474" s="1" t="s">
        <v>13</v>
      </c>
    </row>
    <row r="10475" spans="1:6" ht="30" customHeight="1" x14ac:dyDescent="0.25">
      <c r="A10475" s="1" t="s">
        <v>20843</v>
      </c>
      <c r="B10475" s="1" t="str">
        <f>"9780262298957"</f>
        <v>9780262298957</v>
      </c>
      <c r="C10475" s="1" t="s">
        <v>20719</v>
      </c>
      <c r="D10475" s="2">
        <v>40627</v>
      </c>
      <c r="E10475" s="1" t="s">
        <v>20844</v>
      </c>
      <c r="F10475" s="1" t="s">
        <v>95</v>
      </c>
    </row>
    <row r="10476" spans="1:6" ht="30" customHeight="1" x14ac:dyDescent="0.25">
      <c r="A10476" s="1" t="s">
        <v>20845</v>
      </c>
      <c r="B10476" s="1" t="str">
        <f>"9780262295567"</f>
        <v>9780262295567</v>
      </c>
      <c r="C10476" s="1" t="s">
        <v>20719</v>
      </c>
      <c r="D10476" s="2">
        <v>41773</v>
      </c>
      <c r="E10476" s="1" t="s">
        <v>20846</v>
      </c>
      <c r="F10476" s="1" t="s">
        <v>13</v>
      </c>
    </row>
    <row r="10477" spans="1:6" ht="30" customHeight="1" x14ac:dyDescent="0.25">
      <c r="A10477" s="1" t="s">
        <v>20847</v>
      </c>
      <c r="B10477" s="1" t="str">
        <f>"9780262295628"</f>
        <v>9780262295628</v>
      </c>
      <c r="C10477" s="1" t="s">
        <v>20719</v>
      </c>
      <c r="D10477" s="2">
        <v>40683</v>
      </c>
      <c r="E10477" s="1" t="s">
        <v>20848</v>
      </c>
      <c r="F10477" s="1" t="s">
        <v>205</v>
      </c>
    </row>
    <row r="10478" spans="1:6" ht="30" customHeight="1" x14ac:dyDescent="0.25">
      <c r="A10478" s="1" t="s">
        <v>20849</v>
      </c>
      <c r="B10478" s="1" t="str">
        <f>"9780262298360"</f>
        <v>9780262298360</v>
      </c>
      <c r="C10478" s="1" t="s">
        <v>20719</v>
      </c>
      <c r="D10478" s="2">
        <v>40781</v>
      </c>
      <c r="E10478" s="1" t="s">
        <v>20850</v>
      </c>
      <c r="F10478" s="1" t="s">
        <v>13</v>
      </c>
    </row>
    <row r="10479" spans="1:6" ht="30" customHeight="1" x14ac:dyDescent="0.25">
      <c r="A10479" s="1" t="s">
        <v>20851</v>
      </c>
      <c r="B10479" s="1" t="str">
        <f>"9780262295819"</f>
        <v>9780262295819</v>
      </c>
      <c r="C10479" s="1" t="s">
        <v>20719</v>
      </c>
      <c r="D10479" s="2">
        <v>40606</v>
      </c>
      <c r="E10479" s="1" t="s">
        <v>20852</v>
      </c>
      <c r="F10479" s="1" t="s">
        <v>13</v>
      </c>
    </row>
    <row r="10480" spans="1:6" ht="30" customHeight="1" x14ac:dyDescent="0.25">
      <c r="A10480" s="1" t="s">
        <v>20853</v>
      </c>
      <c r="B10480" s="1" t="str">
        <f>"9780262298568"</f>
        <v>9780262298568</v>
      </c>
      <c r="C10480" s="1" t="s">
        <v>20719</v>
      </c>
      <c r="D10480" s="2">
        <v>41773</v>
      </c>
      <c r="E10480" s="1" t="s">
        <v>20854</v>
      </c>
      <c r="F10480" s="1" t="s">
        <v>13</v>
      </c>
    </row>
    <row r="10481" spans="1:6" ht="30" customHeight="1" x14ac:dyDescent="0.25">
      <c r="A10481" s="1" t="s">
        <v>20855</v>
      </c>
      <c r="B10481" s="1" t="str">
        <f>"9780262298391"</f>
        <v>9780262298391</v>
      </c>
      <c r="C10481" s="1" t="s">
        <v>20719</v>
      </c>
      <c r="D10481" s="2">
        <v>41773</v>
      </c>
      <c r="E10481" s="1" t="s">
        <v>20856</v>
      </c>
      <c r="F10481" s="1" t="s">
        <v>20857</v>
      </c>
    </row>
    <row r="10482" spans="1:6" ht="30" customHeight="1" x14ac:dyDescent="0.25">
      <c r="A10482" s="1" t="s">
        <v>20858</v>
      </c>
      <c r="B10482" s="1" t="str">
        <f>"9780262298452"</f>
        <v>9780262298452</v>
      </c>
      <c r="C10482" s="1" t="s">
        <v>20719</v>
      </c>
      <c r="D10482" s="2">
        <v>41773</v>
      </c>
      <c r="E10482" s="1" t="s">
        <v>20859</v>
      </c>
      <c r="F10482" s="1" t="s">
        <v>13</v>
      </c>
    </row>
    <row r="10483" spans="1:6" ht="30" customHeight="1" x14ac:dyDescent="0.25">
      <c r="A10483" s="1" t="s">
        <v>20860</v>
      </c>
      <c r="B10483" s="1" t="str">
        <f>"9780262301282"</f>
        <v>9780262301282</v>
      </c>
      <c r="C10483" s="1" t="s">
        <v>20719</v>
      </c>
      <c r="D10483" s="2">
        <v>40935</v>
      </c>
      <c r="E10483" s="1" t="s">
        <v>20861</v>
      </c>
      <c r="F10483" s="1" t="s">
        <v>480</v>
      </c>
    </row>
    <row r="10484" spans="1:6" ht="30" customHeight="1" x14ac:dyDescent="0.25">
      <c r="A10484" s="1" t="s">
        <v>20862</v>
      </c>
      <c r="B10484" s="1" t="str">
        <f>"9780262301121"</f>
        <v>9780262301121</v>
      </c>
      <c r="C10484" s="1" t="s">
        <v>20719</v>
      </c>
      <c r="D10484" s="2">
        <v>40991</v>
      </c>
      <c r="E10484" s="1" t="s">
        <v>20863</v>
      </c>
      <c r="F10484" s="1" t="s">
        <v>2256</v>
      </c>
    </row>
    <row r="10485" spans="1:6" ht="30" customHeight="1" x14ac:dyDescent="0.25">
      <c r="A10485" s="1" t="s">
        <v>20864</v>
      </c>
      <c r="B10485" s="1" t="str">
        <f>"9780262301602"</f>
        <v>9780262301602</v>
      </c>
      <c r="C10485" s="1" t="s">
        <v>20719</v>
      </c>
      <c r="D10485" s="2">
        <v>41773</v>
      </c>
      <c r="E10485" s="1" t="s">
        <v>20865</v>
      </c>
      <c r="F10485" s="1" t="s">
        <v>21</v>
      </c>
    </row>
    <row r="10486" spans="1:6" ht="30" customHeight="1" x14ac:dyDescent="0.25">
      <c r="A10486" s="1" t="s">
        <v>20866</v>
      </c>
      <c r="B10486" s="1" t="str">
        <f>"9780262304207"</f>
        <v>9780262304207</v>
      </c>
      <c r="C10486" s="1" t="s">
        <v>20719</v>
      </c>
      <c r="D10486" s="2">
        <v>41773</v>
      </c>
      <c r="E10486" s="1" t="s">
        <v>20867</v>
      </c>
      <c r="F10486" s="1" t="s">
        <v>95</v>
      </c>
    </row>
    <row r="10487" spans="1:6" ht="30" customHeight="1" x14ac:dyDescent="0.25">
      <c r="A10487" s="1" t="s">
        <v>20868</v>
      </c>
      <c r="B10487" s="1" t="str">
        <f>"9780262305167"</f>
        <v>9780262305167</v>
      </c>
      <c r="C10487" s="1" t="s">
        <v>20719</v>
      </c>
      <c r="D10487" s="2">
        <v>41131</v>
      </c>
      <c r="E10487" s="1" t="s">
        <v>20869</v>
      </c>
      <c r="F10487" s="1" t="s">
        <v>13</v>
      </c>
    </row>
    <row r="10488" spans="1:6" ht="30" customHeight="1" x14ac:dyDescent="0.25">
      <c r="A10488" s="1" t="s">
        <v>20870</v>
      </c>
      <c r="B10488" s="1" t="str">
        <f>"9780262305433"</f>
        <v>9780262305433</v>
      </c>
      <c r="C10488" s="1" t="s">
        <v>20719</v>
      </c>
      <c r="D10488" s="2">
        <v>41138</v>
      </c>
      <c r="E10488" s="1" t="s">
        <v>20871</v>
      </c>
      <c r="F10488" s="1" t="s">
        <v>13</v>
      </c>
    </row>
    <row r="10489" spans="1:6" ht="30" customHeight="1" x14ac:dyDescent="0.25">
      <c r="A10489" s="1" t="s">
        <v>20872</v>
      </c>
      <c r="B10489" s="1" t="str">
        <f>"9780262305389"</f>
        <v>9780262305389</v>
      </c>
      <c r="C10489" s="1" t="s">
        <v>20719</v>
      </c>
      <c r="D10489" s="2">
        <v>41145</v>
      </c>
      <c r="E10489" s="1" t="s">
        <v>20873</v>
      </c>
      <c r="F10489" s="1" t="s">
        <v>1338</v>
      </c>
    </row>
    <row r="10490" spans="1:6" ht="30" customHeight="1" x14ac:dyDescent="0.25">
      <c r="A10490" s="1" t="s">
        <v>20874</v>
      </c>
      <c r="B10490" s="1" t="str">
        <f>"9780262305730"</f>
        <v>9780262305730</v>
      </c>
      <c r="C10490" s="1" t="s">
        <v>20719</v>
      </c>
      <c r="D10490" s="2">
        <v>41152</v>
      </c>
      <c r="E10490" s="1" t="s">
        <v>20875</v>
      </c>
      <c r="F10490" s="1" t="s">
        <v>221</v>
      </c>
    </row>
    <row r="10491" spans="1:6" ht="30" customHeight="1" x14ac:dyDescent="0.25">
      <c r="A10491" s="1" t="s">
        <v>20876</v>
      </c>
      <c r="B10491" s="1" t="str">
        <f>"9780262305822"</f>
        <v>9780262305822</v>
      </c>
      <c r="C10491" s="1" t="s">
        <v>20719</v>
      </c>
      <c r="D10491" s="2">
        <v>41173</v>
      </c>
      <c r="E10491" s="1" t="s">
        <v>20877</v>
      </c>
      <c r="F10491" s="1" t="s">
        <v>20878</v>
      </c>
    </row>
    <row r="10492" spans="1:6" ht="30" customHeight="1" x14ac:dyDescent="0.25">
      <c r="A10492" s="1" t="s">
        <v>20879</v>
      </c>
      <c r="B10492" s="1" t="str">
        <f>"9780262317245"</f>
        <v>9780262317245</v>
      </c>
      <c r="C10492" s="1" t="s">
        <v>20719</v>
      </c>
      <c r="D10492" s="2">
        <v>41537</v>
      </c>
      <c r="E10492" s="1" t="s">
        <v>20880</v>
      </c>
      <c r="F10492" s="1" t="s">
        <v>21</v>
      </c>
    </row>
    <row r="10493" spans="1:6" ht="30" customHeight="1" x14ac:dyDescent="0.25">
      <c r="A10493" s="1" t="s">
        <v>20881</v>
      </c>
      <c r="B10493" s="1" t="str">
        <f>"9780262317757"</f>
        <v>9780262317757</v>
      </c>
      <c r="C10493" s="1" t="s">
        <v>20719</v>
      </c>
      <c r="D10493" s="2">
        <v>41773</v>
      </c>
      <c r="E10493" s="1" t="s">
        <v>20882</v>
      </c>
      <c r="F10493" s="1" t="s">
        <v>13</v>
      </c>
    </row>
    <row r="10494" spans="1:6" ht="30" customHeight="1" x14ac:dyDescent="0.25">
      <c r="A10494" s="1" t="s">
        <v>20883</v>
      </c>
      <c r="B10494" s="1" t="str">
        <f>"9780262319492"</f>
        <v>9780262319492</v>
      </c>
      <c r="C10494" s="1" t="s">
        <v>20719</v>
      </c>
      <c r="D10494" s="2">
        <v>41656</v>
      </c>
      <c r="E10494" s="1" t="s">
        <v>20884</v>
      </c>
      <c r="F10494" s="1" t="s">
        <v>1372</v>
      </c>
    </row>
    <row r="10495" spans="1:6" ht="30" customHeight="1" x14ac:dyDescent="0.25">
      <c r="A10495" s="1" t="s">
        <v>20885</v>
      </c>
      <c r="B10495" s="1" t="str">
        <f>"9780262322270"</f>
        <v>9780262322270</v>
      </c>
      <c r="C10495" s="1" t="s">
        <v>20719</v>
      </c>
      <c r="D10495" s="2">
        <v>41900</v>
      </c>
      <c r="E10495" s="1" t="s">
        <v>20886</v>
      </c>
      <c r="F10495" s="1" t="s">
        <v>13</v>
      </c>
    </row>
    <row r="10496" spans="1:6" ht="30" customHeight="1" x14ac:dyDescent="0.25">
      <c r="A10496" s="1" t="s">
        <v>20887</v>
      </c>
      <c r="B10496" s="1" t="str">
        <f>"9780262322065"</f>
        <v>9780262322065</v>
      </c>
      <c r="C10496" s="1" t="s">
        <v>20719</v>
      </c>
      <c r="D10496" s="2">
        <v>41712</v>
      </c>
      <c r="E10496" s="1" t="s">
        <v>20888</v>
      </c>
      <c r="F10496" s="1" t="s">
        <v>13</v>
      </c>
    </row>
    <row r="10497" spans="1:6" ht="30" customHeight="1" x14ac:dyDescent="0.25">
      <c r="A10497" s="1" t="s">
        <v>20889</v>
      </c>
      <c r="B10497" s="1" t="str">
        <f>"9780262322348"</f>
        <v>9780262322348</v>
      </c>
      <c r="C10497" s="1" t="s">
        <v>20719</v>
      </c>
      <c r="D10497" s="2">
        <v>41823</v>
      </c>
      <c r="E10497" s="1" t="s">
        <v>20890</v>
      </c>
      <c r="F10497" s="1" t="s">
        <v>541</v>
      </c>
    </row>
    <row r="10498" spans="1:6" ht="30" customHeight="1" x14ac:dyDescent="0.25">
      <c r="A10498" s="1" t="s">
        <v>20891</v>
      </c>
      <c r="B10498" s="1" t="str">
        <f>"9780262322430"</f>
        <v>9780262322430</v>
      </c>
      <c r="C10498" s="1" t="s">
        <v>20719</v>
      </c>
      <c r="D10498" s="2">
        <v>41900</v>
      </c>
      <c r="E10498" s="1" t="s">
        <v>20892</v>
      </c>
      <c r="F10498" s="1" t="s">
        <v>13</v>
      </c>
    </row>
    <row r="10499" spans="1:6" ht="30" customHeight="1" x14ac:dyDescent="0.25">
      <c r="A10499" s="1" t="s">
        <v>20893</v>
      </c>
      <c r="B10499" s="1" t="str">
        <f>"9780262324052"</f>
        <v>9780262324052</v>
      </c>
      <c r="C10499" s="1" t="s">
        <v>20719</v>
      </c>
      <c r="D10499" s="2">
        <v>41820</v>
      </c>
      <c r="E10499" s="1" t="s">
        <v>20894</v>
      </c>
      <c r="F10499" s="1" t="s">
        <v>13</v>
      </c>
    </row>
    <row r="10500" spans="1:6" ht="30" customHeight="1" x14ac:dyDescent="0.25">
      <c r="A10500" s="1" t="s">
        <v>20895</v>
      </c>
      <c r="B10500" s="1" t="str">
        <f>"9780262320825"</f>
        <v>9780262320825</v>
      </c>
      <c r="C10500" s="1" t="s">
        <v>20719</v>
      </c>
      <c r="D10500" s="2">
        <v>41884</v>
      </c>
      <c r="E10500" s="1" t="s">
        <v>20896</v>
      </c>
      <c r="F10500" s="1" t="s">
        <v>205</v>
      </c>
    </row>
    <row r="10501" spans="1:6" ht="30" customHeight="1" x14ac:dyDescent="0.25">
      <c r="A10501" s="1" t="s">
        <v>20897</v>
      </c>
      <c r="B10501" s="1" t="str">
        <f>"9780262325417"</f>
        <v>9780262325417</v>
      </c>
      <c r="C10501" s="1" t="s">
        <v>20719</v>
      </c>
      <c r="D10501" s="2">
        <v>41884</v>
      </c>
      <c r="E10501" s="1" t="s">
        <v>20898</v>
      </c>
      <c r="F10501" s="1" t="s">
        <v>95</v>
      </c>
    </row>
    <row r="10502" spans="1:6" ht="30" customHeight="1" x14ac:dyDescent="0.25">
      <c r="A10502" s="1" t="s">
        <v>20899</v>
      </c>
      <c r="B10502" s="1" t="str">
        <f>"9780262320382"</f>
        <v>9780262320382</v>
      </c>
      <c r="C10502" s="1" t="s">
        <v>20719</v>
      </c>
      <c r="D10502" s="2">
        <v>41960</v>
      </c>
      <c r="E10502" s="1" t="s">
        <v>20900</v>
      </c>
      <c r="F10502" s="1" t="s">
        <v>205</v>
      </c>
    </row>
    <row r="10503" spans="1:6" ht="30" customHeight="1" x14ac:dyDescent="0.25">
      <c r="A10503" s="1" t="s">
        <v>20901</v>
      </c>
      <c r="B10503" s="1" t="str">
        <f>"9780262319331"</f>
        <v>9780262319331</v>
      </c>
      <c r="C10503" s="1" t="s">
        <v>20719</v>
      </c>
      <c r="D10503" s="2">
        <v>41887</v>
      </c>
      <c r="E10503" s="1" t="s">
        <v>20902</v>
      </c>
      <c r="F10503" s="1" t="s">
        <v>13</v>
      </c>
    </row>
    <row r="10504" spans="1:6" ht="30" customHeight="1" x14ac:dyDescent="0.25">
      <c r="A10504" s="1" t="s">
        <v>20903</v>
      </c>
      <c r="B10504" s="1" t="str">
        <f>"9780262327190"</f>
        <v>9780262327190</v>
      </c>
      <c r="C10504" s="1" t="s">
        <v>20719</v>
      </c>
      <c r="D10504" s="2">
        <v>42055</v>
      </c>
      <c r="E10504" s="1" t="s">
        <v>20904</v>
      </c>
      <c r="F10504" s="1" t="s">
        <v>95</v>
      </c>
    </row>
    <row r="10505" spans="1:6" ht="30" customHeight="1" x14ac:dyDescent="0.25">
      <c r="A10505" s="1" t="s">
        <v>20905</v>
      </c>
      <c r="B10505" s="1" t="str">
        <f>"9780262328784"</f>
        <v>9780262328784</v>
      </c>
      <c r="C10505" s="1" t="s">
        <v>20719</v>
      </c>
      <c r="D10505" s="2">
        <v>42005</v>
      </c>
      <c r="E10505" s="1" t="s">
        <v>20906</v>
      </c>
      <c r="F10505" s="1" t="s">
        <v>205</v>
      </c>
    </row>
    <row r="10506" spans="1:6" ht="30" customHeight="1" x14ac:dyDescent="0.25">
      <c r="A10506" s="1" t="s">
        <v>20907</v>
      </c>
      <c r="B10506" s="1" t="str">
        <f>"9780980209464"</f>
        <v>9780980209464</v>
      </c>
      <c r="C10506" s="1" t="s">
        <v>20908</v>
      </c>
      <c r="D10506" s="2">
        <v>36861</v>
      </c>
      <c r="E10506" s="1" t="s">
        <v>20909</v>
      </c>
      <c r="F10506" s="1" t="s">
        <v>205</v>
      </c>
    </row>
    <row r="10507" spans="1:6" ht="30" customHeight="1" x14ac:dyDescent="0.25">
      <c r="A10507" s="1" t="s">
        <v>20910</v>
      </c>
      <c r="B10507" s="1" t="str">
        <f>"9780980209471"</f>
        <v>9780980209471</v>
      </c>
      <c r="C10507" s="1" t="s">
        <v>20908</v>
      </c>
      <c r="D10507" s="2">
        <v>39611</v>
      </c>
      <c r="E10507" s="1" t="s">
        <v>20911</v>
      </c>
      <c r="F10507" s="1" t="s">
        <v>7847</v>
      </c>
    </row>
    <row r="10508" spans="1:6" ht="30" customHeight="1" x14ac:dyDescent="0.25">
      <c r="A10508" s="1" t="s">
        <v>20912</v>
      </c>
      <c r="B10508" s="1" t="str">
        <f>"9782895442066"</f>
        <v>9782895442066</v>
      </c>
      <c r="C10508" s="1" t="s">
        <v>20913</v>
      </c>
      <c r="D10508" s="2">
        <v>36039</v>
      </c>
      <c r="E10508" s="1" t="s">
        <v>20914</v>
      </c>
      <c r="F10508" s="1" t="s">
        <v>30</v>
      </c>
    </row>
    <row r="10509" spans="1:6" ht="30" customHeight="1" x14ac:dyDescent="0.25">
      <c r="A10509" s="1" t="s">
        <v>20915</v>
      </c>
      <c r="B10509" s="1" t="str">
        <f>"9782895442080"</f>
        <v>9782895442080</v>
      </c>
      <c r="C10509" s="1" t="s">
        <v>20913</v>
      </c>
      <c r="D10509" s="2">
        <v>36039</v>
      </c>
      <c r="E10509" s="1" t="s">
        <v>20914</v>
      </c>
      <c r="F10509" s="1" t="s">
        <v>95</v>
      </c>
    </row>
    <row r="10510" spans="1:6" ht="30" customHeight="1" x14ac:dyDescent="0.25">
      <c r="A10510" s="1" t="s">
        <v>20916</v>
      </c>
      <c r="B10510" s="1" t="str">
        <f>"9782895442103"</f>
        <v>9782895442103</v>
      </c>
      <c r="C10510" s="1" t="s">
        <v>20913</v>
      </c>
      <c r="D10510" s="2">
        <v>35855</v>
      </c>
      <c r="E10510" s="1" t="s">
        <v>20914</v>
      </c>
      <c r="F10510" s="1" t="s">
        <v>30</v>
      </c>
    </row>
    <row r="10511" spans="1:6" ht="30" customHeight="1" x14ac:dyDescent="0.25">
      <c r="A10511" s="1" t="s">
        <v>20917</v>
      </c>
      <c r="B10511" s="1" t="str">
        <f>"9782895442202"</f>
        <v>9782895442202</v>
      </c>
      <c r="C10511" s="1" t="s">
        <v>20913</v>
      </c>
      <c r="D10511" s="2">
        <v>35886</v>
      </c>
      <c r="E10511" s="1" t="s">
        <v>20918</v>
      </c>
      <c r="F10511" s="1" t="s">
        <v>13</v>
      </c>
    </row>
    <row r="10512" spans="1:6" ht="30" customHeight="1" x14ac:dyDescent="0.25">
      <c r="A10512" s="1" t="s">
        <v>20919</v>
      </c>
      <c r="B10512" s="1" t="str">
        <f>"9782895442127"</f>
        <v>9782895442127</v>
      </c>
      <c r="C10512" s="1" t="s">
        <v>20913</v>
      </c>
      <c r="D10512" s="2">
        <v>36039</v>
      </c>
      <c r="E10512" s="1" t="s">
        <v>20914</v>
      </c>
      <c r="F10512" s="1" t="s">
        <v>4351</v>
      </c>
    </row>
    <row r="10513" spans="1:6" ht="30" customHeight="1" x14ac:dyDescent="0.25">
      <c r="A10513" s="1" t="s">
        <v>20920</v>
      </c>
      <c r="B10513" s="1" t="str">
        <f>"9782895442196"</f>
        <v>9782895442196</v>
      </c>
      <c r="C10513" s="1" t="s">
        <v>20913</v>
      </c>
      <c r="D10513" s="2">
        <v>35886</v>
      </c>
      <c r="E10513" s="1" t="s">
        <v>20918</v>
      </c>
      <c r="F10513" s="1" t="s">
        <v>13</v>
      </c>
    </row>
    <row r="10514" spans="1:6" ht="30" customHeight="1" x14ac:dyDescent="0.25">
      <c r="A10514" s="1" t="s">
        <v>20921</v>
      </c>
      <c r="B10514" s="1" t="str">
        <f>"9782895442219"</f>
        <v>9782895442219</v>
      </c>
      <c r="C10514" s="1" t="s">
        <v>20913</v>
      </c>
      <c r="D10514" s="2">
        <v>35796</v>
      </c>
      <c r="E10514" s="1" t="s">
        <v>20918</v>
      </c>
      <c r="F10514" s="1" t="s">
        <v>13</v>
      </c>
    </row>
    <row r="10515" spans="1:6" ht="30" customHeight="1" x14ac:dyDescent="0.25">
      <c r="A10515" s="1" t="s">
        <v>20922</v>
      </c>
      <c r="B10515" s="1" t="str">
        <f>"9782895442141"</f>
        <v>9782895442141</v>
      </c>
      <c r="C10515" s="1" t="s">
        <v>20913</v>
      </c>
      <c r="D10515" s="2">
        <v>36039</v>
      </c>
      <c r="E10515" s="1" t="s">
        <v>20914</v>
      </c>
      <c r="F10515" s="1" t="s">
        <v>95</v>
      </c>
    </row>
    <row r="10516" spans="1:6" ht="30" customHeight="1" x14ac:dyDescent="0.25">
      <c r="A10516" s="1" t="s">
        <v>20923</v>
      </c>
      <c r="B10516" s="1" t="str">
        <f>"9780309500463"</f>
        <v>9780309500463</v>
      </c>
      <c r="C10516" s="1" t="s">
        <v>20924</v>
      </c>
      <c r="D10516" s="2">
        <v>37627</v>
      </c>
      <c r="E10516" s="1" t="s">
        <v>20925</v>
      </c>
      <c r="F10516" s="1" t="s">
        <v>21</v>
      </c>
    </row>
    <row r="10517" spans="1:6" ht="30" customHeight="1" x14ac:dyDescent="0.25">
      <c r="A10517" s="1" t="s">
        <v>20926</v>
      </c>
      <c r="B10517" s="1" t="str">
        <f>"9780309502153"</f>
        <v>9780309502153</v>
      </c>
      <c r="C10517" s="1" t="s">
        <v>20924</v>
      </c>
      <c r="D10517" s="2">
        <v>37630</v>
      </c>
      <c r="E10517" s="1" t="s">
        <v>20927</v>
      </c>
      <c r="F10517" s="1" t="s">
        <v>176</v>
      </c>
    </row>
    <row r="10518" spans="1:6" ht="30" customHeight="1" x14ac:dyDescent="0.25">
      <c r="A10518" s="1" t="s">
        <v>20928</v>
      </c>
      <c r="B10518" s="1" t="str">
        <f>"9780309507554"</f>
        <v>9780309507554</v>
      </c>
      <c r="C10518" s="1" t="s">
        <v>20924</v>
      </c>
      <c r="D10518" s="2">
        <v>37715</v>
      </c>
      <c r="E10518" s="1" t="s">
        <v>20929</v>
      </c>
      <c r="F10518" s="1" t="s">
        <v>20930</v>
      </c>
    </row>
    <row r="10519" spans="1:6" ht="30" customHeight="1" x14ac:dyDescent="0.25">
      <c r="A10519" s="1" t="s">
        <v>20931</v>
      </c>
      <c r="B10519" s="1" t="str">
        <f>"9780309507462"</f>
        <v>9780309507462</v>
      </c>
      <c r="C10519" s="1" t="s">
        <v>20924</v>
      </c>
      <c r="D10519" s="2">
        <v>37706</v>
      </c>
      <c r="E10519" s="1" t="s">
        <v>20932</v>
      </c>
      <c r="F10519" s="1" t="s">
        <v>349</v>
      </c>
    </row>
    <row r="10520" spans="1:6" ht="30" customHeight="1" x14ac:dyDescent="0.25">
      <c r="A10520" s="1" t="s">
        <v>20933</v>
      </c>
      <c r="B10520" s="1" t="str">
        <f>"9780309505451"</f>
        <v>9780309505451</v>
      </c>
      <c r="C10520" s="1" t="s">
        <v>20924</v>
      </c>
      <c r="D10520" s="2">
        <v>37666</v>
      </c>
      <c r="E10520" s="1" t="s">
        <v>20934</v>
      </c>
      <c r="F10520" s="1" t="s">
        <v>70</v>
      </c>
    </row>
    <row r="10521" spans="1:6" ht="30" customHeight="1" x14ac:dyDescent="0.25">
      <c r="A10521" s="1" t="s">
        <v>20935</v>
      </c>
      <c r="B10521" s="1" t="str">
        <f>"9780309512725"</f>
        <v>9780309512725</v>
      </c>
      <c r="C10521" s="1" t="s">
        <v>20924</v>
      </c>
      <c r="D10521" s="2">
        <v>37591</v>
      </c>
      <c r="E10521" s="1" t="s">
        <v>20936</v>
      </c>
      <c r="F10521" s="1" t="s">
        <v>356</v>
      </c>
    </row>
    <row r="10522" spans="1:6" ht="30" customHeight="1" x14ac:dyDescent="0.25">
      <c r="A10522" s="1" t="s">
        <v>20937</v>
      </c>
      <c r="B10522" s="1" t="str">
        <f>"9780309510943"</f>
        <v>9780309510943</v>
      </c>
      <c r="C10522" s="1" t="s">
        <v>20924</v>
      </c>
      <c r="D10522" s="2">
        <v>37194</v>
      </c>
      <c r="E10522" s="1" t="s">
        <v>20938</v>
      </c>
      <c r="F10522" s="1" t="s">
        <v>176</v>
      </c>
    </row>
    <row r="10523" spans="1:6" ht="30" customHeight="1" x14ac:dyDescent="0.25">
      <c r="A10523" s="1" t="s">
        <v>20939</v>
      </c>
      <c r="B10523" s="1" t="str">
        <f>"9780309508063"</f>
        <v>9780309508063</v>
      </c>
      <c r="C10523" s="1" t="s">
        <v>20924</v>
      </c>
      <c r="D10523" s="2">
        <v>37375</v>
      </c>
      <c r="E10523" s="1" t="s">
        <v>20940</v>
      </c>
      <c r="F10523" s="1" t="s">
        <v>13</v>
      </c>
    </row>
    <row r="10524" spans="1:6" ht="30" customHeight="1" x14ac:dyDescent="0.25">
      <c r="A10524" s="1" t="s">
        <v>20941</v>
      </c>
      <c r="B10524" s="1" t="str">
        <f>"9780309511247"</f>
        <v>9780309511247</v>
      </c>
      <c r="C10524" s="1" t="s">
        <v>20924</v>
      </c>
      <c r="D10524" s="2">
        <v>37137</v>
      </c>
      <c r="E10524" s="1" t="s">
        <v>20942</v>
      </c>
      <c r="F10524" s="1" t="s">
        <v>70</v>
      </c>
    </row>
    <row r="10525" spans="1:6" ht="30" customHeight="1" x14ac:dyDescent="0.25">
      <c r="A10525" s="1" t="s">
        <v>20943</v>
      </c>
      <c r="B10525" s="1" t="str">
        <f>"9780309508667"</f>
        <v>9780309508667</v>
      </c>
      <c r="C10525" s="1" t="s">
        <v>20924</v>
      </c>
      <c r="D10525" s="2">
        <v>37438</v>
      </c>
      <c r="E10525" s="1" t="s">
        <v>20944</v>
      </c>
      <c r="F10525" s="1" t="s">
        <v>33</v>
      </c>
    </row>
    <row r="10526" spans="1:6" ht="30" customHeight="1" x14ac:dyDescent="0.25">
      <c r="A10526" s="1" t="s">
        <v>20945</v>
      </c>
      <c r="B10526" s="1" t="str">
        <f>"9780309502634"</f>
        <v>9780309502634</v>
      </c>
      <c r="C10526" s="1" t="s">
        <v>20924</v>
      </c>
      <c r="D10526" s="2">
        <v>37026</v>
      </c>
      <c r="E10526" s="1" t="s">
        <v>20946</v>
      </c>
      <c r="F10526" s="1" t="s">
        <v>114</v>
      </c>
    </row>
    <row r="10527" spans="1:6" ht="30" customHeight="1" x14ac:dyDescent="0.25">
      <c r="A10527" s="1" t="s">
        <v>20947</v>
      </c>
      <c r="B10527" s="1" t="str">
        <f>"9780309511759"</f>
        <v>9780309511759</v>
      </c>
      <c r="C10527" s="1" t="s">
        <v>20924</v>
      </c>
      <c r="D10527" s="2">
        <v>37082</v>
      </c>
      <c r="E10527" s="1" t="s">
        <v>20948</v>
      </c>
      <c r="F10527" s="1" t="s">
        <v>13</v>
      </c>
    </row>
    <row r="10528" spans="1:6" ht="30" customHeight="1" x14ac:dyDescent="0.25">
      <c r="A10528" s="1" t="s">
        <v>20949</v>
      </c>
      <c r="B10528" s="1" t="str">
        <f>"9780309511780"</f>
        <v>9780309511780</v>
      </c>
      <c r="C10528" s="1" t="s">
        <v>20924</v>
      </c>
      <c r="D10528" s="2">
        <v>37035</v>
      </c>
      <c r="E10528" s="1" t="s">
        <v>20950</v>
      </c>
      <c r="F10528" s="1" t="s">
        <v>13</v>
      </c>
    </row>
    <row r="10529" spans="1:6" ht="30" customHeight="1" x14ac:dyDescent="0.25">
      <c r="A10529" s="1" t="s">
        <v>20951</v>
      </c>
      <c r="B10529" s="1" t="str">
        <f>"9780309509237"</f>
        <v>9780309509237</v>
      </c>
      <c r="C10529" s="1" t="s">
        <v>20924</v>
      </c>
      <c r="D10529" s="2">
        <v>37369</v>
      </c>
      <c r="E10529" s="1" t="s">
        <v>20952</v>
      </c>
      <c r="F10529" s="1" t="s">
        <v>30</v>
      </c>
    </row>
    <row r="10530" spans="1:6" ht="30" customHeight="1" x14ac:dyDescent="0.25">
      <c r="A10530" s="1" t="s">
        <v>20953</v>
      </c>
      <c r="B10530" s="1" t="str">
        <f>"9780309512930"</f>
        <v>9780309512930</v>
      </c>
      <c r="C10530" s="1" t="s">
        <v>20924</v>
      </c>
      <c r="D10530" s="2">
        <v>37350</v>
      </c>
      <c r="E10530" s="1" t="s">
        <v>20954</v>
      </c>
      <c r="F10530" s="1" t="s">
        <v>13</v>
      </c>
    </row>
    <row r="10531" spans="1:6" ht="30" customHeight="1" x14ac:dyDescent="0.25">
      <c r="A10531" s="1" t="s">
        <v>20955</v>
      </c>
      <c r="B10531" s="1" t="str">
        <f>"9780309515030"</f>
        <v>9780309515030</v>
      </c>
      <c r="C10531" s="1" t="s">
        <v>20924</v>
      </c>
      <c r="D10531" s="2">
        <v>37226</v>
      </c>
      <c r="E10531" s="1" t="s">
        <v>20956</v>
      </c>
      <c r="F10531" s="1" t="s">
        <v>114</v>
      </c>
    </row>
    <row r="10532" spans="1:6" ht="30" customHeight="1" x14ac:dyDescent="0.25">
      <c r="A10532" s="1" t="s">
        <v>20957</v>
      </c>
      <c r="B10532" s="1" t="str">
        <f>"9780309511810"</f>
        <v>9780309511810</v>
      </c>
      <c r="C10532" s="1" t="s">
        <v>20924</v>
      </c>
      <c r="D10532" s="2">
        <v>37226</v>
      </c>
      <c r="E10532" s="1" t="s">
        <v>20958</v>
      </c>
      <c r="F10532" s="1" t="s">
        <v>13</v>
      </c>
    </row>
    <row r="10533" spans="1:6" ht="30" customHeight="1" x14ac:dyDescent="0.25">
      <c r="A10533" s="1" t="s">
        <v>20959</v>
      </c>
      <c r="B10533" s="1" t="str">
        <f>"9780309557849"</f>
        <v>9780309557849</v>
      </c>
      <c r="C10533" s="1" t="s">
        <v>20924</v>
      </c>
      <c r="D10533" s="2">
        <v>37364</v>
      </c>
      <c r="E10533" s="1" t="s">
        <v>20960</v>
      </c>
      <c r="F10533" s="1" t="s">
        <v>33</v>
      </c>
    </row>
    <row r="10534" spans="1:6" ht="30" customHeight="1" x14ac:dyDescent="0.25">
      <c r="A10534" s="1" t="s">
        <v>20961</v>
      </c>
      <c r="B10534" s="1" t="str">
        <f>"9780309506762"</f>
        <v>9780309506762</v>
      </c>
      <c r="C10534" s="1" t="s">
        <v>20924</v>
      </c>
      <c r="D10534" s="2">
        <v>37287</v>
      </c>
      <c r="E10534" s="1" t="s">
        <v>20962</v>
      </c>
      <c r="F10534" s="1" t="s">
        <v>2028</v>
      </c>
    </row>
    <row r="10535" spans="1:6" ht="30" customHeight="1" x14ac:dyDescent="0.25">
      <c r="A10535" s="1" t="s">
        <v>20963</v>
      </c>
      <c r="B10535" s="1" t="str">
        <f>"9780309511933"</f>
        <v>9780309511933</v>
      </c>
      <c r="C10535" s="1" t="s">
        <v>20924</v>
      </c>
      <c r="D10535" s="2">
        <v>37090</v>
      </c>
      <c r="E10535" s="1" t="s">
        <v>20964</v>
      </c>
      <c r="F10535" s="1" t="s">
        <v>30</v>
      </c>
    </row>
    <row r="10536" spans="1:6" ht="30" customHeight="1" x14ac:dyDescent="0.25">
      <c r="A10536" s="1" t="s">
        <v>20965</v>
      </c>
      <c r="B10536" s="1" t="str">
        <f>"9780309508698"</f>
        <v>9780309508698</v>
      </c>
      <c r="C10536" s="1" t="s">
        <v>20924</v>
      </c>
      <c r="D10536" s="2">
        <v>37355</v>
      </c>
      <c r="E10536" s="1" t="s">
        <v>20966</v>
      </c>
      <c r="F10536" s="1" t="s">
        <v>176</v>
      </c>
    </row>
    <row r="10537" spans="1:6" ht="30" customHeight="1" x14ac:dyDescent="0.25">
      <c r="A10537" s="1" t="s">
        <v>20967</v>
      </c>
      <c r="B10537" s="1" t="str">
        <f>"9780309510882"</f>
        <v>9780309510882</v>
      </c>
      <c r="C10537" s="1" t="s">
        <v>20924</v>
      </c>
      <c r="D10537" s="2">
        <v>37393</v>
      </c>
      <c r="E10537" s="1" t="s">
        <v>20968</v>
      </c>
      <c r="F10537" s="1" t="s">
        <v>3803</v>
      </c>
    </row>
    <row r="10538" spans="1:6" ht="30" customHeight="1" x14ac:dyDescent="0.25">
      <c r="A10538" s="1" t="s">
        <v>20969</v>
      </c>
      <c r="B10538" s="1" t="str">
        <f>"9780309511841"</f>
        <v>9780309511841</v>
      </c>
      <c r="C10538" s="1" t="s">
        <v>20924</v>
      </c>
      <c r="D10538" s="2">
        <v>37151</v>
      </c>
      <c r="E10538" s="1" t="s">
        <v>20970</v>
      </c>
      <c r="F10538" s="1" t="s">
        <v>30</v>
      </c>
    </row>
    <row r="10539" spans="1:6" ht="30" customHeight="1" x14ac:dyDescent="0.25">
      <c r="A10539" s="1" t="s">
        <v>20971</v>
      </c>
      <c r="B10539" s="1" t="str">
        <f>"9780309508759"</f>
        <v>9780309508759</v>
      </c>
      <c r="C10539" s="1" t="s">
        <v>20924</v>
      </c>
      <c r="D10539" s="2">
        <v>37446</v>
      </c>
      <c r="E10539" s="1" t="s">
        <v>20972</v>
      </c>
      <c r="F10539" s="1" t="s">
        <v>13</v>
      </c>
    </row>
    <row r="10540" spans="1:6" ht="30" customHeight="1" x14ac:dyDescent="0.25">
      <c r="A10540" s="1" t="s">
        <v>20973</v>
      </c>
      <c r="B10540" s="1" t="str">
        <f>"9780309501828"</f>
        <v>9780309501828</v>
      </c>
      <c r="C10540" s="1" t="s">
        <v>20924</v>
      </c>
      <c r="D10540" s="2">
        <v>36924</v>
      </c>
      <c r="E10540" s="1" t="s">
        <v>20974</v>
      </c>
      <c r="F10540" s="1" t="s">
        <v>30</v>
      </c>
    </row>
    <row r="10541" spans="1:6" ht="30" customHeight="1" x14ac:dyDescent="0.25">
      <c r="A10541" s="1" t="s">
        <v>20975</v>
      </c>
      <c r="B10541" s="1" t="str">
        <f>"9780309509626"</f>
        <v>9780309509626</v>
      </c>
      <c r="C10541" s="1" t="s">
        <v>20924</v>
      </c>
      <c r="D10541" s="2">
        <v>37356</v>
      </c>
      <c r="E10541" s="1" t="s">
        <v>20976</v>
      </c>
      <c r="F10541" s="1" t="s">
        <v>114</v>
      </c>
    </row>
    <row r="10542" spans="1:6" ht="30" customHeight="1" x14ac:dyDescent="0.25">
      <c r="A10542" s="1" t="s">
        <v>20977</v>
      </c>
      <c r="B10542" s="1" t="str">
        <f>"9780309503808"</f>
        <v>9780309503808</v>
      </c>
      <c r="C10542" s="1" t="s">
        <v>20924</v>
      </c>
      <c r="D10542" s="2">
        <v>36949</v>
      </c>
      <c r="E10542" s="1" t="s">
        <v>20978</v>
      </c>
      <c r="F10542" s="1" t="s">
        <v>95</v>
      </c>
    </row>
    <row r="10543" spans="1:6" ht="30" customHeight="1" x14ac:dyDescent="0.25">
      <c r="A10543" s="1" t="s">
        <v>20979</v>
      </c>
      <c r="B10543" s="1" t="str">
        <f>"9780309508032"</f>
        <v>9780309508032</v>
      </c>
      <c r="C10543" s="1" t="s">
        <v>20924</v>
      </c>
      <c r="D10543" s="2">
        <v>37396</v>
      </c>
      <c r="E10543" s="1" t="s">
        <v>20980</v>
      </c>
      <c r="F10543" s="1" t="s">
        <v>30</v>
      </c>
    </row>
    <row r="10544" spans="1:6" ht="30" customHeight="1" x14ac:dyDescent="0.25">
      <c r="A10544" s="1" t="s">
        <v>20981</v>
      </c>
      <c r="B10544" s="1" t="str">
        <f>"9780309513456"</f>
        <v>9780309513456</v>
      </c>
      <c r="C10544" s="1" t="s">
        <v>20924</v>
      </c>
      <c r="D10544" s="2">
        <v>36892</v>
      </c>
      <c r="E10544" s="1" t="s">
        <v>20982</v>
      </c>
      <c r="F10544" s="1" t="s">
        <v>13</v>
      </c>
    </row>
    <row r="10545" spans="1:6" ht="30" customHeight="1" x14ac:dyDescent="0.25">
      <c r="A10545" s="1" t="s">
        <v>20983</v>
      </c>
      <c r="B10545" s="1" t="str">
        <f>"9780309501613"</f>
        <v>9780309501613</v>
      </c>
      <c r="C10545" s="1" t="s">
        <v>20924</v>
      </c>
      <c r="D10545" s="2">
        <v>36909</v>
      </c>
      <c r="E10545" s="1" t="s">
        <v>20984</v>
      </c>
      <c r="F10545" s="1" t="s">
        <v>95</v>
      </c>
    </row>
    <row r="10546" spans="1:6" ht="30" customHeight="1" x14ac:dyDescent="0.25">
      <c r="A10546" s="1" t="s">
        <v>20985</v>
      </c>
      <c r="B10546" s="1" t="str">
        <f>"9780309511995"</f>
        <v>9780309511995</v>
      </c>
      <c r="C10546" s="1" t="s">
        <v>20924</v>
      </c>
      <c r="D10546" s="2">
        <v>37425</v>
      </c>
      <c r="E10546" s="1" t="s">
        <v>20956</v>
      </c>
      <c r="F10546" s="1" t="s">
        <v>1152</v>
      </c>
    </row>
    <row r="10547" spans="1:6" ht="30" customHeight="1" x14ac:dyDescent="0.25">
      <c r="A10547" s="1" t="s">
        <v>20986</v>
      </c>
      <c r="B10547" s="1" t="str">
        <f>"9780309510257"</f>
        <v>9780309510257</v>
      </c>
      <c r="C10547" s="1" t="s">
        <v>20924</v>
      </c>
      <c r="D10547" s="2">
        <v>37322</v>
      </c>
      <c r="E10547" s="1" t="s">
        <v>20987</v>
      </c>
      <c r="F10547" s="1" t="s">
        <v>599</v>
      </c>
    </row>
    <row r="10548" spans="1:6" ht="30" customHeight="1" x14ac:dyDescent="0.25">
      <c r="A10548" s="1" t="s">
        <v>20988</v>
      </c>
      <c r="B10548" s="1" t="str">
        <f>"9780309506670"</f>
        <v>9780309506670</v>
      </c>
      <c r="C10548" s="1" t="s">
        <v>20924</v>
      </c>
      <c r="D10548" s="2">
        <v>37454</v>
      </c>
      <c r="E10548" s="1" t="s">
        <v>20989</v>
      </c>
      <c r="F10548" s="1" t="s">
        <v>13</v>
      </c>
    </row>
    <row r="10549" spans="1:6" ht="30" customHeight="1" x14ac:dyDescent="0.25">
      <c r="A10549" s="1" t="s">
        <v>20990</v>
      </c>
      <c r="B10549" s="1" t="str">
        <f>"9780309515603"</f>
        <v>9780309515603</v>
      </c>
      <c r="C10549" s="1" t="s">
        <v>20924</v>
      </c>
      <c r="D10549" s="2">
        <v>36689</v>
      </c>
      <c r="E10549" s="1" t="s">
        <v>20991</v>
      </c>
      <c r="F10549" s="1" t="s">
        <v>148</v>
      </c>
    </row>
    <row r="10550" spans="1:6" ht="30" customHeight="1" x14ac:dyDescent="0.25">
      <c r="A10550" s="1" t="s">
        <v>20992</v>
      </c>
      <c r="B10550" s="1" t="str">
        <f>"9780309502030"</f>
        <v>9780309502030</v>
      </c>
      <c r="C10550" s="1" t="s">
        <v>20924</v>
      </c>
      <c r="D10550" s="2">
        <v>37448</v>
      </c>
      <c r="E10550" s="1" t="s">
        <v>20993</v>
      </c>
      <c r="F10550" s="1" t="s">
        <v>30</v>
      </c>
    </row>
    <row r="10551" spans="1:6" ht="30" customHeight="1" x14ac:dyDescent="0.25">
      <c r="A10551" s="1" t="s">
        <v>20994</v>
      </c>
      <c r="B10551" s="1" t="str">
        <f>"9780309500920"</f>
        <v>9780309500920</v>
      </c>
      <c r="C10551" s="1" t="s">
        <v>20924</v>
      </c>
      <c r="D10551" s="2">
        <v>37636</v>
      </c>
      <c r="E10551" s="1" t="s">
        <v>20995</v>
      </c>
      <c r="F10551" s="1" t="s">
        <v>13</v>
      </c>
    </row>
    <row r="10552" spans="1:6" ht="30" customHeight="1" x14ac:dyDescent="0.25">
      <c r="A10552" s="1" t="s">
        <v>20996</v>
      </c>
      <c r="B10552" s="1" t="str">
        <f>"9780309558112"</f>
        <v>9780309558112</v>
      </c>
      <c r="C10552" s="1" t="s">
        <v>20924</v>
      </c>
      <c r="D10552" s="2">
        <v>36623</v>
      </c>
      <c r="E10552" s="1" t="s">
        <v>20997</v>
      </c>
      <c r="F10552" s="1" t="s">
        <v>13</v>
      </c>
    </row>
    <row r="10553" spans="1:6" ht="30" customHeight="1" x14ac:dyDescent="0.25">
      <c r="A10553" s="1" t="s">
        <v>20998</v>
      </c>
      <c r="B10553" s="1" t="str">
        <f>"9780309558143"</f>
        <v>9780309558143</v>
      </c>
      <c r="C10553" s="1" t="s">
        <v>20924</v>
      </c>
      <c r="D10553" s="2">
        <v>36573</v>
      </c>
      <c r="E10553" s="1" t="s">
        <v>20999</v>
      </c>
      <c r="F10553" s="1" t="s">
        <v>2383</v>
      </c>
    </row>
    <row r="10554" spans="1:6" ht="30" customHeight="1" x14ac:dyDescent="0.25">
      <c r="A10554" s="1" t="s">
        <v>21000</v>
      </c>
      <c r="B10554" s="1" t="str">
        <f>"9780309503747"</f>
        <v>9780309503747</v>
      </c>
      <c r="C10554" s="1" t="s">
        <v>20924</v>
      </c>
      <c r="D10554" s="2">
        <v>37585</v>
      </c>
      <c r="E10554" s="1" t="s">
        <v>21001</v>
      </c>
      <c r="F10554" s="1" t="s">
        <v>7296</v>
      </c>
    </row>
    <row r="10555" spans="1:6" ht="30" customHeight="1" x14ac:dyDescent="0.25">
      <c r="A10555" s="1" t="s">
        <v>21002</v>
      </c>
      <c r="B10555" s="1" t="str">
        <f>"9780309500890"</f>
        <v>9780309500890</v>
      </c>
      <c r="C10555" s="1" t="s">
        <v>20924</v>
      </c>
      <c r="D10555" s="2">
        <v>37455</v>
      </c>
      <c r="E10555" s="1" t="s">
        <v>21003</v>
      </c>
      <c r="F10555" s="1" t="s">
        <v>158</v>
      </c>
    </row>
    <row r="10556" spans="1:6" ht="30" customHeight="1" x14ac:dyDescent="0.25">
      <c r="A10556" s="1" t="s">
        <v>21004</v>
      </c>
      <c r="B10556" s="1" t="str">
        <f>"9780309502399"</f>
        <v>9780309502399</v>
      </c>
      <c r="C10556" s="1" t="s">
        <v>20924</v>
      </c>
      <c r="D10556" s="2">
        <v>37433</v>
      </c>
      <c r="E10556" s="1" t="s">
        <v>21005</v>
      </c>
      <c r="F10556" s="1" t="s">
        <v>30</v>
      </c>
    </row>
    <row r="10557" spans="1:6" ht="30" customHeight="1" x14ac:dyDescent="0.25">
      <c r="A10557" s="1" t="s">
        <v>21006</v>
      </c>
      <c r="B10557" s="1" t="str">
        <f>"9780309515511"</f>
        <v>9780309515511</v>
      </c>
      <c r="C10557" s="1" t="s">
        <v>20924</v>
      </c>
      <c r="D10557" s="2">
        <v>36655</v>
      </c>
      <c r="E10557" s="1" t="s">
        <v>21007</v>
      </c>
      <c r="F10557" s="1" t="s">
        <v>114</v>
      </c>
    </row>
    <row r="10558" spans="1:6" ht="30" customHeight="1" x14ac:dyDescent="0.25">
      <c r="A10558" s="1" t="s">
        <v>21008</v>
      </c>
      <c r="B10558" s="1" t="str">
        <f>"9780309558235"</f>
        <v>9780309558235</v>
      </c>
      <c r="C10558" s="1" t="s">
        <v>20924</v>
      </c>
      <c r="D10558" s="2">
        <v>36480</v>
      </c>
      <c r="E10558" s="1" t="s">
        <v>21009</v>
      </c>
      <c r="F10558" s="1" t="s">
        <v>10335</v>
      </c>
    </row>
    <row r="10559" spans="1:6" ht="30" customHeight="1" x14ac:dyDescent="0.25">
      <c r="A10559" s="1" t="s">
        <v>21010</v>
      </c>
      <c r="B10559" s="1" t="str">
        <f>"9780309502214"</f>
        <v>9780309502214</v>
      </c>
      <c r="C10559" s="1" t="s">
        <v>20924</v>
      </c>
      <c r="D10559" s="2">
        <v>37433</v>
      </c>
      <c r="E10559" s="1" t="s">
        <v>21011</v>
      </c>
      <c r="F10559" s="1" t="s">
        <v>95</v>
      </c>
    </row>
    <row r="10560" spans="1:6" ht="30" customHeight="1" x14ac:dyDescent="0.25">
      <c r="A10560" s="1" t="s">
        <v>21012</v>
      </c>
      <c r="B10560" s="1" t="str">
        <f>"9780309501910"</f>
        <v>9780309501910</v>
      </c>
      <c r="C10560" s="1" t="s">
        <v>20924</v>
      </c>
      <c r="D10560" s="2">
        <v>37370</v>
      </c>
      <c r="E10560" s="1" t="s">
        <v>21013</v>
      </c>
      <c r="F10560" s="1" t="s">
        <v>13</v>
      </c>
    </row>
    <row r="10561" spans="1:6" ht="30" customHeight="1" x14ac:dyDescent="0.25">
      <c r="A10561" s="1" t="s">
        <v>21014</v>
      </c>
      <c r="B10561" s="1" t="str">
        <f>"9780309500555"</f>
        <v>9780309500555</v>
      </c>
      <c r="C10561" s="1" t="s">
        <v>20924</v>
      </c>
      <c r="D10561" s="2">
        <v>37481</v>
      </c>
      <c r="E10561" s="1" t="s">
        <v>21015</v>
      </c>
      <c r="F10561" s="1" t="s">
        <v>10171</v>
      </c>
    </row>
    <row r="10562" spans="1:6" ht="30" customHeight="1" x14ac:dyDescent="0.25">
      <c r="A10562" s="1" t="s">
        <v>21016</v>
      </c>
      <c r="B10562" s="1" t="str">
        <f>"9780309500791"</f>
        <v>9780309500791</v>
      </c>
      <c r="C10562" s="1" t="s">
        <v>20924</v>
      </c>
      <c r="D10562" s="2">
        <v>37524</v>
      </c>
      <c r="E10562" s="1" t="s">
        <v>21017</v>
      </c>
      <c r="F10562" s="1" t="s">
        <v>10335</v>
      </c>
    </row>
    <row r="10563" spans="1:6" ht="30" customHeight="1" x14ac:dyDescent="0.25">
      <c r="A10563" s="1" t="s">
        <v>21018</v>
      </c>
      <c r="B10563" s="1" t="str">
        <f>"9780309503860"</f>
        <v>9780309503860</v>
      </c>
      <c r="C10563" s="1" t="s">
        <v>20924</v>
      </c>
      <c r="D10563" s="2">
        <v>36860</v>
      </c>
      <c r="E10563" s="1" t="s">
        <v>21019</v>
      </c>
      <c r="F10563" s="1" t="s">
        <v>268</v>
      </c>
    </row>
    <row r="10564" spans="1:6" ht="30" customHeight="1" x14ac:dyDescent="0.25">
      <c r="A10564" s="1" t="s">
        <v>21020</v>
      </c>
      <c r="B10564" s="1" t="str">
        <f>"9780309504461"</f>
        <v>9780309504461</v>
      </c>
      <c r="C10564" s="1" t="s">
        <v>20924</v>
      </c>
      <c r="D10564" s="2">
        <v>35827</v>
      </c>
      <c r="E10564" s="1" t="s">
        <v>21021</v>
      </c>
      <c r="F10564" s="1" t="s">
        <v>1344</v>
      </c>
    </row>
    <row r="10565" spans="1:6" ht="30" customHeight="1" x14ac:dyDescent="0.25">
      <c r="A10565" s="1" t="s">
        <v>21022</v>
      </c>
      <c r="B10565" s="1" t="str">
        <f>"9780309504164"</f>
        <v>9780309504164</v>
      </c>
      <c r="C10565" s="1" t="s">
        <v>20924</v>
      </c>
      <c r="D10565" s="2">
        <v>37294</v>
      </c>
      <c r="E10565" s="1" t="s">
        <v>21023</v>
      </c>
      <c r="F10565" s="1" t="s">
        <v>21024</v>
      </c>
    </row>
    <row r="10566" spans="1:6" ht="30" customHeight="1" x14ac:dyDescent="0.25">
      <c r="A10566" s="1" t="s">
        <v>21025</v>
      </c>
      <c r="B10566" s="1" t="str">
        <f>"9780309504492"</f>
        <v>9780309504492</v>
      </c>
      <c r="C10566" s="1" t="s">
        <v>20924</v>
      </c>
      <c r="D10566" s="2">
        <v>36741</v>
      </c>
      <c r="E10566" s="1" t="s">
        <v>21026</v>
      </c>
      <c r="F10566" s="1" t="s">
        <v>30</v>
      </c>
    </row>
    <row r="10567" spans="1:6" ht="30" customHeight="1" x14ac:dyDescent="0.25">
      <c r="A10567" s="1" t="s">
        <v>21027</v>
      </c>
      <c r="B10567" s="1" t="str">
        <f>"9780309505420"</f>
        <v>9780309505420</v>
      </c>
      <c r="C10567" s="1" t="s">
        <v>20924</v>
      </c>
      <c r="D10567" s="2">
        <v>37685</v>
      </c>
      <c r="E10567" s="1" t="s">
        <v>21028</v>
      </c>
      <c r="F10567" s="1" t="s">
        <v>95</v>
      </c>
    </row>
    <row r="10568" spans="1:6" ht="30" customHeight="1" x14ac:dyDescent="0.25">
      <c r="A10568" s="1" t="s">
        <v>21029</v>
      </c>
      <c r="B10568" s="1" t="str">
        <f>"9780309516334"</f>
        <v>9780309516334</v>
      </c>
      <c r="C10568" s="1" t="s">
        <v>20924</v>
      </c>
      <c r="D10568" s="2">
        <v>36606</v>
      </c>
      <c r="E10568" s="1" t="s">
        <v>21030</v>
      </c>
      <c r="F10568" s="1" t="s">
        <v>33</v>
      </c>
    </row>
    <row r="10569" spans="1:6" ht="30" customHeight="1" x14ac:dyDescent="0.25">
      <c r="A10569" s="1" t="s">
        <v>21031</v>
      </c>
      <c r="B10569" s="1" t="str">
        <f>"9780309503624"</f>
        <v>9780309503624</v>
      </c>
      <c r="C10569" s="1" t="s">
        <v>20924</v>
      </c>
      <c r="D10569" s="2">
        <v>37606</v>
      </c>
      <c r="E10569" s="1" t="s">
        <v>21032</v>
      </c>
      <c r="F10569" s="1" t="s">
        <v>70</v>
      </c>
    </row>
    <row r="10570" spans="1:6" ht="30" customHeight="1" x14ac:dyDescent="0.25">
      <c r="A10570" s="1" t="s">
        <v>21033</v>
      </c>
      <c r="B10570" s="1" t="str">
        <f>"9780309515634"</f>
        <v>9780309515634</v>
      </c>
      <c r="C10570" s="1" t="s">
        <v>20924</v>
      </c>
      <c r="D10570" s="2">
        <v>36861</v>
      </c>
      <c r="E10570" s="1" t="s">
        <v>21034</v>
      </c>
      <c r="F10570" s="1" t="s">
        <v>148</v>
      </c>
    </row>
    <row r="10571" spans="1:6" ht="30" customHeight="1" x14ac:dyDescent="0.25">
      <c r="A10571" s="1" t="s">
        <v>21035</v>
      </c>
      <c r="B10571" s="1" t="str">
        <f>"9780309516631"</f>
        <v>9780309516631</v>
      </c>
      <c r="C10571" s="1" t="s">
        <v>20924</v>
      </c>
      <c r="D10571" s="2">
        <v>36861</v>
      </c>
      <c r="E10571" s="1" t="s">
        <v>21036</v>
      </c>
      <c r="F10571" s="1" t="s">
        <v>70</v>
      </c>
    </row>
    <row r="10572" spans="1:6" ht="30" customHeight="1" x14ac:dyDescent="0.25">
      <c r="A10572" s="1" t="s">
        <v>21037</v>
      </c>
      <c r="B10572" s="1" t="str">
        <f>"9780309558174"</f>
        <v>9780309558174</v>
      </c>
      <c r="C10572" s="1" t="s">
        <v>20924</v>
      </c>
      <c r="D10572" s="2">
        <v>36526</v>
      </c>
      <c r="E10572" s="1" t="s">
        <v>21038</v>
      </c>
      <c r="F10572" s="1" t="s">
        <v>30</v>
      </c>
    </row>
    <row r="10573" spans="1:6" ht="30" customHeight="1" x14ac:dyDescent="0.25">
      <c r="A10573" s="1" t="s">
        <v>21039</v>
      </c>
      <c r="B10573" s="1" t="str">
        <f>"9780309501095"</f>
        <v>9780309501095</v>
      </c>
      <c r="C10573" s="1" t="s">
        <v>20924</v>
      </c>
      <c r="D10573" s="2">
        <v>37483</v>
      </c>
      <c r="E10573" s="1" t="s">
        <v>21040</v>
      </c>
      <c r="F10573" s="1" t="s">
        <v>158</v>
      </c>
    </row>
    <row r="10574" spans="1:6" ht="30" customHeight="1" x14ac:dyDescent="0.25">
      <c r="A10574" s="1" t="s">
        <v>21041</v>
      </c>
      <c r="B10574" s="1" t="str">
        <f>"9780309558051"</f>
        <v>9780309558051</v>
      </c>
      <c r="C10574" s="1" t="s">
        <v>20924</v>
      </c>
      <c r="D10574" s="2">
        <v>36617</v>
      </c>
      <c r="E10574" s="1" t="s">
        <v>20956</v>
      </c>
      <c r="F10574" s="1" t="s">
        <v>13</v>
      </c>
    </row>
    <row r="10575" spans="1:6" ht="30" customHeight="1" x14ac:dyDescent="0.25">
      <c r="A10575" s="1" t="s">
        <v>21042</v>
      </c>
      <c r="B10575" s="1" t="str">
        <f>"9780309503440"</f>
        <v>9780309503440</v>
      </c>
      <c r="C10575" s="1" t="s">
        <v>20924</v>
      </c>
      <c r="D10575" s="2">
        <v>37559</v>
      </c>
      <c r="E10575" s="1" t="s">
        <v>21043</v>
      </c>
      <c r="F10575" s="1" t="s">
        <v>70</v>
      </c>
    </row>
    <row r="10576" spans="1:6" ht="30" customHeight="1" x14ac:dyDescent="0.25">
      <c r="A10576" s="1" t="s">
        <v>21044</v>
      </c>
      <c r="B10576" s="1" t="str">
        <f>"9780309513142"</f>
        <v>9780309513142</v>
      </c>
      <c r="C10576" s="1" t="s">
        <v>20924</v>
      </c>
      <c r="D10576" s="2">
        <v>36861</v>
      </c>
      <c r="E10576" s="1" t="s">
        <v>21045</v>
      </c>
      <c r="F10576" s="1" t="s">
        <v>13</v>
      </c>
    </row>
    <row r="10577" spans="1:6" ht="30" customHeight="1" x14ac:dyDescent="0.25">
      <c r="A10577" s="1" t="s">
        <v>21046</v>
      </c>
      <c r="B10577" s="1" t="str">
        <f>"9780309504768"</f>
        <v>9780309504768</v>
      </c>
      <c r="C10577" s="1" t="s">
        <v>20924</v>
      </c>
      <c r="D10577" s="2">
        <v>36754</v>
      </c>
      <c r="E10577" s="1" t="s">
        <v>21047</v>
      </c>
      <c r="F10577" s="1" t="s">
        <v>5288</v>
      </c>
    </row>
    <row r="10578" spans="1:6" ht="30" customHeight="1" x14ac:dyDescent="0.25">
      <c r="A10578" s="1" t="s">
        <v>21048</v>
      </c>
      <c r="B10578" s="1" t="str">
        <f>"9780309513487"</f>
        <v>9780309513487</v>
      </c>
      <c r="C10578" s="1" t="s">
        <v>20924</v>
      </c>
      <c r="D10578" s="2">
        <v>36829</v>
      </c>
      <c r="E10578" s="1" t="s">
        <v>21049</v>
      </c>
      <c r="F10578" s="1" t="s">
        <v>158</v>
      </c>
    </row>
    <row r="10579" spans="1:6" ht="30" customHeight="1" x14ac:dyDescent="0.25">
      <c r="A10579" s="1" t="s">
        <v>21050</v>
      </c>
      <c r="B10579" s="1" t="str">
        <f>"9780309510073"</f>
        <v>9780309510073</v>
      </c>
      <c r="C10579" s="1" t="s">
        <v>20924</v>
      </c>
      <c r="D10579" s="2">
        <v>37161</v>
      </c>
      <c r="E10579" s="1" t="s">
        <v>21051</v>
      </c>
      <c r="F10579" s="1" t="s">
        <v>95</v>
      </c>
    </row>
    <row r="10580" spans="1:6" ht="30" customHeight="1" x14ac:dyDescent="0.25">
      <c r="A10580" s="1" t="s">
        <v>21052</v>
      </c>
      <c r="B10580" s="1" t="str">
        <f>"9780309597197"</f>
        <v>9780309597197</v>
      </c>
      <c r="C10580" s="1" t="s">
        <v>20924</v>
      </c>
      <c r="D10580" s="2">
        <v>36526</v>
      </c>
      <c r="E10580" s="1" t="s">
        <v>21053</v>
      </c>
      <c r="F10580" s="1" t="s">
        <v>1152</v>
      </c>
    </row>
    <row r="10581" spans="1:6" ht="30" customHeight="1" x14ac:dyDescent="0.25">
      <c r="A10581" s="1" t="s">
        <v>21054</v>
      </c>
      <c r="B10581" s="1" t="str">
        <f>"9780309514170"</f>
        <v>9780309514170</v>
      </c>
      <c r="C10581" s="1" t="s">
        <v>20924</v>
      </c>
      <c r="D10581" s="2">
        <v>36290</v>
      </c>
      <c r="E10581" s="1" t="s">
        <v>21055</v>
      </c>
      <c r="F10581" s="1" t="s">
        <v>148</v>
      </c>
    </row>
    <row r="10582" spans="1:6" ht="30" customHeight="1" x14ac:dyDescent="0.25">
      <c r="A10582" s="1" t="s">
        <v>21056</v>
      </c>
      <c r="B10582" s="1" t="str">
        <f>"9780309504409"</f>
        <v>9780309504409</v>
      </c>
      <c r="C10582" s="1" t="s">
        <v>20924</v>
      </c>
      <c r="D10582" s="2">
        <v>37700</v>
      </c>
      <c r="E10582" s="1" t="s">
        <v>21057</v>
      </c>
      <c r="F10582" s="1" t="s">
        <v>214</v>
      </c>
    </row>
    <row r="10583" spans="1:6" ht="30" customHeight="1" x14ac:dyDescent="0.25">
      <c r="A10583" s="1" t="s">
        <v>21058</v>
      </c>
      <c r="B10583" s="1" t="str">
        <f>"9780309510790"</f>
        <v>9780309510790</v>
      </c>
      <c r="C10583" s="1" t="s">
        <v>20924</v>
      </c>
      <c r="D10583" s="2">
        <v>37133</v>
      </c>
      <c r="E10583" s="1" t="s">
        <v>21059</v>
      </c>
      <c r="F10583" s="1" t="s">
        <v>13</v>
      </c>
    </row>
    <row r="10584" spans="1:6" ht="30" customHeight="1" x14ac:dyDescent="0.25">
      <c r="A10584" s="1" t="s">
        <v>21060</v>
      </c>
      <c r="B10584" s="1" t="str">
        <f>"9780309501767"</f>
        <v>9780309501767</v>
      </c>
      <c r="C10584" s="1" t="s">
        <v>20924</v>
      </c>
      <c r="D10584" s="2">
        <v>36851</v>
      </c>
      <c r="E10584" s="1" t="s">
        <v>21061</v>
      </c>
      <c r="F10584" s="1" t="s">
        <v>214</v>
      </c>
    </row>
    <row r="10585" spans="1:6" ht="30" customHeight="1" x14ac:dyDescent="0.25">
      <c r="A10585" s="1" t="s">
        <v>21062</v>
      </c>
      <c r="B10585" s="1" t="str">
        <f>"9780309505789"</f>
        <v>9780309505789</v>
      </c>
      <c r="C10585" s="1" t="s">
        <v>20924</v>
      </c>
      <c r="D10585" s="2">
        <v>37711</v>
      </c>
      <c r="E10585" s="1" t="s">
        <v>21063</v>
      </c>
      <c r="F10585" s="1" t="s">
        <v>21064</v>
      </c>
    </row>
    <row r="10586" spans="1:6" ht="30" customHeight="1" x14ac:dyDescent="0.25">
      <c r="A10586" s="1" t="s">
        <v>21065</v>
      </c>
      <c r="B10586" s="1" t="str">
        <f>"9780309504737"</f>
        <v>9780309504737</v>
      </c>
      <c r="C10586" s="1" t="s">
        <v>20924</v>
      </c>
      <c r="D10586" s="2">
        <v>36972</v>
      </c>
      <c r="E10586" s="1" t="s">
        <v>21066</v>
      </c>
      <c r="F10586" s="1" t="s">
        <v>30</v>
      </c>
    </row>
    <row r="10587" spans="1:6" ht="30" customHeight="1" x14ac:dyDescent="0.25">
      <c r="A10587" s="1" t="s">
        <v>21067</v>
      </c>
      <c r="B10587" s="1" t="str">
        <f>"9780309501361"</f>
        <v>9780309501361</v>
      </c>
      <c r="C10587" s="1" t="s">
        <v>20924</v>
      </c>
      <c r="D10587" s="2">
        <v>36843</v>
      </c>
      <c r="E10587" s="1" t="s">
        <v>21068</v>
      </c>
      <c r="F10587" s="1" t="s">
        <v>33</v>
      </c>
    </row>
    <row r="10588" spans="1:6" ht="30" customHeight="1" x14ac:dyDescent="0.25">
      <c r="A10588" s="1" t="s">
        <v>21069</v>
      </c>
      <c r="B10588" s="1" t="str">
        <f>"9780309501859"</f>
        <v>9780309501859</v>
      </c>
      <c r="C10588" s="1" t="s">
        <v>20924</v>
      </c>
      <c r="D10588" s="2">
        <v>36747</v>
      </c>
      <c r="E10588" s="1" t="s">
        <v>21070</v>
      </c>
      <c r="F10588" s="1" t="s">
        <v>13</v>
      </c>
    </row>
    <row r="10589" spans="1:6" ht="30" customHeight="1" x14ac:dyDescent="0.25">
      <c r="A10589" s="1" t="s">
        <v>21071</v>
      </c>
      <c r="B10589" s="1" t="str">
        <f>"9780309507646"</f>
        <v>9780309507646</v>
      </c>
      <c r="C10589" s="1" t="s">
        <v>20924</v>
      </c>
      <c r="D10589" s="2">
        <v>37740</v>
      </c>
      <c r="E10589" s="1" t="s">
        <v>21072</v>
      </c>
      <c r="F10589" s="1" t="s">
        <v>95</v>
      </c>
    </row>
    <row r="10590" spans="1:6" ht="30" customHeight="1" x14ac:dyDescent="0.25">
      <c r="A10590" s="1" t="s">
        <v>21073</v>
      </c>
      <c r="B10590" s="1" t="str">
        <f>"9780309511186"</f>
        <v>9780309511186</v>
      </c>
      <c r="C10590" s="1" t="s">
        <v>20924</v>
      </c>
      <c r="D10590" s="2">
        <v>37057</v>
      </c>
      <c r="E10590" s="1" t="s">
        <v>21074</v>
      </c>
      <c r="F10590" s="1" t="s">
        <v>13</v>
      </c>
    </row>
    <row r="10591" spans="1:6" ht="30" customHeight="1" x14ac:dyDescent="0.25">
      <c r="A10591" s="1" t="s">
        <v>21075</v>
      </c>
      <c r="B10591" s="1" t="str">
        <f>"9780309506199"</f>
        <v>9780309506199</v>
      </c>
      <c r="C10591" s="1" t="s">
        <v>20924</v>
      </c>
      <c r="D10591" s="2">
        <v>37748</v>
      </c>
      <c r="E10591" s="1" t="s">
        <v>21076</v>
      </c>
      <c r="F10591" s="1" t="s">
        <v>13</v>
      </c>
    </row>
    <row r="10592" spans="1:6" ht="30" customHeight="1" x14ac:dyDescent="0.25">
      <c r="A10592" s="1" t="s">
        <v>21077</v>
      </c>
      <c r="B10592" s="1" t="str">
        <f>"9780309517027"</f>
        <v>9780309517027</v>
      </c>
      <c r="C10592" s="1" t="s">
        <v>20924</v>
      </c>
      <c r="D10592" s="2">
        <v>37189</v>
      </c>
      <c r="E10592" s="1" t="s">
        <v>21078</v>
      </c>
      <c r="F10592" s="1" t="s">
        <v>30</v>
      </c>
    </row>
    <row r="10593" spans="1:6" ht="30" customHeight="1" x14ac:dyDescent="0.25">
      <c r="A10593" s="1" t="s">
        <v>21079</v>
      </c>
      <c r="B10593" s="1" t="str">
        <f>"9780309501330"</f>
        <v>9780309501330</v>
      </c>
      <c r="C10593" s="1" t="s">
        <v>20924</v>
      </c>
      <c r="D10593" s="2">
        <v>36769</v>
      </c>
      <c r="E10593" s="1" t="s">
        <v>21080</v>
      </c>
      <c r="F10593" s="1" t="s">
        <v>114</v>
      </c>
    </row>
    <row r="10594" spans="1:6" ht="30" customHeight="1" x14ac:dyDescent="0.25">
      <c r="A10594" s="1" t="s">
        <v>21081</v>
      </c>
      <c r="B10594" s="1" t="str">
        <f>"9780309512022"</f>
        <v>9780309512022</v>
      </c>
      <c r="C10594" s="1" t="s">
        <v>20924</v>
      </c>
      <c r="D10594" s="2">
        <v>37040</v>
      </c>
      <c r="E10594" s="1" t="s">
        <v>21082</v>
      </c>
      <c r="F10594" s="1" t="s">
        <v>176</v>
      </c>
    </row>
    <row r="10595" spans="1:6" ht="30" customHeight="1" x14ac:dyDescent="0.25">
      <c r="A10595" s="1" t="s">
        <v>21083</v>
      </c>
      <c r="B10595" s="1" t="str">
        <f>"9780309511544"</f>
        <v>9780309511544</v>
      </c>
      <c r="C10595" s="1" t="s">
        <v>20924</v>
      </c>
      <c r="D10595" s="2">
        <v>36929</v>
      </c>
      <c r="E10595" s="1" t="s">
        <v>21084</v>
      </c>
      <c r="F10595" s="1" t="s">
        <v>30</v>
      </c>
    </row>
    <row r="10596" spans="1:6" ht="30" customHeight="1" x14ac:dyDescent="0.25">
      <c r="A10596" s="1" t="s">
        <v>21085</v>
      </c>
      <c r="B10596" s="1" t="str">
        <f>"9780309514088"</f>
        <v>9780309514088</v>
      </c>
      <c r="C10596" s="1" t="s">
        <v>20924</v>
      </c>
      <c r="D10596" s="2">
        <v>36315</v>
      </c>
      <c r="E10596" s="1" t="s">
        <v>21086</v>
      </c>
      <c r="F10596" s="1" t="s">
        <v>137</v>
      </c>
    </row>
    <row r="10597" spans="1:6" ht="30" customHeight="1" x14ac:dyDescent="0.25">
      <c r="A10597" s="1" t="s">
        <v>21087</v>
      </c>
      <c r="B10597" s="1" t="str">
        <f>"9780309505062"</f>
        <v>9780309505062</v>
      </c>
      <c r="C10597" s="1" t="s">
        <v>20924</v>
      </c>
      <c r="D10597" s="2">
        <v>37477</v>
      </c>
      <c r="E10597" s="1" t="s">
        <v>21088</v>
      </c>
      <c r="F10597" s="1" t="s">
        <v>13</v>
      </c>
    </row>
    <row r="10598" spans="1:6" ht="30" customHeight="1" x14ac:dyDescent="0.25">
      <c r="A10598" s="1" t="s">
        <v>21089</v>
      </c>
      <c r="B10598" s="1" t="str">
        <f>"9780309513814"</f>
        <v>9780309513814</v>
      </c>
      <c r="C10598" s="1" t="s">
        <v>20924</v>
      </c>
      <c r="D10598" s="2">
        <v>36749</v>
      </c>
      <c r="E10598" s="1" t="s">
        <v>21090</v>
      </c>
      <c r="F10598" s="1" t="s">
        <v>2229</v>
      </c>
    </row>
    <row r="10599" spans="1:6" ht="30" customHeight="1" x14ac:dyDescent="0.25">
      <c r="A10599" s="1" t="s">
        <v>21091</v>
      </c>
      <c r="B10599" s="1" t="str">
        <f>"9780309557870"</f>
        <v>9780309557870</v>
      </c>
      <c r="C10599" s="1" t="s">
        <v>20924</v>
      </c>
      <c r="D10599" s="2">
        <v>37057</v>
      </c>
      <c r="E10599" s="1" t="s">
        <v>21092</v>
      </c>
      <c r="F10599" s="1" t="s">
        <v>33</v>
      </c>
    </row>
    <row r="10600" spans="1:6" ht="30" customHeight="1" x14ac:dyDescent="0.25">
      <c r="A10600" s="1" t="s">
        <v>21093</v>
      </c>
      <c r="B10600" s="1" t="str">
        <f>"9780309507523"</f>
        <v>9780309507523</v>
      </c>
      <c r="C10600" s="1" t="s">
        <v>20924</v>
      </c>
      <c r="D10600" s="2">
        <v>37714</v>
      </c>
      <c r="E10600" s="1" t="s">
        <v>21094</v>
      </c>
      <c r="F10600" s="1" t="s">
        <v>13</v>
      </c>
    </row>
    <row r="10601" spans="1:6" ht="30" customHeight="1" x14ac:dyDescent="0.25">
      <c r="A10601" s="1" t="s">
        <v>21095</v>
      </c>
      <c r="B10601" s="1" t="str">
        <f>"9780309518048"</f>
        <v>9780309518048</v>
      </c>
      <c r="C10601" s="1" t="s">
        <v>20924</v>
      </c>
      <c r="D10601" s="2">
        <v>36250</v>
      </c>
      <c r="E10601" s="1" t="s">
        <v>21096</v>
      </c>
      <c r="F10601" s="1" t="s">
        <v>30</v>
      </c>
    </row>
    <row r="10602" spans="1:6" ht="30" customHeight="1" x14ac:dyDescent="0.25">
      <c r="A10602" s="1" t="s">
        <v>21097</v>
      </c>
      <c r="B10602" s="1" t="str">
        <f>"9780309520218"</f>
        <v>9780309520218</v>
      </c>
      <c r="C10602" s="1" t="s">
        <v>20924</v>
      </c>
      <c r="D10602" s="2">
        <v>36586</v>
      </c>
      <c r="E10602" s="1" t="s">
        <v>21098</v>
      </c>
      <c r="F10602" s="1" t="s">
        <v>13</v>
      </c>
    </row>
    <row r="10603" spans="1:6" ht="30" customHeight="1" x14ac:dyDescent="0.25">
      <c r="A10603" s="1" t="s">
        <v>21099</v>
      </c>
      <c r="B10603" s="1" t="str">
        <f>"9780309524742"</f>
        <v>9780309524742</v>
      </c>
      <c r="C10603" s="1" t="s">
        <v>20924</v>
      </c>
      <c r="D10603" s="2">
        <v>36335</v>
      </c>
      <c r="E10603" s="1" t="s">
        <v>21100</v>
      </c>
      <c r="F10603" s="1" t="s">
        <v>70</v>
      </c>
    </row>
    <row r="10604" spans="1:6" ht="30" customHeight="1" x14ac:dyDescent="0.25">
      <c r="A10604" s="1" t="s">
        <v>21101</v>
      </c>
      <c r="B10604" s="1" t="str">
        <f>"9780309518253"</f>
        <v>9780309518253</v>
      </c>
      <c r="C10604" s="1" t="s">
        <v>20924</v>
      </c>
      <c r="D10604" s="2">
        <v>35674</v>
      </c>
      <c r="E10604" s="1" t="s">
        <v>21102</v>
      </c>
      <c r="F10604" s="1" t="s">
        <v>148</v>
      </c>
    </row>
    <row r="10605" spans="1:6" ht="30" customHeight="1" x14ac:dyDescent="0.25">
      <c r="A10605" s="1" t="s">
        <v>21103</v>
      </c>
      <c r="B10605" s="1" t="str">
        <f>"9780309519311"</f>
        <v>9780309519311</v>
      </c>
      <c r="C10605" s="1" t="s">
        <v>20924</v>
      </c>
      <c r="D10605" s="2">
        <v>36526</v>
      </c>
      <c r="E10605" s="1" t="s">
        <v>21104</v>
      </c>
      <c r="F10605" s="1" t="s">
        <v>13</v>
      </c>
    </row>
    <row r="10606" spans="1:6" ht="30" customHeight="1" x14ac:dyDescent="0.25">
      <c r="A10606" s="1" t="s">
        <v>21105</v>
      </c>
      <c r="B10606" s="1" t="str">
        <f>"9780309520249"</f>
        <v>9780309520249</v>
      </c>
      <c r="C10606" s="1" t="s">
        <v>20924</v>
      </c>
      <c r="D10606" s="2">
        <v>36342</v>
      </c>
      <c r="E10606" s="1" t="s">
        <v>21106</v>
      </c>
      <c r="F10606" s="1" t="s">
        <v>137</v>
      </c>
    </row>
    <row r="10607" spans="1:6" ht="30" customHeight="1" x14ac:dyDescent="0.25">
      <c r="A10607" s="1" t="s">
        <v>21107</v>
      </c>
      <c r="B10607" s="1" t="str">
        <f>"9780309558495"</f>
        <v>9780309558495</v>
      </c>
      <c r="C10607" s="1" t="s">
        <v>20924</v>
      </c>
      <c r="D10607" s="2">
        <v>36104</v>
      </c>
      <c r="E10607" s="1" t="s">
        <v>21108</v>
      </c>
      <c r="F10607" s="1" t="s">
        <v>21109</v>
      </c>
    </row>
    <row r="10608" spans="1:6" ht="30" customHeight="1" x14ac:dyDescent="0.25">
      <c r="A10608" s="1" t="s">
        <v>21110</v>
      </c>
      <c r="B10608" s="1" t="str">
        <f>"9780309517775"</f>
        <v>9780309517775</v>
      </c>
      <c r="C10608" s="1" t="s">
        <v>20924</v>
      </c>
      <c r="D10608" s="2">
        <v>35916</v>
      </c>
      <c r="E10608" s="1" t="s">
        <v>21111</v>
      </c>
      <c r="F10608" s="1" t="s">
        <v>70</v>
      </c>
    </row>
    <row r="10609" spans="1:6" ht="30" customHeight="1" x14ac:dyDescent="0.25">
      <c r="A10609" s="1" t="s">
        <v>21112</v>
      </c>
      <c r="B10609" s="1" t="str">
        <f>"9780309521307"</f>
        <v>9780309521307</v>
      </c>
      <c r="C10609" s="1" t="s">
        <v>20924</v>
      </c>
      <c r="D10609" s="2">
        <v>35765</v>
      </c>
      <c r="E10609" s="1" t="s">
        <v>21113</v>
      </c>
      <c r="F10609" s="1" t="s">
        <v>200</v>
      </c>
    </row>
    <row r="10610" spans="1:6" ht="30" customHeight="1" x14ac:dyDescent="0.25">
      <c r="A10610" s="1" t="s">
        <v>21114</v>
      </c>
      <c r="B10610" s="1" t="str">
        <f>"9780309519793"</f>
        <v>9780309519793</v>
      </c>
      <c r="C10610" s="1" t="s">
        <v>20924</v>
      </c>
      <c r="D10610" s="2">
        <v>36018</v>
      </c>
      <c r="E10610" s="1" t="s">
        <v>21115</v>
      </c>
      <c r="F10610" s="1" t="s">
        <v>158</v>
      </c>
    </row>
    <row r="10611" spans="1:6" ht="30" customHeight="1" x14ac:dyDescent="0.25">
      <c r="A10611" s="1" t="s">
        <v>21116</v>
      </c>
      <c r="B10611" s="1" t="str">
        <f>"9780309520034"</f>
        <v>9780309520034</v>
      </c>
      <c r="C10611" s="1" t="s">
        <v>20924</v>
      </c>
      <c r="D10611" s="2">
        <v>36361</v>
      </c>
      <c r="E10611" s="1" t="s">
        <v>21117</v>
      </c>
      <c r="F10611" s="1" t="s">
        <v>291</v>
      </c>
    </row>
    <row r="10612" spans="1:6" ht="30" customHeight="1" x14ac:dyDescent="0.25">
      <c r="A10612" s="1" t="s">
        <v>21118</v>
      </c>
      <c r="B10612" s="1" t="str">
        <f>"9780309519823"</f>
        <v>9780309519823</v>
      </c>
      <c r="C10612" s="1" t="s">
        <v>20924</v>
      </c>
      <c r="D10612" s="2">
        <v>36285</v>
      </c>
      <c r="E10612" s="1" t="s">
        <v>21119</v>
      </c>
      <c r="F10612" s="1" t="s">
        <v>33</v>
      </c>
    </row>
    <row r="10613" spans="1:6" ht="30" customHeight="1" x14ac:dyDescent="0.25">
      <c r="A10613" s="1" t="s">
        <v>21120</v>
      </c>
      <c r="B10613" s="1" t="str">
        <f>"9780309558549"</f>
        <v>9780309558549</v>
      </c>
      <c r="C10613" s="1" t="s">
        <v>20924</v>
      </c>
      <c r="D10613" s="2">
        <v>36495</v>
      </c>
      <c r="E10613" s="1" t="s">
        <v>21121</v>
      </c>
      <c r="F10613" s="1" t="s">
        <v>13</v>
      </c>
    </row>
    <row r="10614" spans="1:6" ht="30" customHeight="1" x14ac:dyDescent="0.25">
      <c r="A10614" s="1" t="s">
        <v>21122</v>
      </c>
      <c r="B10614" s="1" t="str">
        <f>"9780309597258"</f>
        <v>9780309597258</v>
      </c>
      <c r="C10614" s="1" t="s">
        <v>20924</v>
      </c>
      <c r="D10614" s="2">
        <v>36526</v>
      </c>
      <c r="E10614" s="1" t="s">
        <v>21123</v>
      </c>
      <c r="F10614" s="1" t="s">
        <v>650</v>
      </c>
    </row>
    <row r="10615" spans="1:6" ht="30" customHeight="1" x14ac:dyDescent="0.25">
      <c r="A10615" s="1" t="s">
        <v>21124</v>
      </c>
      <c r="B10615" s="1" t="str">
        <f>"9780309518611"</f>
        <v>9780309518611</v>
      </c>
      <c r="C10615" s="1" t="s">
        <v>20924</v>
      </c>
      <c r="D10615" s="2">
        <v>36640</v>
      </c>
      <c r="E10615" s="1" t="s">
        <v>21125</v>
      </c>
      <c r="F10615" s="1" t="s">
        <v>95</v>
      </c>
    </row>
    <row r="10616" spans="1:6" ht="30" customHeight="1" x14ac:dyDescent="0.25">
      <c r="A10616" s="1" t="s">
        <v>21126</v>
      </c>
      <c r="B10616" s="1" t="str">
        <f>"9780309558525"</f>
        <v>9780309558525</v>
      </c>
      <c r="C10616" s="1" t="s">
        <v>20924</v>
      </c>
      <c r="D10616" s="2">
        <v>36130</v>
      </c>
      <c r="E10616" s="1" t="s">
        <v>21127</v>
      </c>
      <c r="F10616" s="1" t="s">
        <v>13</v>
      </c>
    </row>
    <row r="10617" spans="1:6" ht="30" customHeight="1" x14ac:dyDescent="0.25">
      <c r="A10617" s="1" t="s">
        <v>21128</v>
      </c>
      <c r="B10617" s="1" t="str">
        <f>"9780309524681"</f>
        <v>9780309524681</v>
      </c>
      <c r="C10617" s="1" t="s">
        <v>20924</v>
      </c>
      <c r="D10617" s="2">
        <v>36510</v>
      </c>
      <c r="E10617" s="1" t="s">
        <v>20956</v>
      </c>
      <c r="F10617" s="1" t="s">
        <v>30</v>
      </c>
    </row>
    <row r="10618" spans="1:6" ht="30" customHeight="1" x14ac:dyDescent="0.25">
      <c r="A10618" s="1" t="s">
        <v>21129</v>
      </c>
      <c r="B10618" s="1" t="str">
        <f>"9780309520966"</f>
        <v>9780309520966</v>
      </c>
      <c r="C10618" s="1" t="s">
        <v>20924</v>
      </c>
      <c r="D10618" s="2">
        <v>36100</v>
      </c>
      <c r="E10618" s="1" t="s">
        <v>21100</v>
      </c>
      <c r="F10618" s="1" t="s">
        <v>21</v>
      </c>
    </row>
    <row r="10619" spans="1:6" ht="30" customHeight="1" x14ac:dyDescent="0.25">
      <c r="A10619" s="1" t="s">
        <v>21130</v>
      </c>
      <c r="B10619" s="1" t="str">
        <f>"9780309520546"</f>
        <v>9780309520546</v>
      </c>
      <c r="C10619" s="1" t="s">
        <v>20924</v>
      </c>
      <c r="D10619" s="2">
        <v>36095</v>
      </c>
      <c r="E10619" s="1" t="s">
        <v>21131</v>
      </c>
      <c r="F10619" s="1" t="s">
        <v>214</v>
      </c>
    </row>
    <row r="10620" spans="1:6" ht="30" customHeight="1" x14ac:dyDescent="0.25">
      <c r="A10620" s="1" t="s">
        <v>21132</v>
      </c>
      <c r="B10620" s="1" t="str">
        <f>"9780309519885"</f>
        <v>9780309519885</v>
      </c>
      <c r="C10620" s="1" t="s">
        <v>20924</v>
      </c>
      <c r="D10620" s="2">
        <v>36375</v>
      </c>
      <c r="E10620" s="1" t="s">
        <v>21133</v>
      </c>
      <c r="F10620" s="1" t="s">
        <v>13</v>
      </c>
    </row>
    <row r="10621" spans="1:6" ht="30" customHeight="1" x14ac:dyDescent="0.25">
      <c r="A10621" s="1" t="s">
        <v>21134</v>
      </c>
      <c r="B10621" s="1" t="str">
        <f>"9780309518796"</f>
        <v>9780309518796</v>
      </c>
      <c r="C10621" s="1" t="s">
        <v>20924</v>
      </c>
      <c r="D10621" s="2">
        <v>36362</v>
      </c>
      <c r="E10621" s="1" t="s">
        <v>21135</v>
      </c>
      <c r="F10621" s="1" t="s">
        <v>95</v>
      </c>
    </row>
    <row r="10622" spans="1:6" ht="30" customHeight="1" x14ac:dyDescent="0.25">
      <c r="A10622" s="1" t="s">
        <v>21136</v>
      </c>
      <c r="B10622" s="1" t="str">
        <f>"9780309518222"</f>
        <v>9780309518222</v>
      </c>
      <c r="C10622" s="1" t="s">
        <v>20924</v>
      </c>
      <c r="D10622" s="2">
        <v>35643</v>
      </c>
      <c r="E10622" s="1" t="s">
        <v>21137</v>
      </c>
      <c r="F10622" s="1" t="s">
        <v>148</v>
      </c>
    </row>
    <row r="10623" spans="1:6" ht="30" customHeight="1" x14ac:dyDescent="0.25">
      <c r="A10623" s="1" t="s">
        <v>21138</v>
      </c>
      <c r="B10623" s="1" t="str">
        <f>"9780309524292"</f>
        <v>9780309524292</v>
      </c>
      <c r="C10623" s="1" t="s">
        <v>20924</v>
      </c>
      <c r="D10623" s="2">
        <v>35462</v>
      </c>
      <c r="E10623" s="1" t="s">
        <v>21139</v>
      </c>
      <c r="F10623" s="1" t="s">
        <v>13</v>
      </c>
    </row>
    <row r="10624" spans="1:6" ht="30" customHeight="1" x14ac:dyDescent="0.25">
      <c r="A10624" s="1" t="s">
        <v>21140</v>
      </c>
      <c r="B10624" s="1" t="str">
        <f>"9780309523141"</f>
        <v>9780309523141</v>
      </c>
      <c r="C10624" s="1" t="s">
        <v>20924</v>
      </c>
      <c r="D10624" s="2">
        <v>36203</v>
      </c>
      <c r="E10624" s="1" t="s">
        <v>20956</v>
      </c>
      <c r="F10624" s="1" t="s">
        <v>21141</v>
      </c>
    </row>
    <row r="10625" spans="1:6" ht="30" customHeight="1" x14ac:dyDescent="0.25">
      <c r="A10625" s="1" t="s">
        <v>21142</v>
      </c>
      <c r="B10625" s="1" t="str">
        <f>"9780309520096"</f>
        <v>9780309520096</v>
      </c>
      <c r="C10625" s="1" t="s">
        <v>20924</v>
      </c>
      <c r="D10625" s="2">
        <v>35508</v>
      </c>
      <c r="E10625" s="1" t="s">
        <v>21143</v>
      </c>
      <c r="F10625" s="1" t="s">
        <v>30</v>
      </c>
    </row>
    <row r="10626" spans="1:6" ht="30" customHeight="1" x14ac:dyDescent="0.25">
      <c r="A10626" s="1" t="s">
        <v>21144</v>
      </c>
      <c r="B10626" s="1" t="str">
        <f>"9780309520782"</f>
        <v>9780309520782</v>
      </c>
      <c r="C10626" s="1" t="s">
        <v>20924</v>
      </c>
      <c r="D10626" s="2">
        <v>35339</v>
      </c>
      <c r="E10626" s="1" t="s">
        <v>21145</v>
      </c>
      <c r="F10626" s="1" t="s">
        <v>33</v>
      </c>
    </row>
    <row r="10627" spans="1:6" ht="30" customHeight="1" x14ac:dyDescent="0.25">
      <c r="A10627" s="1" t="s">
        <v>21146</v>
      </c>
      <c r="B10627" s="1" t="str">
        <f>"9780309523387"</f>
        <v>9780309523387</v>
      </c>
      <c r="C10627" s="1" t="s">
        <v>20924</v>
      </c>
      <c r="D10627" s="2">
        <v>35366</v>
      </c>
      <c r="E10627" s="1" t="s">
        <v>21147</v>
      </c>
      <c r="F10627" s="1" t="s">
        <v>30</v>
      </c>
    </row>
    <row r="10628" spans="1:6" ht="30" customHeight="1" x14ac:dyDescent="0.25">
      <c r="A10628" s="1" t="s">
        <v>21148</v>
      </c>
      <c r="B10628" s="1" t="str">
        <f>"9780309524254"</f>
        <v>9780309524254</v>
      </c>
      <c r="C10628" s="1" t="s">
        <v>20924</v>
      </c>
      <c r="D10628" s="2">
        <v>35590</v>
      </c>
      <c r="E10628" s="1" t="s">
        <v>21149</v>
      </c>
      <c r="F10628" s="1" t="s">
        <v>1469</v>
      </c>
    </row>
    <row r="10629" spans="1:6" ht="30" customHeight="1" x14ac:dyDescent="0.25">
      <c r="A10629" s="1" t="s">
        <v>21150</v>
      </c>
      <c r="B10629" s="1" t="str">
        <f>"9780309523325"</f>
        <v>9780309523325</v>
      </c>
      <c r="C10629" s="1" t="s">
        <v>20924</v>
      </c>
      <c r="D10629" s="2">
        <v>35367</v>
      </c>
      <c r="E10629" s="1" t="s">
        <v>21151</v>
      </c>
      <c r="F10629" s="1" t="s">
        <v>176</v>
      </c>
    </row>
    <row r="10630" spans="1:6" ht="30" customHeight="1" x14ac:dyDescent="0.25">
      <c r="A10630" s="1" t="s">
        <v>21152</v>
      </c>
      <c r="B10630" s="1" t="str">
        <f>"9780309524537"</f>
        <v>9780309524537</v>
      </c>
      <c r="C10630" s="1" t="s">
        <v>20924</v>
      </c>
      <c r="D10630" s="2">
        <v>35607</v>
      </c>
      <c r="E10630" s="1" t="s">
        <v>21153</v>
      </c>
      <c r="F10630" s="1" t="s">
        <v>33</v>
      </c>
    </row>
    <row r="10631" spans="1:6" ht="30" customHeight="1" x14ac:dyDescent="0.25">
      <c r="A10631" s="1" t="s">
        <v>21154</v>
      </c>
      <c r="B10631" s="1" t="str">
        <f>"9780309522489"</f>
        <v>9780309522489</v>
      </c>
      <c r="C10631" s="1" t="s">
        <v>20924</v>
      </c>
      <c r="D10631" s="2">
        <v>36297</v>
      </c>
      <c r="E10631" s="1" t="s">
        <v>21155</v>
      </c>
      <c r="F10631" s="1" t="s">
        <v>95</v>
      </c>
    </row>
    <row r="10632" spans="1:6" ht="30" customHeight="1" x14ac:dyDescent="0.25">
      <c r="A10632" s="1" t="s">
        <v>21156</v>
      </c>
      <c r="B10632" s="1" t="str">
        <f>"9780309520393"</f>
        <v>9780309520393</v>
      </c>
      <c r="C10632" s="1" t="s">
        <v>20924</v>
      </c>
      <c r="D10632" s="2">
        <v>35590</v>
      </c>
      <c r="E10632" s="1" t="s">
        <v>21157</v>
      </c>
      <c r="F10632" s="1" t="s">
        <v>599</v>
      </c>
    </row>
    <row r="10633" spans="1:6" ht="30" customHeight="1" x14ac:dyDescent="0.25">
      <c r="A10633" s="1" t="s">
        <v>21158</v>
      </c>
      <c r="B10633" s="1" t="str">
        <f>"9780309523950"</f>
        <v>9780309523950</v>
      </c>
      <c r="C10633" s="1" t="s">
        <v>20924</v>
      </c>
      <c r="D10633" s="2">
        <v>36291</v>
      </c>
      <c r="E10633" s="1" t="s">
        <v>21159</v>
      </c>
      <c r="F10633" s="1" t="s">
        <v>95</v>
      </c>
    </row>
    <row r="10634" spans="1:6" ht="30" customHeight="1" x14ac:dyDescent="0.25">
      <c r="A10634" s="1" t="s">
        <v>21160</v>
      </c>
      <c r="B10634" s="1" t="str">
        <f>"9780309523684"</f>
        <v>9780309523684</v>
      </c>
      <c r="C10634" s="1" t="s">
        <v>20924</v>
      </c>
      <c r="D10634" s="2">
        <v>35541</v>
      </c>
      <c r="E10634" s="1" t="s">
        <v>21161</v>
      </c>
      <c r="F10634" s="1" t="s">
        <v>70</v>
      </c>
    </row>
    <row r="10635" spans="1:6" ht="30" customHeight="1" x14ac:dyDescent="0.25">
      <c r="A10635" s="1" t="s">
        <v>21162</v>
      </c>
      <c r="B10635" s="1" t="str">
        <f>"9780309523448"</f>
        <v>9780309523448</v>
      </c>
      <c r="C10635" s="1" t="s">
        <v>20924</v>
      </c>
      <c r="D10635" s="2">
        <v>35356</v>
      </c>
      <c r="E10635" s="1" t="s">
        <v>21163</v>
      </c>
      <c r="F10635" s="1" t="s">
        <v>95</v>
      </c>
    </row>
    <row r="10636" spans="1:6" ht="30" customHeight="1" x14ac:dyDescent="0.25">
      <c r="A10636" s="1" t="s">
        <v>21164</v>
      </c>
      <c r="B10636" s="1" t="str">
        <f>"9780309523714"</f>
        <v>9780309523714</v>
      </c>
      <c r="C10636" s="1" t="s">
        <v>20924</v>
      </c>
      <c r="D10636" s="2">
        <v>35613</v>
      </c>
      <c r="E10636" s="1" t="s">
        <v>21165</v>
      </c>
      <c r="F10636" s="1" t="s">
        <v>114</v>
      </c>
    </row>
    <row r="10637" spans="1:6" ht="30" customHeight="1" x14ac:dyDescent="0.25">
      <c r="A10637" s="1" t="s">
        <v>21166</v>
      </c>
      <c r="B10637" s="1" t="str">
        <f>"9780309558433"</f>
        <v>9780309558433</v>
      </c>
      <c r="C10637" s="1" t="s">
        <v>20924</v>
      </c>
      <c r="D10637" s="2">
        <v>35765</v>
      </c>
      <c r="E10637" s="1" t="s">
        <v>21167</v>
      </c>
      <c r="F10637" s="1" t="s">
        <v>650</v>
      </c>
    </row>
    <row r="10638" spans="1:6" ht="30" customHeight="1" x14ac:dyDescent="0.25">
      <c r="A10638" s="1" t="s">
        <v>21168</v>
      </c>
      <c r="B10638" s="1" t="str">
        <f>"9780309525138"</f>
        <v>9780309525138</v>
      </c>
      <c r="C10638" s="1" t="s">
        <v>20924</v>
      </c>
      <c r="D10638" s="2">
        <v>36116</v>
      </c>
      <c r="E10638" s="1" t="s">
        <v>21169</v>
      </c>
      <c r="F10638" s="1" t="s">
        <v>13</v>
      </c>
    </row>
    <row r="10639" spans="1:6" ht="30" customHeight="1" x14ac:dyDescent="0.25">
      <c r="A10639" s="1" t="s">
        <v>21170</v>
      </c>
      <c r="B10639" s="1" t="str">
        <f>"9780309521369"</f>
        <v>9780309521369</v>
      </c>
      <c r="C10639" s="1" t="s">
        <v>20924</v>
      </c>
      <c r="D10639" s="2">
        <v>34759</v>
      </c>
      <c r="E10639" s="1" t="s">
        <v>21171</v>
      </c>
      <c r="F10639" s="1" t="s">
        <v>2243</v>
      </c>
    </row>
    <row r="10640" spans="1:6" ht="30" customHeight="1" x14ac:dyDescent="0.25">
      <c r="A10640" s="1" t="s">
        <v>21172</v>
      </c>
      <c r="B10640" s="1" t="str">
        <f>"9780309558648"</f>
        <v>9780309558648</v>
      </c>
      <c r="C10640" s="1" t="s">
        <v>20924</v>
      </c>
      <c r="D10640" s="2">
        <v>35885</v>
      </c>
      <c r="E10640" s="1" t="s">
        <v>21173</v>
      </c>
      <c r="F10640" s="1" t="s">
        <v>158</v>
      </c>
    </row>
    <row r="10641" spans="1:6" ht="30" customHeight="1" x14ac:dyDescent="0.25">
      <c r="A10641" s="1" t="s">
        <v>21174</v>
      </c>
      <c r="B10641" s="1" t="str">
        <f>"9780309523745"</f>
        <v>9780309523745</v>
      </c>
      <c r="C10641" s="1" t="s">
        <v>20924</v>
      </c>
      <c r="D10641" s="2">
        <v>35582</v>
      </c>
      <c r="E10641" s="1" t="s">
        <v>21100</v>
      </c>
      <c r="F10641" s="1" t="s">
        <v>95</v>
      </c>
    </row>
    <row r="10642" spans="1:6" ht="30" customHeight="1" x14ac:dyDescent="0.25">
      <c r="A10642" s="1" t="s">
        <v>21175</v>
      </c>
      <c r="B10642" s="1" t="str">
        <f>"9780309520843"</f>
        <v>9780309520843</v>
      </c>
      <c r="C10642" s="1" t="s">
        <v>20924</v>
      </c>
      <c r="D10642" s="2">
        <v>35370</v>
      </c>
      <c r="E10642" s="1" t="s">
        <v>21176</v>
      </c>
      <c r="F10642" s="1" t="s">
        <v>30</v>
      </c>
    </row>
    <row r="10643" spans="1:6" ht="30" customHeight="1" x14ac:dyDescent="0.25">
      <c r="A10643" s="1" t="s">
        <v>21177</v>
      </c>
      <c r="B10643" s="1" t="str">
        <f>"9780309524049"</f>
        <v>9780309524049</v>
      </c>
      <c r="C10643" s="1" t="s">
        <v>20924</v>
      </c>
      <c r="D10643" s="2">
        <v>35921</v>
      </c>
      <c r="E10643" s="1" t="s">
        <v>21178</v>
      </c>
      <c r="F10643" s="1" t="s">
        <v>356</v>
      </c>
    </row>
    <row r="10644" spans="1:6" ht="30" customHeight="1" x14ac:dyDescent="0.25">
      <c r="A10644" s="1" t="s">
        <v>21179</v>
      </c>
      <c r="B10644" s="1" t="str">
        <f>"9780309522519"</f>
        <v>9780309522519</v>
      </c>
      <c r="C10644" s="1" t="s">
        <v>20924</v>
      </c>
      <c r="D10644" s="2">
        <v>35373</v>
      </c>
      <c r="E10644" s="1" t="s">
        <v>21180</v>
      </c>
      <c r="F10644" s="1" t="s">
        <v>356</v>
      </c>
    </row>
    <row r="10645" spans="1:6" ht="30" customHeight="1" x14ac:dyDescent="0.25">
      <c r="A10645" s="1" t="s">
        <v>21181</v>
      </c>
      <c r="B10645" s="1" t="str">
        <f>"9780309520812"</f>
        <v>9780309520812</v>
      </c>
      <c r="C10645" s="1" t="s">
        <v>20924</v>
      </c>
      <c r="D10645" s="2">
        <v>35538</v>
      </c>
      <c r="E10645" s="1" t="s">
        <v>21182</v>
      </c>
      <c r="F10645" s="1" t="s">
        <v>95</v>
      </c>
    </row>
    <row r="10646" spans="1:6" ht="30" customHeight="1" x14ac:dyDescent="0.25">
      <c r="A10646" s="1" t="s">
        <v>21183</v>
      </c>
      <c r="B10646" s="1" t="str">
        <f>"9780309522069"</f>
        <v>9780309522069</v>
      </c>
      <c r="C10646" s="1" t="s">
        <v>20924</v>
      </c>
      <c r="D10646" s="2">
        <v>36054</v>
      </c>
      <c r="E10646" s="1" t="s">
        <v>21184</v>
      </c>
      <c r="F10646" s="1" t="s">
        <v>13</v>
      </c>
    </row>
    <row r="10647" spans="1:6" ht="30" customHeight="1" x14ac:dyDescent="0.25">
      <c r="A10647" s="1" t="s">
        <v>21185</v>
      </c>
      <c r="B10647" s="1" t="str">
        <f>"9780309526425"</f>
        <v>9780309526425</v>
      </c>
      <c r="C10647" s="1" t="s">
        <v>20924</v>
      </c>
      <c r="D10647" s="2">
        <v>37855</v>
      </c>
      <c r="E10647" s="1" t="s">
        <v>21186</v>
      </c>
      <c r="F10647" s="1" t="s">
        <v>33</v>
      </c>
    </row>
    <row r="10648" spans="1:6" ht="30" customHeight="1" x14ac:dyDescent="0.25">
      <c r="A10648" s="1" t="s">
        <v>21187</v>
      </c>
      <c r="B10648" s="1" t="str">
        <f>"9780309506557"</f>
        <v>9780309506557</v>
      </c>
      <c r="C10648" s="1" t="s">
        <v>20924</v>
      </c>
      <c r="D10648" s="2">
        <v>37571</v>
      </c>
      <c r="E10648" s="1" t="s">
        <v>21188</v>
      </c>
      <c r="F10648" s="1" t="s">
        <v>95</v>
      </c>
    </row>
    <row r="10649" spans="1:6" ht="30" customHeight="1" x14ac:dyDescent="0.25">
      <c r="A10649" s="1" t="s">
        <v>21189</v>
      </c>
      <c r="B10649" s="1" t="str">
        <f>"9780309516938"</f>
        <v>9780309516938</v>
      </c>
      <c r="C10649" s="1" t="s">
        <v>20924</v>
      </c>
      <c r="D10649" s="2">
        <v>37762</v>
      </c>
      <c r="E10649" s="1" t="s">
        <v>21190</v>
      </c>
      <c r="F10649" s="1" t="s">
        <v>95</v>
      </c>
    </row>
    <row r="10650" spans="1:6" ht="30" customHeight="1" x14ac:dyDescent="0.25">
      <c r="A10650" s="1" t="s">
        <v>21191</v>
      </c>
      <c r="B10650" s="1" t="str">
        <f>"9780309509206"</f>
        <v>9780309509206</v>
      </c>
      <c r="C10650" s="1" t="s">
        <v>20924</v>
      </c>
      <c r="D10650" s="2">
        <v>37862</v>
      </c>
      <c r="E10650" s="1" t="s">
        <v>21192</v>
      </c>
      <c r="F10650" s="1" t="s">
        <v>95</v>
      </c>
    </row>
    <row r="10651" spans="1:6" ht="30" customHeight="1" x14ac:dyDescent="0.25">
      <c r="A10651" s="1" t="s">
        <v>21193</v>
      </c>
      <c r="B10651" s="1" t="str">
        <f>"9780309511872"</f>
        <v>9780309511872</v>
      </c>
      <c r="C10651" s="1" t="s">
        <v>20924</v>
      </c>
      <c r="D10651" s="2">
        <v>37895</v>
      </c>
      <c r="E10651" s="1" t="s">
        <v>21194</v>
      </c>
      <c r="F10651" s="1" t="s">
        <v>70</v>
      </c>
    </row>
    <row r="10652" spans="1:6" ht="30" customHeight="1" x14ac:dyDescent="0.25">
      <c r="A10652" s="1" t="s">
        <v>21195</v>
      </c>
      <c r="B10652" s="1" t="str">
        <f>"9780309505819"</f>
        <v>9780309505819</v>
      </c>
      <c r="C10652" s="1" t="s">
        <v>20924</v>
      </c>
      <c r="D10652" s="2">
        <v>37859</v>
      </c>
      <c r="E10652" s="1" t="s">
        <v>21196</v>
      </c>
      <c r="F10652" s="1" t="s">
        <v>214</v>
      </c>
    </row>
    <row r="10653" spans="1:6" ht="30" customHeight="1" x14ac:dyDescent="0.25">
      <c r="A10653" s="1" t="s">
        <v>21197</v>
      </c>
      <c r="B10653" s="1" t="str">
        <f>"9780309519199"</f>
        <v>9780309519199</v>
      </c>
      <c r="C10653" s="1" t="s">
        <v>20924</v>
      </c>
      <c r="D10653" s="2">
        <v>37859</v>
      </c>
      <c r="E10653" s="1" t="s">
        <v>21198</v>
      </c>
      <c r="F10653" s="1" t="s">
        <v>95</v>
      </c>
    </row>
    <row r="10654" spans="1:6" ht="30" customHeight="1" x14ac:dyDescent="0.25">
      <c r="A10654" s="1" t="s">
        <v>21199</v>
      </c>
      <c r="B10654" s="1" t="str">
        <f>"9780309526395"</f>
        <v>9780309526395</v>
      </c>
      <c r="C10654" s="1" t="s">
        <v>20924</v>
      </c>
      <c r="D10654" s="2">
        <v>37956</v>
      </c>
      <c r="E10654" s="1" t="s">
        <v>21200</v>
      </c>
      <c r="F10654" s="1" t="s">
        <v>13</v>
      </c>
    </row>
    <row r="10655" spans="1:6" ht="30" customHeight="1" x14ac:dyDescent="0.25">
      <c r="A10655" s="1" t="s">
        <v>21201</v>
      </c>
      <c r="B10655" s="1" t="str">
        <f>"9780309517263"</f>
        <v>9780309517263</v>
      </c>
      <c r="C10655" s="1" t="s">
        <v>20924</v>
      </c>
      <c r="D10655" s="2">
        <v>37797</v>
      </c>
      <c r="E10655" s="1" t="s">
        <v>21202</v>
      </c>
      <c r="F10655" s="1" t="s">
        <v>13</v>
      </c>
    </row>
    <row r="10656" spans="1:6" ht="30" customHeight="1" x14ac:dyDescent="0.25">
      <c r="A10656" s="1" t="s">
        <v>21203</v>
      </c>
      <c r="B10656" s="1" t="str">
        <f>"9780309511391"</f>
        <v>9780309511391</v>
      </c>
      <c r="C10656" s="1" t="s">
        <v>20924</v>
      </c>
      <c r="D10656" s="2">
        <v>37789</v>
      </c>
      <c r="E10656" s="1" t="s">
        <v>21028</v>
      </c>
      <c r="F10656" s="1" t="s">
        <v>95</v>
      </c>
    </row>
    <row r="10657" spans="1:6" ht="30" customHeight="1" x14ac:dyDescent="0.25">
      <c r="A10657" s="1" t="s">
        <v>21204</v>
      </c>
      <c r="B10657" s="1" t="str">
        <f>"9780309516785"</f>
        <v>9780309516785</v>
      </c>
      <c r="C10657" s="1" t="s">
        <v>20924</v>
      </c>
      <c r="D10657" s="2">
        <v>37803</v>
      </c>
      <c r="E10657" s="1" t="s">
        <v>21205</v>
      </c>
      <c r="F10657" s="1" t="s">
        <v>13</v>
      </c>
    </row>
    <row r="10658" spans="1:6" ht="30" customHeight="1" x14ac:dyDescent="0.25">
      <c r="A10658" s="1" t="s">
        <v>21206</v>
      </c>
      <c r="B10658" s="1" t="str">
        <f>"9780309526784"</f>
        <v>9780309526784</v>
      </c>
      <c r="C10658" s="1" t="s">
        <v>20924</v>
      </c>
      <c r="D10658" s="2">
        <v>37833</v>
      </c>
      <c r="E10658" s="1" t="s">
        <v>21207</v>
      </c>
      <c r="F10658" s="1" t="s">
        <v>13</v>
      </c>
    </row>
    <row r="10659" spans="1:6" ht="30" customHeight="1" x14ac:dyDescent="0.25">
      <c r="A10659" s="1" t="s">
        <v>21208</v>
      </c>
      <c r="B10659" s="1" t="str">
        <f>"9780309505871"</f>
        <v>9780309505871</v>
      </c>
      <c r="C10659" s="1" t="s">
        <v>20924</v>
      </c>
      <c r="D10659" s="2">
        <v>37855</v>
      </c>
      <c r="E10659" s="1" t="s">
        <v>21209</v>
      </c>
      <c r="F10659" s="1" t="s">
        <v>13</v>
      </c>
    </row>
    <row r="10660" spans="1:6" ht="30" customHeight="1" x14ac:dyDescent="0.25">
      <c r="A10660" s="1" t="s">
        <v>21210</v>
      </c>
      <c r="B10660" s="1" t="str">
        <f>"9780309506984"</f>
        <v>9780309506984</v>
      </c>
      <c r="C10660" s="1" t="s">
        <v>20924</v>
      </c>
      <c r="D10660" s="2">
        <v>37791</v>
      </c>
      <c r="E10660" s="1" t="s">
        <v>21211</v>
      </c>
      <c r="F10660" s="1" t="s">
        <v>13</v>
      </c>
    </row>
    <row r="10661" spans="1:6" ht="30" customHeight="1" x14ac:dyDescent="0.25">
      <c r="A10661" s="1" t="s">
        <v>21212</v>
      </c>
      <c r="B10661" s="1" t="str">
        <f>"9780309525619"</f>
        <v>9780309525619</v>
      </c>
      <c r="C10661" s="1" t="s">
        <v>20924</v>
      </c>
      <c r="D10661" s="2">
        <v>37956</v>
      </c>
      <c r="E10661" s="1" t="s">
        <v>21213</v>
      </c>
      <c r="F10661" s="1" t="s">
        <v>148</v>
      </c>
    </row>
    <row r="10662" spans="1:6" ht="30" customHeight="1" x14ac:dyDescent="0.25">
      <c r="A10662" s="1" t="s">
        <v>21214</v>
      </c>
      <c r="B10662" s="1" t="str">
        <f>"9780309509114"</f>
        <v>9780309509114</v>
      </c>
      <c r="C10662" s="1" t="s">
        <v>20924</v>
      </c>
      <c r="D10662" s="2">
        <v>37956</v>
      </c>
      <c r="E10662" s="1" t="s">
        <v>21215</v>
      </c>
      <c r="F10662" s="1" t="s">
        <v>12333</v>
      </c>
    </row>
    <row r="10663" spans="1:6" ht="30" customHeight="1" x14ac:dyDescent="0.25">
      <c r="A10663" s="1" t="s">
        <v>21216</v>
      </c>
      <c r="B10663" s="1" t="str">
        <f>"9780309525732"</f>
        <v>9780309525732</v>
      </c>
      <c r="C10663" s="1" t="s">
        <v>20924</v>
      </c>
      <c r="D10663" s="2">
        <v>37831</v>
      </c>
      <c r="E10663" s="1" t="s">
        <v>21217</v>
      </c>
      <c r="F10663" s="1" t="s">
        <v>158</v>
      </c>
    </row>
    <row r="10664" spans="1:6" ht="30" customHeight="1" x14ac:dyDescent="0.25">
      <c r="A10664" s="1" t="s">
        <v>21218</v>
      </c>
      <c r="B10664" s="1" t="str">
        <f>"9780309507301"</f>
        <v>9780309507301</v>
      </c>
      <c r="C10664" s="1" t="s">
        <v>20924</v>
      </c>
      <c r="D10664" s="2">
        <v>37956</v>
      </c>
      <c r="E10664" s="1" t="s">
        <v>21219</v>
      </c>
      <c r="F10664" s="1" t="s">
        <v>70</v>
      </c>
    </row>
    <row r="10665" spans="1:6" ht="30" customHeight="1" x14ac:dyDescent="0.25">
      <c r="A10665" s="1" t="s">
        <v>21220</v>
      </c>
      <c r="B10665" s="1" t="str">
        <f>"9780309526340"</f>
        <v>9780309526340</v>
      </c>
      <c r="C10665" s="1" t="s">
        <v>20924</v>
      </c>
      <c r="D10665" s="2">
        <v>37841</v>
      </c>
      <c r="E10665" s="1" t="s">
        <v>21200</v>
      </c>
      <c r="F10665" s="1" t="s">
        <v>13</v>
      </c>
    </row>
    <row r="10666" spans="1:6" ht="30" customHeight="1" x14ac:dyDescent="0.25">
      <c r="A10666" s="1" t="s">
        <v>21221</v>
      </c>
      <c r="B10666" s="1" t="str">
        <f>"9780309527354"</f>
        <v>9780309527354</v>
      </c>
      <c r="C10666" s="1" t="s">
        <v>20924</v>
      </c>
      <c r="D10666" s="2">
        <v>37932</v>
      </c>
      <c r="E10666" s="1" t="s">
        <v>21023</v>
      </c>
      <c r="F10666" s="1" t="s">
        <v>33</v>
      </c>
    </row>
    <row r="10667" spans="1:6" ht="30" customHeight="1" x14ac:dyDescent="0.25">
      <c r="A10667" s="1" t="s">
        <v>21222</v>
      </c>
      <c r="B10667" s="1" t="str">
        <f>"9780309527170"</f>
        <v>9780309527170</v>
      </c>
      <c r="C10667" s="1" t="s">
        <v>20924</v>
      </c>
      <c r="D10667" s="2">
        <v>37935</v>
      </c>
      <c r="E10667" s="1" t="s">
        <v>21223</v>
      </c>
      <c r="F10667" s="1" t="s">
        <v>158</v>
      </c>
    </row>
    <row r="10668" spans="1:6" ht="30" customHeight="1" x14ac:dyDescent="0.25">
      <c r="A10668" s="1" t="s">
        <v>21224</v>
      </c>
      <c r="B10668" s="1" t="str">
        <f>"9780309525480"</f>
        <v>9780309525480</v>
      </c>
      <c r="C10668" s="1" t="s">
        <v>20924</v>
      </c>
      <c r="D10668" s="2">
        <v>37946</v>
      </c>
      <c r="E10668" s="1" t="s">
        <v>21225</v>
      </c>
      <c r="F10668" s="1" t="s">
        <v>176</v>
      </c>
    </row>
    <row r="10669" spans="1:6" ht="30" customHeight="1" x14ac:dyDescent="0.25">
      <c r="A10669" s="1" t="s">
        <v>21226</v>
      </c>
      <c r="B10669" s="1" t="str">
        <f>"9780309526814"</f>
        <v>9780309526814</v>
      </c>
      <c r="C10669" s="1" t="s">
        <v>20924</v>
      </c>
      <c r="D10669" s="2">
        <v>37925</v>
      </c>
      <c r="E10669" s="1" t="s">
        <v>21227</v>
      </c>
      <c r="F10669" s="1" t="s">
        <v>13</v>
      </c>
    </row>
    <row r="10670" spans="1:6" ht="30" customHeight="1" x14ac:dyDescent="0.25">
      <c r="A10670" s="1" t="s">
        <v>21228</v>
      </c>
      <c r="B10670" s="1" t="str">
        <f>"9780309527262"</f>
        <v>9780309527262</v>
      </c>
      <c r="C10670" s="1" t="s">
        <v>20924</v>
      </c>
      <c r="D10670" s="2">
        <v>37939</v>
      </c>
      <c r="E10670" s="1" t="s">
        <v>21229</v>
      </c>
      <c r="F10670" s="1" t="s">
        <v>13</v>
      </c>
    </row>
    <row r="10671" spans="1:6" ht="30" customHeight="1" x14ac:dyDescent="0.25">
      <c r="A10671" s="1" t="s">
        <v>21230</v>
      </c>
      <c r="B10671" s="1" t="str">
        <f>"9780309526197"</f>
        <v>9780309526197</v>
      </c>
      <c r="C10671" s="1" t="s">
        <v>20924</v>
      </c>
      <c r="D10671" s="2">
        <v>37837</v>
      </c>
      <c r="E10671" s="1" t="s">
        <v>21231</v>
      </c>
      <c r="F10671" s="1" t="s">
        <v>176</v>
      </c>
    </row>
    <row r="10672" spans="1:6" ht="30" customHeight="1" x14ac:dyDescent="0.25">
      <c r="A10672" s="1" t="s">
        <v>21232</v>
      </c>
      <c r="B10672" s="1" t="str">
        <f>"9780309523172"</f>
        <v>9780309523172</v>
      </c>
      <c r="C10672" s="1" t="s">
        <v>20924</v>
      </c>
      <c r="D10672" s="2">
        <v>37922</v>
      </c>
      <c r="E10672" s="1" t="s">
        <v>21233</v>
      </c>
      <c r="F10672" s="1" t="s">
        <v>356</v>
      </c>
    </row>
    <row r="10673" spans="1:6" ht="30" customHeight="1" x14ac:dyDescent="0.25">
      <c r="A10673" s="1" t="s">
        <v>21234</v>
      </c>
      <c r="B10673" s="1" t="str">
        <f>"9780309527934"</f>
        <v>9780309527934</v>
      </c>
      <c r="C10673" s="1" t="s">
        <v>20924</v>
      </c>
      <c r="D10673" s="2">
        <v>37921</v>
      </c>
      <c r="E10673" s="1" t="s">
        <v>21235</v>
      </c>
      <c r="F10673" s="1" t="s">
        <v>158</v>
      </c>
    </row>
    <row r="10674" spans="1:6" ht="30" customHeight="1" x14ac:dyDescent="0.25">
      <c r="A10674" s="1" t="s">
        <v>21236</v>
      </c>
      <c r="B10674" s="1" t="str">
        <f>"9780309528412"</f>
        <v>9780309528412</v>
      </c>
      <c r="C10674" s="1" t="s">
        <v>20924</v>
      </c>
      <c r="D10674" s="2">
        <v>37956</v>
      </c>
      <c r="E10674" s="1" t="s">
        <v>21237</v>
      </c>
      <c r="F10674" s="1" t="s">
        <v>158</v>
      </c>
    </row>
    <row r="10675" spans="1:6" ht="30" customHeight="1" x14ac:dyDescent="0.25">
      <c r="A10675" s="1" t="s">
        <v>21238</v>
      </c>
      <c r="B10675" s="1" t="str">
        <f>"9780309525992"</f>
        <v>9780309525992</v>
      </c>
      <c r="C10675" s="1" t="s">
        <v>20924</v>
      </c>
      <c r="D10675" s="2">
        <v>37922</v>
      </c>
      <c r="E10675" s="1" t="s">
        <v>21239</v>
      </c>
      <c r="F10675" s="1" t="s">
        <v>176</v>
      </c>
    </row>
    <row r="10676" spans="1:6" ht="30" customHeight="1" x14ac:dyDescent="0.25">
      <c r="A10676" s="1" t="s">
        <v>21240</v>
      </c>
      <c r="B10676" s="1" t="str">
        <f>"9780309528023"</f>
        <v>9780309528023</v>
      </c>
      <c r="C10676" s="1" t="s">
        <v>20924</v>
      </c>
      <c r="D10676" s="2">
        <v>37909</v>
      </c>
      <c r="E10676" s="1" t="s">
        <v>21241</v>
      </c>
      <c r="F10676" s="1" t="s">
        <v>214</v>
      </c>
    </row>
    <row r="10677" spans="1:6" ht="30" customHeight="1" x14ac:dyDescent="0.25">
      <c r="A10677" s="1" t="s">
        <v>21242</v>
      </c>
      <c r="B10677" s="1" t="str">
        <f>"9780309527415"</f>
        <v>9780309527415</v>
      </c>
      <c r="C10677" s="1" t="s">
        <v>20924</v>
      </c>
      <c r="D10677" s="2">
        <v>37977</v>
      </c>
      <c r="E10677" s="1" t="s">
        <v>21243</v>
      </c>
      <c r="F10677" s="1" t="s">
        <v>13</v>
      </c>
    </row>
    <row r="10678" spans="1:6" ht="30" customHeight="1" x14ac:dyDescent="0.25">
      <c r="A10678" s="1" t="s">
        <v>21244</v>
      </c>
      <c r="B10678" s="1" t="str">
        <f>"9780309529716"</f>
        <v>9780309529716</v>
      </c>
      <c r="C10678" s="1" t="s">
        <v>20924</v>
      </c>
      <c r="D10678" s="2">
        <v>37517</v>
      </c>
      <c r="E10678" s="1" t="s">
        <v>21245</v>
      </c>
      <c r="F10678" s="1" t="s">
        <v>95</v>
      </c>
    </row>
    <row r="10679" spans="1:6" ht="30" customHeight="1" x14ac:dyDescent="0.25">
      <c r="A10679" s="1" t="s">
        <v>21246</v>
      </c>
      <c r="B10679" s="1" t="str">
        <f>"9780309527811"</f>
        <v>9780309527811</v>
      </c>
      <c r="C10679" s="1" t="s">
        <v>20924</v>
      </c>
      <c r="D10679" s="2">
        <v>37900</v>
      </c>
      <c r="E10679" s="1" t="s">
        <v>21247</v>
      </c>
      <c r="F10679" s="1" t="s">
        <v>214</v>
      </c>
    </row>
    <row r="10680" spans="1:6" ht="30" customHeight="1" x14ac:dyDescent="0.25">
      <c r="A10680" s="1" t="s">
        <v>21248</v>
      </c>
      <c r="B10680" s="1" t="str">
        <f>"9780309510974"</f>
        <v>9780309510974</v>
      </c>
      <c r="C10680" s="1" t="s">
        <v>20924</v>
      </c>
      <c r="D10680" s="2">
        <v>37226</v>
      </c>
      <c r="E10680" s="1" t="s">
        <v>21249</v>
      </c>
      <c r="F10680" s="1" t="s">
        <v>148</v>
      </c>
    </row>
    <row r="10681" spans="1:6" ht="30" customHeight="1" x14ac:dyDescent="0.25">
      <c r="A10681" s="1" t="s">
        <v>21250</v>
      </c>
      <c r="B10681" s="1" t="str">
        <f>"9780309513722"</f>
        <v>9780309513722</v>
      </c>
      <c r="C10681" s="1" t="s">
        <v>20924</v>
      </c>
      <c r="D10681" s="2">
        <v>36495</v>
      </c>
      <c r="E10681" s="1" t="s">
        <v>21251</v>
      </c>
      <c r="F10681" s="1" t="s">
        <v>70</v>
      </c>
    </row>
    <row r="10682" spans="1:6" ht="30" customHeight="1" x14ac:dyDescent="0.25">
      <c r="A10682" s="1" t="s">
        <v>21252</v>
      </c>
      <c r="B10682" s="1" t="str">
        <f>"9780309510912"</f>
        <v>9780309510912</v>
      </c>
      <c r="C10682" s="1" t="s">
        <v>20924</v>
      </c>
      <c r="D10682" s="2">
        <v>37226</v>
      </c>
      <c r="E10682" s="1" t="s">
        <v>21253</v>
      </c>
      <c r="F10682" s="1" t="s">
        <v>33</v>
      </c>
    </row>
    <row r="10683" spans="1:6" ht="30" customHeight="1" x14ac:dyDescent="0.25">
      <c r="A10683" s="1" t="s">
        <v>21254</v>
      </c>
      <c r="B10683" s="1" t="str">
        <f>"9780309515153"</f>
        <v>9780309515153</v>
      </c>
      <c r="C10683" s="1" t="s">
        <v>20924</v>
      </c>
      <c r="D10683" s="2">
        <v>36861</v>
      </c>
      <c r="E10683" s="1" t="s">
        <v>21255</v>
      </c>
      <c r="F10683" s="1" t="s">
        <v>13</v>
      </c>
    </row>
    <row r="10684" spans="1:6" ht="30" customHeight="1" x14ac:dyDescent="0.25">
      <c r="A10684" s="1" t="s">
        <v>21256</v>
      </c>
      <c r="B10684" s="1" t="str">
        <f>"9780309510400"</f>
        <v>9780309510400</v>
      </c>
      <c r="C10684" s="1" t="s">
        <v>20924</v>
      </c>
      <c r="D10684" s="2">
        <v>37591</v>
      </c>
      <c r="E10684" s="1" t="s">
        <v>21257</v>
      </c>
      <c r="F10684" s="1" t="s">
        <v>95</v>
      </c>
    </row>
    <row r="10685" spans="1:6" ht="30" customHeight="1" x14ac:dyDescent="0.25">
      <c r="A10685" s="1" t="s">
        <v>21258</v>
      </c>
      <c r="B10685" s="1" t="str">
        <f>"9780309503235"</f>
        <v>9780309503235</v>
      </c>
      <c r="C10685" s="1" t="s">
        <v>20924</v>
      </c>
      <c r="D10685" s="2">
        <v>37591</v>
      </c>
      <c r="E10685" s="1" t="s">
        <v>21259</v>
      </c>
      <c r="F10685" s="1" t="s">
        <v>95</v>
      </c>
    </row>
    <row r="10686" spans="1:6" ht="30" customHeight="1" x14ac:dyDescent="0.25">
      <c r="A10686" s="1" t="s">
        <v>21260</v>
      </c>
      <c r="B10686" s="1" t="str">
        <f>"9780309512992"</f>
        <v>9780309512992</v>
      </c>
      <c r="C10686" s="1" t="s">
        <v>20924</v>
      </c>
      <c r="D10686" s="2">
        <v>37226</v>
      </c>
      <c r="E10686" s="1" t="s">
        <v>21261</v>
      </c>
      <c r="F10686" s="1" t="s">
        <v>214</v>
      </c>
    </row>
    <row r="10687" spans="1:6" ht="30" customHeight="1" x14ac:dyDescent="0.25">
      <c r="A10687" s="1" t="s">
        <v>21262</v>
      </c>
      <c r="B10687" s="1" t="str">
        <f>"9780309529563"</f>
        <v>9780309529563</v>
      </c>
      <c r="C10687" s="1" t="s">
        <v>20924</v>
      </c>
      <c r="D10687" s="2">
        <v>38019</v>
      </c>
      <c r="E10687" s="1" t="s">
        <v>21263</v>
      </c>
      <c r="F10687" s="1" t="s">
        <v>1995</v>
      </c>
    </row>
    <row r="10688" spans="1:6" ht="30" customHeight="1" x14ac:dyDescent="0.25">
      <c r="A10688" s="1" t="s">
        <v>21264</v>
      </c>
      <c r="B10688" s="1" t="str">
        <f>"9780309590136"</f>
        <v>9780309590136</v>
      </c>
      <c r="C10688" s="1" t="s">
        <v>20924</v>
      </c>
      <c r="D10688" s="2">
        <v>35471</v>
      </c>
      <c r="E10688" s="1" t="s">
        <v>21265</v>
      </c>
      <c r="F10688" s="1" t="s">
        <v>21266</v>
      </c>
    </row>
    <row r="10689" spans="1:6" ht="30" customHeight="1" x14ac:dyDescent="0.25">
      <c r="A10689" s="1" t="s">
        <v>21267</v>
      </c>
      <c r="B10689" s="1" t="str">
        <f>"9780309588218"</f>
        <v>9780309588218</v>
      </c>
      <c r="C10689" s="1" t="s">
        <v>20924</v>
      </c>
      <c r="D10689" s="2">
        <v>34956</v>
      </c>
      <c r="E10689" s="1" t="s">
        <v>21268</v>
      </c>
      <c r="F10689" s="1" t="s">
        <v>176</v>
      </c>
    </row>
    <row r="10690" spans="1:6" ht="30" customHeight="1" x14ac:dyDescent="0.25">
      <c r="A10690" s="1" t="s">
        <v>21269</v>
      </c>
      <c r="B10690" s="1" t="str">
        <f>"9780309589772"</f>
        <v>9780309589772</v>
      </c>
      <c r="C10690" s="1" t="s">
        <v>20924</v>
      </c>
      <c r="D10690" s="2">
        <v>35380</v>
      </c>
      <c r="E10690" s="1" t="s">
        <v>21270</v>
      </c>
      <c r="F10690" s="1" t="s">
        <v>21271</v>
      </c>
    </row>
    <row r="10691" spans="1:6" ht="30" customHeight="1" x14ac:dyDescent="0.25">
      <c r="A10691" s="1" t="s">
        <v>21272</v>
      </c>
      <c r="B10691" s="1" t="str">
        <f>"9780309590495"</f>
        <v>9780309590495</v>
      </c>
      <c r="C10691" s="1" t="s">
        <v>20924</v>
      </c>
      <c r="D10691" s="2">
        <v>35570</v>
      </c>
      <c r="E10691" s="1" t="s">
        <v>21273</v>
      </c>
      <c r="F10691" s="1" t="s">
        <v>13</v>
      </c>
    </row>
    <row r="10692" spans="1:6" ht="30" customHeight="1" x14ac:dyDescent="0.25">
      <c r="A10692" s="1" t="s">
        <v>21274</v>
      </c>
      <c r="B10692" s="1" t="str">
        <f>"9780309583367"</f>
        <v>9780309583367</v>
      </c>
      <c r="C10692" s="1" t="s">
        <v>20924</v>
      </c>
      <c r="D10692" s="2">
        <v>33239</v>
      </c>
      <c r="E10692" s="1" t="s">
        <v>21275</v>
      </c>
      <c r="F10692" s="1" t="s">
        <v>70</v>
      </c>
    </row>
    <row r="10693" spans="1:6" ht="30" customHeight="1" x14ac:dyDescent="0.25">
      <c r="A10693" s="1" t="s">
        <v>21276</v>
      </c>
      <c r="B10693" s="1" t="str">
        <f>"9780309585477"</f>
        <v>9780309585477</v>
      </c>
      <c r="C10693" s="1" t="s">
        <v>20924</v>
      </c>
      <c r="D10693" s="2">
        <v>34335</v>
      </c>
      <c r="E10693" s="1" t="s">
        <v>21277</v>
      </c>
      <c r="F10693" s="1" t="s">
        <v>13</v>
      </c>
    </row>
    <row r="10694" spans="1:6" ht="30" customHeight="1" x14ac:dyDescent="0.25">
      <c r="A10694" s="1" t="s">
        <v>21278</v>
      </c>
      <c r="B10694" s="1" t="str">
        <f>"9780309589055"</f>
        <v>9780309589055</v>
      </c>
      <c r="C10694" s="1" t="s">
        <v>20924</v>
      </c>
      <c r="D10694" s="2">
        <v>35247</v>
      </c>
      <c r="E10694" s="1" t="s">
        <v>21279</v>
      </c>
      <c r="F10694" s="1" t="s">
        <v>176</v>
      </c>
    </row>
    <row r="10695" spans="1:6" ht="30" customHeight="1" x14ac:dyDescent="0.25">
      <c r="A10695" s="1" t="s">
        <v>21280</v>
      </c>
      <c r="B10695" s="1" t="str">
        <f>"9780309583695"</f>
        <v>9780309583695</v>
      </c>
      <c r="C10695" s="1" t="s">
        <v>20924</v>
      </c>
      <c r="D10695" s="2">
        <v>33604</v>
      </c>
      <c r="E10695" s="1" t="s">
        <v>21281</v>
      </c>
      <c r="F10695" s="1" t="s">
        <v>176</v>
      </c>
    </row>
    <row r="10696" spans="1:6" ht="30" customHeight="1" x14ac:dyDescent="0.25">
      <c r="A10696" s="1" t="s">
        <v>21282</v>
      </c>
      <c r="B10696" s="1" t="str">
        <f>"9780309586122"</f>
        <v>9780309586122</v>
      </c>
      <c r="C10696" s="1" t="s">
        <v>20924</v>
      </c>
      <c r="D10696" s="2">
        <v>34335</v>
      </c>
      <c r="E10696" s="1" t="s">
        <v>21283</v>
      </c>
      <c r="F10696" s="1" t="s">
        <v>70</v>
      </c>
    </row>
    <row r="10697" spans="1:6" ht="30" customHeight="1" x14ac:dyDescent="0.25">
      <c r="A10697" s="1" t="s">
        <v>21284</v>
      </c>
      <c r="B10697" s="1" t="str">
        <f>"9780309594332"</f>
        <v>9780309594332</v>
      </c>
      <c r="C10697" s="1" t="s">
        <v>20924</v>
      </c>
      <c r="D10697" s="2">
        <v>38100</v>
      </c>
      <c r="E10697" s="1" t="s">
        <v>21285</v>
      </c>
      <c r="F10697" s="1" t="s">
        <v>33</v>
      </c>
    </row>
    <row r="10698" spans="1:6" ht="30" customHeight="1" x14ac:dyDescent="0.25">
      <c r="A10698" s="1" t="s">
        <v>21286</v>
      </c>
      <c r="B10698" s="1" t="str">
        <f>"9780309582919"</f>
        <v>9780309582919</v>
      </c>
      <c r="C10698" s="1" t="s">
        <v>20924</v>
      </c>
      <c r="D10698" s="2">
        <v>33239</v>
      </c>
      <c r="E10698" s="1" t="s">
        <v>21287</v>
      </c>
      <c r="F10698" s="1" t="s">
        <v>176</v>
      </c>
    </row>
    <row r="10699" spans="1:6" ht="30" customHeight="1" x14ac:dyDescent="0.25">
      <c r="A10699" s="1" t="s">
        <v>21288</v>
      </c>
      <c r="B10699" s="1" t="str">
        <f>"9780309591959"</f>
        <v>9780309591959</v>
      </c>
      <c r="C10699" s="1" t="s">
        <v>20924</v>
      </c>
      <c r="D10699" s="2">
        <v>35976</v>
      </c>
      <c r="E10699" s="1" t="s">
        <v>21289</v>
      </c>
      <c r="F10699" s="1" t="s">
        <v>214</v>
      </c>
    </row>
    <row r="10700" spans="1:6" ht="30" customHeight="1" x14ac:dyDescent="0.25">
      <c r="A10700" s="1" t="s">
        <v>21290</v>
      </c>
      <c r="B10700" s="1" t="str">
        <f>"9780309584579"</f>
        <v>9780309584579</v>
      </c>
      <c r="C10700" s="1" t="s">
        <v>20924</v>
      </c>
      <c r="D10700" s="2">
        <v>33604</v>
      </c>
      <c r="E10700" s="1" t="s">
        <v>21291</v>
      </c>
      <c r="F10700" s="1" t="s">
        <v>95</v>
      </c>
    </row>
    <row r="10701" spans="1:6" ht="30" customHeight="1" x14ac:dyDescent="0.25">
      <c r="A10701" s="1" t="s">
        <v>21292</v>
      </c>
      <c r="B10701" s="1" t="str">
        <f>"9780309586214"</f>
        <v>9780309586214</v>
      </c>
      <c r="C10701" s="1" t="s">
        <v>20924</v>
      </c>
      <c r="D10701" s="2">
        <v>34335</v>
      </c>
      <c r="E10701" s="1" t="s">
        <v>21293</v>
      </c>
      <c r="F10701" s="1" t="s">
        <v>205</v>
      </c>
    </row>
    <row r="10702" spans="1:6" ht="30" customHeight="1" x14ac:dyDescent="0.25">
      <c r="A10702" s="1" t="s">
        <v>21294</v>
      </c>
      <c r="B10702" s="1" t="str">
        <f>"9780309590761"</f>
        <v>9780309590761</v>
      </c>
      <c r="C10702" s="1" t="s">
        <v>20924</v>
      </c>
      <c r="D10702" s="2">
        <v>35562</v>
      </c>
      <c r="E10702" s="1" t="s">
        <v>21100</v>
      </c>
      <c r="F10702" s="1" t="s">
        <v>158</v>
      </c>
    </row>
    <row r="10703" spans="1:6" ht="30" customHeight="1" x14ac:dyDescent="0.25">
      <c r="A10703" s="1" t="s">
        <v>21295</v>
      </c>
      <c r="B10703" s="1" t="str">
        <f>"9780309586924"</f>
        <v>9780309586924</v>
      </c>
      <c r="C10703" s="1" t="s">
        <v>20924</v>
      </c>
      <c r="D10703" s="2">
        <v>34335</v>
      </c>
      <c r="E10703" s="1" t="s">
        <v>21100</v>
      </c>
      <c r="F10703" s="1" t="s">
        <v>95</v>
      </c>
    </row>
    <row r="10704" spans="1:6" ht="30" customHeight="1" x14ac:dyDescent="0.25">
      <c r="A10704" s="1" t="s">
        <v>21296</v>
      </c>
      <c r="B10704" s="1" t="str">
        <f>"9780309592284"</f>
        <v>9780309592284</v>
      </c>
      <c r="C10704" s="1" t="s">
        <v>20924</v>
      </c>
      <c r="D10704" s="2">
        <v>36147</v>
      </c>
      <c r="E10704" s="1" t="s">
        <v>21297</v>
      </c>
      <c r="F10704" s="1" t="s">
        <v>176</v>
      </c>
    </row>
    <row r="10705" spans="1:6" ht="30" customHeight="1" x14ac:dyDescent="0.25">
      <c r="A10705" s="1" t="s">
        <v>21298</v>
      </c>
      <c r="B10705" s="1" t="str">
        <f>"9780309585446"</f>
        <v>9780309585446</v>
      </c>
      <c r="C10705" s="1" t="s">
        <v>20924</v>
      </c>
      <c r="D10705" s="2">
        <v>33970</v>
      </c>
      <c r="E10705" s="1" t="s">
        <v>21299</v>
      </c>
      <c r="F10705" s="1" t="s">
        <v>176</v>
      </c>
    </row>
    <row r="10706" spans="1:6" ht="30" customHeight="1" x14ac:dyDescent="0.25">
      <c r="A10706" s="1" t="s">
        <v>21300</v>
      </c>
      <c r="B10706" s="1" t="str">
        <f>"9780309529624"</f>
        <v>9780309529624</v>
      </c>
      <c r="C10706" s="1" t="s">
        <v>20924</v>
      </c>
      <c r="D10706" s="2">
        <v>37966</v>
      </c>
      <c r="E10706" s="1" t="s">
        <v>21301</v>
      </c>
      <c r="F10706" s="1" t="s">
        <v>95</v>
      </c>
    </row>
    <row r="10707" spans="1:6" ht="30" customHeight="1" x14ac:dyDescent="0.25">
      <c r="A10707" s="1" t="s">
        <v>21302</v>
      </c>
      <c r="B10707" s="1" t="str">
        <f>"9780309592970"</f>
        <v>9780309592970</v>
      </c>
      <c r="C10707" s="1" t="s">
        <v>20924</v>
      </c>
      <c r="D10707" s="2">
        <v>35744</v>
      </c>
      <c r="E10707" s="1" t="s">
        <v>21303</v>
      </c>
      <c r="F10707" s="1" t="s">
        <v>13</v>
      </c>
    </row>
    <row r="10708" spans="1:6" ht="30" customHeight="1" x14ac:dyDescent="0.25">
      <c r="A10708" s="1" t="s">
        <v>21304</v>
      </c>
      <c r="B10708" s="1" t="str">
        <f>"9780309582735"</f>
        <v>9780309582735</v>
      </c>
      <c r="C10708" s="1" t="s">
        <v>20924</v>
      </c>
      <c r="D10708" s="2">
        <v>32874</v>
      </c>
      <c r="E10708" s="1" t="s">
        <v>21305</v>
      </c>
      <c r="F10708" s="1" t="s">
        <v>13</v>
      </c>
    </row>
    <row r="10709" spans="1:6" ht="30" customHeight="1" x14ac:dyDescent="0.25">
      <c r="A10709" s="1" t="s">
        <v>21306</v>
      </c>
      <c r="B10709" s="1" t="str">
        <f>"9780309586771"</f>
        <v>9780309586771</v>
      </c>
      <c r="C10709" s="1" t="s">
        <v>20924</v>
      </c>
      <c r="D10709" s="2">
        <v>34335</v>
      </c>
      <c r="E10709" s="1" t="s">
        <v>21307</v>
      </c>
      <c r="F10709" s="1" t="s">
        <v>10657</v>
      </c>
    </row>
    <row r="10710" spans="1:6" ht="30" customHeight="1" x14ac:dyDescent="0.25">
      <c r="A10710" s="1" t="s">
        <v>21308</v>
      </c>
      <c r="B10710" s="1" t="str">
        <f>"9780309589208"</f>
        <v>9780309589208</v>
      </c>
      <c r="C10710" s="1" t="s">
        <v>20924</v>
      </c>
      <c r="D10710" s="2">
        <v>35214</v>
      </c>
      <c r="E10710" s="1" t="s">
        <v>21303</v>
      </c>
      <c r="F10710" s="1" t="s">
        <v>10335</v>
      </c>
    </row>
    <row r="10711" spans="1:6" ht="30" customHeight="1" x14ac:dyDescent="0.25">
      <c r="A10711" s="1" t="s">
        <v>21309</v>
      </c>
      <c r="B10711" s="1" t="str">
        <f>"9780309581523"</f>
        <v>9780309581523</v>
      </c>
      <c r="C10711" s="1" t="s">
        <v>20924</v>
      </c>
      <c r="D10711" s="2">
        <v>31048</v>
      </c>
      <c r="E10711" s="1" t="s">
        <v>21310</v>
      </c>
      <c r="F10711" s="1" t="s">
        <v>21311</v>
      </c>
    </row>
    <row r="10712" spans="1:6" ht="30" customHeight="1" x14ac:dyDescent="0.25">
      <c r="A10712" s="1" t="s">
        <v>21312</v>
      </c>
      <c r="B10712" s="1" t="str">
        <f>"9780309583008"</f>
        <v>9780309583008</v>
      </c>
      <c r="C10712" s="1" t="s">
        <v>20924</v>
      </c>
      <c r="D10712" s="2">
        <v>33573</v>
      </c>
      <c r="E10712" s="1" t="s">
        <v>21313</v>
      </c>
      <c r="F10712" s="1" t="s">
        <v>158</v>
      </c>
    </row>
    <row r="10713" spans="1:6" ht="30" customHeight="1" x14ac:dyDescent="0.25">
      <c r="A10713" s="1" t="s">
        <v>21314</v>
      </c>
      <c r="B10713" s="1" t="str">
        <f>"9780309587648"</f>
        <v>9780309587648</v>
      </c>
      <c r="C10713" s="1" t="s">
        <v>20924</v>
      </c>
      <c r="D10713" s="2">
        <v>34726</v>
      </c>
      <c r="E10713" s="1" t="s">
        <v>21315</v>
      </c>
      <c r="F10713" s="1" t="s">
        <v>13</v>
      </c>
    </row>
    <row r="10714" spans="1:6" ht="30" customHeight="1" x14ac:dyDescent="0.25">
      <c r="A10714" s="1" t="s">
        <v>21316</v>
      </c>
      <c r="B10714" s="1" t="str">
        <f>"9780309585149"</f>
        <v>9780309585149</v>
      </c>
      <c r="C10714" s="1" t="s">
        <v>20924</v>
      </c>
      <c r="D10714" s="2">
        <v>34121</v>
      </c>
      <c r="E10714" s="1" t="s">
        <v>21317</v>
      </c>
      <c r="F10714" s="1" t="s">
        <v>13</v>
      </c>
    </row>
    <row r="10715" spans="1:6" ht="30" customHeight="1" x14ac:dyDescent="0.25">
      <c r="A10715" s="1" t="s">
        <v>21318</v>
      </c>
      <c r="B10715" s="1" t="str">
        <f>"9780309589505"</f>
        <v>9780309589505</v>
      </c>
      <c r="C10715" s="1" t="s">
        <v>20924</v>
      </c>
      <c r="D10715" s="2">
        <v>35235</v>
      </c>
      <c r="E10715" s="1" t="s">
        <v>21319</v>
      </c>
      <c r="F10715" s="1" t="s">
        <v>6243</v>
      </c>
    </row>
    <row r="10716" spans="1:6" ht="30" customHeight="1" x14ac:dyDescent="0.25">
      <c r="A10716" s="1" t="s">
        <v>21320</v>
      </c>
      <c r="B10716" s="1" t="str">
        <f>"9780309591218"</f>
        <v>9780309591218</v>
      </c>
      <c r="C10716" s="1" t="s">
        <v>20924</v>
      </c>
      <c r="D10716" s="2">
        <v>35701</v>
      </c>
      <c r="E10716" s="1" t="s">
        <v>21321</v>
      </c>
      <c r="F10716" s="1" t="s">
        <v>21322</v>
      </c>
    </row>
    <row r="10717" spans="1:6" ht="30" customHeight="1" x14ac:dyDescent="0.25">
      <c r="A10717" s="1" t="s">
        <v>21323</v>
      </c>
      <c r="B10717" s="1" t="str">
        <f>"9780309593977"</f>
        <v>9780309593977</v>
      </c>
      <c r="C10717" s="1" t="s">
        <v>20924</v>
      </c>
      <c r="D10717" s="2">
        <v>36488</v>
      </c>
      <c r="E10717" s="1" t="s">
        <v>21324</v>
      </c>
      <c r="F10717" s="1" t="s">
        <v>95</v>
      </c>
    </row>
    <row r="10718" spans="1:6" ht="30" customHeight="1" x14ac:dyDescent="0.25">
      <c r="A10718" s="1" t="s">
        <v>21325</v>
      </c>
      <c r="B10718" s="1" t="str">
        <f>"9780309585057"</f>
        <v>9780309585057</v>
      </c>
      <c r="C10718" s="1" t="s">
        <v>20924</v>
      </c>
      <c r="D10718" s="2">
        <v>34394</v>
      </c>
      <c r="E10718" s="1" t="s">
        <v>21326</v>
      </c>
      <c r="F10718" s="1" t="s">
        <v>13</v>
      </c>
    </row>
    <row r="10719" spans="1:6" ht="30" customHeight="1" x14ac:dyDescent="0.25">
      <c r="A10719" s="1" t="s">
        <v>21327</v>
      </c>
      <c r="B10719" s="1" t="str">
        <f>"9780309591836"</f>
        <v>9780309591836</v>
      </c>
      <c r="C10719" s="1" t="s">
        <v>20924</v>
      </c>
      <c r="D10719" s="2">
        <v>35928</v>
      </c>
      <c r="E10719" s="1" t="s">
        <v>21328</v>
      </c>
      <c r="F10719" s="1" t="s">
        <v>349</v>
      </c>
    </row>
    <row r="10720" spans="1:6" ht="30" customHeight="1" x14ac:dyDescent="0.25">
      <c r="A10720" s="1" t="s">
        <v>21329</v>
      </c>
      <c r="B10720" s="1" t="str">
        <f>"9780309589833"</f>
        <v>9780309589833</v>
      </c>
      <c r="C10720" s="1" t="s">
        <v>20924</v>
      </c>
      <c r="D10720" s="2">
        <v>35422</v>
      </c>
      <c r="E10720" s="1" t="s">
        <v>21330</v>
      </c>
      <c r="F10720" s="1" t="s">
        <v>30</v>
      </c>
    </row>
    <row r="10721" spans="1:6" ht="30" customHeight="1" x14ac:dyDescent="0.25">
      <c r="A10721" s="1" t="s">
        <v>21331</v>
      </c>
      <c r="B10721" s="1" t="str">
        <f>"9780309592642"</f>
        <v>9780309592642</v>
      </c>
      <c r="C10721" s="1" t="s">
        <v>20924</v>
      </c>
      <c r="D10721" s="2">
        <v>36083</v>
      </c>
      <c r="E10721" s="1" t="s">
        <v>21332</v>
      </c>
      <c r="F10721" s="1" t="s">
        <v>13</v>
      </c>
    </row>
    <row r="10722" spans="1:6" ht="30" customHeight="1" x14ac:dyDescent="0.25">
      <c r="A10722" s="1" t="s">
        <v>21333</v>
      </c>
      <c r="B10722" s="1" t="str">
        <f>"9780309587617"</f>
        <v>9780309587617</v>
      </c>
      <c r="C10722" s="1" t="s">
        <v>20924</v>
      </c>
      <c r="D10722" s="2">
        <v>34700</v>
      </c>
      <c r="E10722" s="1" t="s">
        <v>21334</v>
      </c>
      <c r="F10722" s="1" t="s">
        <v>176</v>
      </c>
    </row>
    <row r="10723" spans="1:6" ht="30" customHeight="1" x14ac:dyDescent="0.25">
      <c r="A10723" s="1" t="s">
        <v>21335</v>
      </c>
      <c r="B10723" s="1" t="str">
        <f>"9780309582179"</f>
        <v>9780309582179</v>
      </c>
      <c r="C10723" s="1" t="s">
        <v>20924</v>
      </c>
      <c r="D10723" s="2">
        <v>32509</v>
      </c>
      <c r="E10723" s="1" t="s">
        <v>21336</v>
      </c>
      <c r="F10723" s="1" t="s">
        <v>70</v>
      </c>
    </row>
    <row r="10724" spans="1:6" ht="30" customHeight="1" x14ac:dyDescent="0.25">
      <c r="A10724" s="1" t="s">
        <v>21337</v>
      </c>
      <c r="B10724" s="1" t="str">
        <f>"9780309587136"</f>
        <v>9780309587136</v>
      </c>
      <c r="C10724" s="1" t="s">
        <v>20924</v>
      </c>
      <c r="D10724" s="2">
        <v>34835</v>
      </c>
      <c r="E10724" s="1" t="s">
        <v>21100</v>
      </c>
      <c r="F10724" s="1" t="s">
        <v>158</v>
      </c>
    </row>
    <row r="10725" spans="1:6" ht="30" customHeight="1" x14ac:dyDescent="0.25">
      <c r="A10725" s="1" t="s">
        <v>21338</v>
      </c>
      <c r="B10725" s="1" t="str">
        <f>"9780309591454"</f>
        <v>9780309591454</v>
      </c>
      <c r="C10725" s="1" t="s">
        <v>20924</v>
      </c>
      <c r="D10725" s="2">
        <v>35765</v>
      </c>
      <c r="E10725" s="1" t="s">
        <v>21339</v>
      </c>
      <c r="F10725" s="1" t="s">
        <v>268</v>
      </c>
    </row>
    <row r="10726" spans="1:6" ht="30" customHeight="1" x14ac:dyDescent="0.25">
      <c r="A10726" s="1" t="s">
        <v>21340</v>
      </c>
      <c r="B10726" s="1" t="str">
        <f>"9780309585415"</f>
        <v>9780309585415</v>
      </c>
      <c r="C10726" s="1" t="s">
        <v>20924</v>
      </c>
      <c r="D10726" s="2">
        <v>34335</v>
      </c>
      <c r="E10726" s="1" t="s">
        <v>21341</v>
      </c>
      <c r="F10726" s="1" t="s">
        <v>18010</v>
      </c>
    </row>
    <row r="10727" spans="1:6" ht="30" customHeight="1" x14ac:dyDescent="0.25">
      <c r="A10727" s="1" t="s">
        <v>21342</v>
      </c>
      <c r="B10727" s="1" t="str">
        <f>"9780309590556"</f>
        <v>9780309590556</v>
      </c>
      <c r="C10727" s="1" t="s">
        <v>20924</v>
      </c>
      <c r="D10727" s="2">
        <v>35580</v>
      </c>
      <c r="E10727" s="1" t="s">
        <v>21100</v>
      </c>
      <c r="F10727" s="1" t="s">
        <v>17280</v>
      </c>
    </row>
    <row r="10728" spans="1:6" ht="30" customHeight="1" x14ac:dyDescent="0.25">
      <c r="A10728" s="1" t="s">
        <v>21343</v>
      </c>
      <c r="B10728" s="1" t="str">
        <f>"9780309582582"</f>
        <v>9780309582582</v>
      </c>
      <c r="C10728" s="1" t="s">
        <v>20924</v>
      </c>
      <c r="D10728" s="2">
        <v>32874</v>
      </c>
      <c r="E10728" s="1" t="s">
        <v>21344</v>
      </c>
      <c r="F10728" s="1" t="s">
        <v>95</v>
      </c>
    </row>
    <row r="10729" spans="1:6" ht="30" customHeight="1" x14ac:dyDescent="0.25">
      <c r="A10729" s="1" t="s">
        <v>21345</v>
      </c>
      <c r="B10729" s="1" t="str">
        <f>"9780309589680"</f>
        <v>9780309589680</v>
      </c>
      <c r="C10729" s="1" t="s">
        <v>20924</v>
      </c>
      <c r="D10729" s="2">
        <v>35404</v>
      </c>
      <c r="E10729" s="1" t="s">
        <v>21346</v>
      </c>
      <c r="F10729" s="1" t="s">
        <v>11995</v>
      </c>
    </row>
    <row r="10730" spans="1:6" ht="30" customHeight="1" x14ac:dyDescent="0.25">
      <c r="A10730" s="1" t="s">
        <v>21347</v>
      </c>
      <c r="B10730" s="1" t="str">
        <f>"9780309593885"</f>
        <v>9780309593885</v>
      </c>
      <c r="C10730" s="1" t="s">
        <v>20924</v>
      </c>
      <c r="D10730" s="2">
        <v>36536</v>
      </c>
      <c r="E10730" s="1" t="s">
        <v>21348</v>
      </c>
      <c r="F10730" s="1" t="s">
        <v>30</v>
      </c>
    </row>
    <row r="10731" spans="1:6" ht="30" customHeight="1" x14ac:dyDescent="0.25">
      <c r="A10731" s="1" t="s">
        <v>21349</v>
      </c>
      <c r="B10731" s="1" t="str">
        <f>"9780309589260"</f>
        <v>9780309589260</v>
      </c>
      <c r="C10731" s="1" t="s">
        <v>20924</v>
      </c>
      <c r="D10731" s="2">
        <v>35339</v>
      </c>
      <c r="E10731" s="1" t="s">
        <v>21350</v>
      </c>
      <c r="F10731" s="1" t="s">
        <v>95</v>
      </c>
    </row>
    <row r="10732" spans="1:6" ht="30" customHeight="1" x14ac:dyDescent="0.25">
      <c r="A10732" s="1" t="s">
        <v>21351</v>
      </c>
      <c r="B10732" s="1" t="str">
        <f>"9780309590525"</f>
        <v>9780309590525</v>
      </c>
      <c r="C10732" s="1" t="s">
        <v>20924</v>
      </c>
      <c r="D10732" s="2">
        <v>35642</v>
      </c>
      <c r="E10732" s="1" t="s">
        <v>21289</v>
      </c>
      <c r="F10732" s="1" t="s">
        <v>158</v>
      </c>
    </row>
    <row r="10733" spans="1:6" ht="30" customHeight="1" x14ac:dyDescent="0.25">
      <c r="A10733" s="1" t="s">
        <v>21352</v>
      </c>
      <c r="B10733" s="1" t="str">
        <f>"9780309585866"</f>
        <v>9780309585866</v>
      </c>
      <c r="C10733" s="1" t="s">
        <v>20924</v>
      </c>
      <c r="D10733" s="2">
        <v>33970</v>
      </c>
      <c r="E10733" s="1" t="s">
        <v>21353</v>
      </c>
      <c r="F10733" s="1" t="s">
        <v>599</v>
      </c>
    </row>
    <row r="10734" spans="1:6" ht="30" customHeight="1" x14ac:dyDescent="0.25">
      <c r="A10734" s="1" t="s">
        <v>21354</v>
      </c>
      <c r="B10734" s="1" t="str">
        <f>"9780309585835"</f>
        <v>9780309585835</v>
      </c>
      <c r="C10734" s="1" t="s">
        <v>20924</v>
      </c>
      <c r="D10734" s="2">
        <v>33970</v>
      </c>
      <c r="E10734" s="1" t="s">
        <v>21355</v>
      </c>
      <c r="F10734" s="1" t="s">
        <v>114</v>
      </c>
    </row>
    <row r="10735" spans="1:6" ht="30" customHeight="1" x14ac:dyDescent="0.25">
      <c r="A10735" s="1" t="s">
        <v>21356</v>
      </c>
      <c r="B10735" s="1" t="str">
        <f>"9780309588843"</f>
        <v>9780309588843</v>
      </c>
      <c r="C10735" s="1" t="s">
        <v>20924</v>
      </c>
      <c r="D10735" s="2">
        <v>35090</v>
      </c>
      <c r="E10735" s="1" t="s">
        <v>21357</v>
      </c>
      <c r="F10735" s="1" t="s">
        <v>13</v>
      </c>
    </row>
    <row r="10736" spans="1:6" ht="30" customHeight="1" x14ac:dyDescent="0.25">
      <c r="A10736" s="1" t="s">
        <v>21358</v>
      </c>
      <c r="B10736" s="1" t="str">
        <f>"9780309581493"</f>
        <v>9780309581493</v>
      </c>
      <c r="C10736" s="1" t="s">
        <v>20924</v>
      </c>
      <c r="D10736" s="2">
        <v>31048</v>
      </c>
      <c r="E10736" s="1" t="s">
        <v>21359</v>
      </c>
      <c r="F10736" s="1" t="s">
        <v>13</v>
      </c>
    </row>
    <row r="10737" spans="1:6" ht="30" customHeight="1" x14ac:dyDescent="0.25">
      <c r="A10737" s="1" t="s">
        <v>21360</v>
      </c>
      <c r="B10737" s="1" t="str">
        <f>"9780309593403"</f>
        <v>9780309593403</v>
      </c>
      <c r="C10737" s="1" t="s">
        <v>20924</v>
      </c>
      <c r="D10737" s="2">
        <v>36026</v>
      </c>
      <c r="E10737" s="1" t="s">
        <v>21361</v>
      </c>
      <c r="F10737" s="1" t="s">
        <v>30</v>
      </c>
    </row>
    <row r="10738" spans="1:6" ht="30" customHeight="1" x14ac:dyDescent="0.25">
      <c r="A10738" s="1" t="s">
        <v>21362</v>
      </c>
      <c r="B10738" s="1" t="str">
        <f>"9780309582209"</f>
        <v>9780309582209</v>
      </c>
      <c r="C10738" s="1" t="s">
        <v>20924</v>
      </c>
      <c r="D10738" s="2">
        <v>32509</v>
      </c>
      <c r="E10738" s="1" t="s">
        <v>21363</v>
      </c>
      <c r="F10738" s="1" t="s">
        <v>13</v>
      </c>
    </row>
    <row r="10739" spans="1:6" ht="30" customHeight="1" x14ac:dyDescent="0.25">
      <c r="A10739" s="1" t="s">
        <v>21364</v>
      </c>
      <c r="B10739" s="1" t="str">
        <f>"9780309592161"</f>
        <v>9780309592161</v>
      </c>
      <c r="C10739" s="1" t="s">
        <v>20924</v>
      </c>
      <c r="D10739" s="2">
        <v>36095</v>
      </c>
      <c r="E10739" s="1" t="s">
        <v>21365</v>
      </c>
      <c r="F10739" s="1" t="s">
        <v>599</v>
      </c>
    </row>
    <row r="10740" spans="1:6" ht="30" customHeight="1" x14ac:dyDescent="0.25">
      <c r="A10740" s="1" t="s">
        <v>21366</v>
      </c>
      <c r="B10740" s="1" t="str">
        <f>"9780309593618"</f>
        <v>9780309593618</v>
      </c>
      <c r="C10740" s="1" t="s">
        <v>20924</v>
      </c>
      <c r="D10740" s="2">
        <v>35491</v>
      </c>
      <c r="E10740" s="1" t="s">
        <v>21367</v>
      </c>
      <c r="F10740" s="1" t="s">
        <v>158</v>
      </c>
    </row>
    <row r="10741" spans="1:6" ht="30" customHeight="1" x14ac:dyDescent="0.25">
      <c r="A10741" s="1" t="s">
        <v>21368</v>
      </c>
      <c r="B10741" s="1" t="str">
        <f>"9780309583244"</f>
        <v>9780309583244</v>
      </c>
      <c r="C10741" s="1" t="s">
        <v>20924</v>
      </c>
      <c r="D10741" s="2">
        <v>33239</v>
      </c>
      <c r="E10741" s="1" t="s">
        <v>21369</v>
      </c>
      <c r="F10741" s="1" t="s">
        <v>95</v>
      </c>
    </row>
    <row r="10742" spans="1:6" ht="30" customHeight="1" x14ac:dyDescent="0.25">
      <c r="A10742" s="1" t="s">
        <v>21370</v>
      </c>
      <c r="B10742" s="1" t="str">
        <f>"9780309531436"</f>
        <v>9780309531436</v>
      </c>
      <c r="C10742" s="1" t="s">
        <v>20924</v>
      </c>
      <c r="D10742" s="2">
        <v>38079</v>
      </c>
      <c r="E10742" s="1" t="s">
        <v>21371</v>
      </c>
      <c r="F10742" s="1" t="s">
        <v>214</v>
      </c>
    </row>
    <row r="10743" spans="1:6" ht="30" customHeight="1" x14ac:dyDescent="0.25">
      <c r="A10743" s="1" t="s">
        <v>21372</v>
      </c>
      <c r="B10743" s="1" t="str">
        <f>"9780309588485"</f>
        <v>9780309588485</v>
      </c>
      <c r="C10743" s="1" t="s">
        <v>20924</v>
      </c>
      <c r="D10743" s="2">
        <v>34897</v>
      </c>
      <c r="E10743" s="1" t="s">
        <v>21373</v>
      </c>
      <c r="F10743" s="1" t="s">
        <v>70</v>
      </c>
    </row>
    <row r="10744" spans="1:6" ht="30" customHeight="1" x14ac:dyDescent="0.25">
      <c r="A10744" s="1" t="s">
        <v>21374</v>
      </c>
      <c r="B10744" s="1" t="str">
        <f>"9780309527057"</f>
        <v>9780309527057</v>
      </c>
      <c r="C10744" s="1" t="s">
        <v>20924</v>
      </c>
      <c r="D10744" s="2">
        <v>38075</v>
      </c>
      <c r="E10744" s="1" t="s">
        <v>21375</v>
      </c>
      <c r="F10744" s="1" t="s">
        <v>95</v>
      </c>
    </row>
    <row r="10745" spans="1:6" ht="30" customHeight="1" x14ac:dyDescent="0.25">
      <c r="A10745" s="1" t="s">
        <v>21376</v>
      </c>
      <c r="B10745" s="1" t="str">
        <f>"9780309582087"</f>
        <v>9780309582087</v>
      </c>
      <c r="C10745" s="1" t="s">
        <v>20924</v>
      </c>
      <c r="D10745" s="2">
        <v>32509</v>
      </c>
      <c r="E10745" s="1" t="s">
        <v>21133</v>
      </c>
      <c r="F10745" s="1" t="s">
        <v>13</v>
      </c>
    </row>
    <row r="10746" spans="1:6" ht="30" customHeight="1" x14ac:dyDescent="0.25">
      <c r="A10746" s="1" t="s">
        <v>21377</v>
      </c>
      <c r="B10746" s="1" t="str">
        <f>"9780309584906"</f>
        <v>9780309584906</v>
      </c>
      <c r="C10746" s="1" t="s">
        <v>20924</v>
      </c>
      <c r="D10746" s="2">
        <v>33970</v>
      </c>
      <c r="E10746" s="1" t="s">
        <v>21100</v>
      </c>
      <c r="F10746" s="1" t="s">
        <v>70</v>
      </c>
    </row>
    <row r="10747" spans="1:6" ht="30" customHeight="1" x14ac:dyDescent="0.25">
      <c r="A10747" s="1" t="s">
        <v>21378</v>
      </c>
      <c r="B10747" s="1" t="str">
        <f>"9780309587914"</f>
        <v>9780309587914</v>
      </c>
      <c r="C10747" s="1" t="s">
        <v>20924</v>
      </c>
      <c r="D10747" s="2">
        <v>34719</v>
      </c>
      <c r="E10747" s="1" t="s">
        <v>21379</v>
      </c>
      <c r="F10747" s="1" t="s">
        <v>13</v>
      </c>
    </row>
    <row r="10748" spans="1:6" ht="30" customHeight="1" x14ac:dyDescent="0.25">
      <c r="A10748" s="1" t="s">
        <v>21380</v>
      </c>
      <c r="B10748" s="1" t="str">
        <f>"9780309584630"</f>
        <v>9780309584630</v>
      </c>
      <c r="C10748" s="1" t="s">
        <v>20924</v>
      </c>
      <c r="D10748" s="2">
        <v>33604</v>
      </c>
      <c r="E10748" s="1" t="s">
        <v>21381</v>
      </c>
      <c r="F10748" s="1" t="s">
        <v>70</v>
      </c>
    </row>
    <row r="10749" spans="1:6" ht="30" customHeight="1" x14ac:dyDescent="0.25">
      <c r="A10749" s="1" t="s">
        <v>21382</v>
      </c>
      <c r="B10749" s="1" t="str">
        <f>"9780309587976"</f>
        <v>9780309587976</v>
      </c>
      <c r="C10749" s="1" t="s">
        <v>20924</v>
      </c>
      <c r="D10749" s="2">
        <v>34760</v>
      </c>
      <c r="E10749" s="1" t="s">
        <v>21383</v>
      </c>
      <c r="F10749" s="1" t="s">
        <v>95</v>
      </c>
    </row>
    <row r="10750" spans="1:6" ht="30" customHeight="1" x14ac:dyDescent="0.25">
      <c r="A10750" s="1" t="s">
        <v>21384</v>
      </c>
      <c r="B10750" s="1" t="str">
        <f>"9780309588270"</f>
        <v>9780309588270</v>
      </c>
      <c r="C10750" s="1" t="s">
        <v>20924</v>
      </c>
      <c r="D10750" s="2">
        <v>34973</v>
      </c>
      <c r="E10750" s="1" t="s">
        <v>21385</v>
      </c>
      <c r="F10750" s="1" t="s">
        <v>95</v>
      </c>
    </row>
    <row r="10751" spans="1:6" ht="30" customHeight="1" x14ac:dyDescent="0.25">
      <c r="A10751" s="1" t="s">
        <v>21386</v>
      </c>
      <c r="B10751" s="1" t="str">
        <f>"9780309589659"</f>
        <v>9780309589659</v>
      </c>
      <c r="C10751" s="1" t="s">
        <v>20924</v>
      </c>
      <c r="D10751" s="2">
        <v>35398</v>
      </c>
      <c r="E10751" s="1" t="s">
        <v>21387</v>
      </c>
      <c r="F10751" s="1" t="s">
        <v>13</v>
      </c>
    </row>
    <row r="10752" spans="1:6" ht="30" customHeight="1" x14ac:dyDescent="0.25">
      <c r="A10752" s="1" t="s">
        <v>21388</v>
      </c>
      <c r="B10752" s="1" t="str">
        <f>"9780309585354"</f>
        <v>9780309585354</v>
      </c>
      <c r="C10752" s="1" t="s">
        <v>20924</v>
      </c>
      <c r="D10752" s="2">
        <v>33970</v>
      </c>
      <c r="E10752" s="1" t="s">
        <v>21100</v>
      </c>
      <c r="F10752" s="1" t="s">
        <v>70</v>
      </c>
    </row>
    <row r="10753" spans="1:6" ht="30" customHeight="1" x14ac:dyDescent="0.25">
      <c r="A10753" s="1" t="s">
        <v>21389</v>
      </c>
      <c r="B10753" s="1" t="str">
        <f>"9780309583862"</f>
        <v>9780309583862</v>
      </c>
      <c r="C10753" s="1" t="s">
        <v>20924</v>
      </c>
      <c r="D10753" s="2">
        <v>33970</v>
      </c>
      <c r="E10753" s="1" t="s">
        <v>21163</v>
      </c>
      <c r="F10753" s="1" t="s">
        <v>95</v>
      </c>
    </row>
    <row r="10754" spans="1:6" ht="30" customHeight="1" x14ac:dyDescent="0.25">
      <c r="A10754" s="1" t="s">
        <v>21390</v>
      </c>
      <c r="B10754" s="1" t="str">
        <f>"9780309590679"</f>
        <v>9780309590679</v>
      </c>
      <c r="C10754" s="1" t="s">
        <v>20924</v>
      </c>
      <c r="D10754" s="2">
        <v>35545</v>
      </c>
      <c r="E10754" s="1" t="s">
        <v>21391</v>
      </c>
      <c r="F10754" s="1" t="s">
        <v>13</v>
      </c>
    </row>
    <row r="10755" spans="1:6" ht="30" customHeight="1" x14ac:dyDescent="0.25">
      <c r="A10755" s="1" t="s">
        <v>21392</v>
      </c>
      <c r="B10755" s="1" t="str">
        <f>"9780309582940"</f>
        <v>9780309582940</v>
      </c>
      <c r="C10755" s="1" t="s">
        <v>20924</v>
      </c>
      <c r="D10755" s="2">
        <v>32874</v>
      </c>
      <c r="E10755" s="1" t="s">
        <v>21393</v>
      </c>
      <c r="F10755" s="1" t="s">
        <v>13</v>
      </c>
    </row>
    <row r="10756" spans="1:6" ht="30" customHeight="1" x14ac:dyDescent="0.25">
      <c r="A10756" s="1" t="s">
        <v>21394</v>
      </c>
      <c r="B10756" s="1" t="str">
        <f>"9780309592079"</f>
        <v>9780309592079</v>
      </c>
      <c r="C10756" s="1" t="s">
        <v>20924</v>
      </c>
      <c r="D10756" s="2">
        <v>36067</v>
      </c>
      <c r="E10756" s="1" t="s">
        <v>21395</v>
      </c>
      <c r="F10756" s="1" t="s">
        <v>30</v>
      </c>
    </row>
    <row r="10757" spans="1:6" ht="30" customHeight="1" x14ac:dyDescent="0.25">
      <c r="A10757" s="1" t="s">
        <v>21396</v>
      </c>
      <c r="B10757" s="1" t="str">
        <f>"9780309592499"</f>
        <v>9780309592499</v>
      </c>
      <c r="C10757" s="1" t="s">
        <v>20924</v>
      </c>
      <c r="D10757" s="2">
        <v>36035</v>
      </c>
      <c r="E10757" s="1" t="s">
        <v>21303</v>
      </c>
      <c r="F10757" s="1" t="s">
        <v>176</v>
      </c>
    </row>
    <row r="10758" spans="1:6" ht="30" customHeight="1" x14ac:dyDescent="0.25">
      <c r="A10758" s="1" t="s">
        <v>21397</v>
      </c>
      <c r="B10758" s="1" t="str">
        <f>"9780309586412"</f>
        <v>9780309586412</v>
      </c>
      <c r="C10758" s="1" t="s">
        <v>20924</v>
      </c>
      <c r="D10758" s="2">
        <v>34335</v>
      </c>
      <c r="E10758" s="1" t="s">
        <v>21398</v>
      </c>
      <c r="F10758" s="1" t="s">
        <v>13</v>
      </c>
    </row>
    <row r="10759" spans="1:6" ht="30" customHeight="1" x14ac:dyDescent="0.25">
      <c r="A10759" s="1" t="s">
        <v>21399</v>
      </c>
      <c r="B10759" s="1" t="str">
        <f>"9780309587730"</f>
        <v>9780309587730</v>
      </c>
      <c r="C10759" s="1" t="s">
        <v>20924</v>
      </c>
      <c r="D10759" s="2">
        <v>34711</v>
      </c>
      <c r="E10759" s="1" t="s">
        <v>21400</v>
      </c>
      <c r="F10759" s="1" t="s">
        <v>13</v>
      </c>
    </row>
    <row r="10760" spans="1:6" ht="30" customHeight="1" x14ac:dyDescent="0.25">
      <c r="A10760" s="1" t="s">
        <v>21401</v>
      </c>
      <c r="B10760" s="1" t="str">
        <f>"9780309594189"</f>
        <v>9780309594189</v>
      </c>
      <c r="C10760" s="1" t="s">
        <v>20924</v>
      </c>
      <c r="D10760" s="2">
        <v>37419</v>
      </c>
      <c r="E10760" s="1" t="s">
        <v>21402</v>
      </c>
      <c r="F10760" s="1" t="s">
        <v>13</v>
      </c>
    </row>
    <row r="10761" spans="1:6" ht="30" customHeight="1" x14ac:dyDescent="0.25">
      <c r="A10761" s="1" t="s">
        <v>21403</v>
      </c>
      <c r="B10761" s="1" t="str">
        <f>"9780309592130"</f>
        <v>9780309592130</v>
      </c>
      <c r="C10761" s="1" t="s">
        <v>20924</v>
      </c>
      <c r="D10761" s="2">
        <v>36000</v>
      </c>
      <c r="E10761" s="1" t="s">
        <v>21100</v>
      </c>
      <c r="F10761" s="1" t="s">
        <v>176</v>
      </c>
    </row>
    <row r="10762" spans="1:6" ht="30" customHeight="1" x14ac:dyDescent="0.25">
      <c r="A10762" s="1" t="s">
        <v>21404</v>
      </c>
      <c r="B10762" s="1" t="str">
        <f>"9780309530163"</f>
        <v>9780309530163</v>
      </c>
      <c r="C10762" s="1" t="s">
        <v>20924</v>
      </c>
      <c r="D10762" s="2">
        <v>38006</v>
      </c>
      <c r="E10762" s="1" t="s">
        <v>21405</v>
      </c>
      <c r="F10762" s="1" t="s">
        <v>13</v>
      </c>
    </row>
    <row r="10763" spans="1:6" ht="30" customHeight="1" x14ac:dyDescent="0.25">
      <c r="A10763" s="1" t="s">
        <v>21406</v>
      </c>
      <c r="B10763" s="1" t="str">
        <f>"9780309592888"</f>
        <v>9780309592888</v>
      </c>
      <c r="C10763" s="1" t="s">
        <v>20924</v>
      </c>
      <c r="D10763" s="2">
        <v>36174</v>
      </c>
      <c r="E10763" s="1" t="s">
        <v>21407</v>
      </c>
      <c r="F10763" s="1" t="s">
        <v>13</v>
      </c>
    </row>
    <row r="10764" spans="1:6" ht="30" customHeight="1" x14ac:dyDescent="0.25">
      <c r="A10764" s="1" t="s">
        <v>21408</v>
      </c>
      <c r="B10764" s="1" t="str">
        <f>"9780309581585"</f>
        <v>9780309581585</v>
      </c>
      <c r="C10764" s="1" t="s">
        <v>20924</v>
      </c>
      <c r="D10764" s="2">
        <v>31048</v>
      </c>
      <c r="E10764" s="1" t="s">
        <v>21409</v>
      </c>
      <c r="F10764" s="1" t="s">
        <v>356</v>
      </c>
    </row>
    <row r="10765" spans="1:6" ht="30" customHeight="1" x14ac:dyDescent="0.25">
      <c r="A10765" s="1" t="s">
        <v>21410</v>
      </c>
      <c r="B10765" s="1" t="str">
        <f>"9780309590259"</f>
        <v>9780309590259</v>
      </c>
      <c r="C10765" s="1" t="s">
        <v>20924</v>
      </c>
      <c r="D10765" s="2">
        <v>35536</v>
      </c>
      <c r="E10765" s="1" t="s">
        <v>21303</v>
      </c>
      <c r="F10765" s="1" t="s">
        <v>95</v>
      </c>
    </row>
    <row r="10766" spans="1:6" ht="30" customHeight="1" x14ac:dyDescent="0.25">
      <c r="A10766" s="1" t="s">
        <v>21411</v>
      </c>
      <c r="B10766" s="1" t="str">
        <f>"9780309589178"</f>
        <v>9780309589178</v>
      </c>
      <c r="C10766" s="1" t="s">
        <v>20924</v>
      </c>
      <c r="D10766" s="2">
        <v>35163</v>
      </c>
      <c r="E10766" s="1" t="s">
        <v>21412</v>
      </c>
      <c r="F10766" s="1" t="s">
        <v>95</v>
      </c>
    </row>
    <row r="10767" spans="1:6" ht="30" customHeight="1" x14ac:dyDescent="0.25">
      <c r="A10767" s="1" t="s">
        <v>21413</v>
      </c>
      <c r="B10767" s="1" t="str">
        <f>"9780309589567"</f>
        <v>9780309589567</v>
      </c>
      <c r="C10767" s="1" t="s">
        <v>20924</v>
      </c>
      <c r="D10767" s="2">
        <v>35258</v>
      </c>
      <c r="E10767" s="1" t="s">
        <v>21414</v>
      </c>
      <c r="F10767" s="1" t="s">
        <v>6430</v>
      </c>
    </row>
    <row r="10768" spans="1:6" ht="30" customHeight="1" x14ac:dyDescent="0.25">
      <c r="A10768" s="1" t="s">
        <v>21415</v>
      </c>
      <c r="B10768" s="1" t="str">
        <f>"9780309585200"</f>
        <v>9780309585200</v>
      </c>
      <c r="C10768" s="1" t="s">
        <v>20924</v>
      </c>
      <c r="D10768" s="2">
        <v>33604</v>
      </c>
      <c r="E10768" s="1" t="s">
        <v>21416</v>
      </c>
      <c r="F10768" s="1" t="s">
        <v>1985</v>
      </c>
    </row>
    <row r="10769" spans="1:6" ht="30" customHeight="1" x14ac:dyDescent="0.25">
      <c r="A10769" s="1" t="s">
        <v>21417</v>
      </c>
      <c r="B10769" s="1" t="str">
        <f>"9780309584661"</f>
        <v>9780309584661</v>
      </c>
      <c r="C10769" s="1" t="s">
        <v>20924</v>
      </c>
      <c r="D10769" s="2">
        <v>33970</v>
      </c>
      <c r="E10769" s="1" t="s">
        <v>21418</v>
      </c>
      <c r="F10769" s="1" t="s">
        <v>30</v>
      </c>
    </row>
    <row r="10770" spans="1:6" ht="30" customHeight="1" x14ac:dyDescent="0.25">
      <c r="A10770" s="1" t="s">
        <v>21419</v>
      </c>
      <c r="B10770" s="1" t="str">
        <f>"9780309528290"</f>
        <v>9780309528290</v>
      </c>
      <c r="C10770" s="1" t="s">
        <v>20924</v>
      </c>
      <c r="D10770" s="2">
        <v>38057</v>
      </c>
      <c r="E10770" s="1" t="s">
        <v>21420</v>
      </c>
      <c r="F10770" s="1" t="s">
        <v>356</v>
      </c>
    </row>
    <row r="10771" spans="1:6" ht="30" customHeight="1" x14ac:dyDescent="0.25">
      <c r="A10771" s="1" t="s">
        <v>21421</v>
      </c>
      <c r="B10771" s="1" t="str">
        <f>"9780309588607"</f>
        <v>9780309588607</v>
      </c>
      <c r="C10771" s="1" t="s">
        <v>20924</v>
      </c>
      <c r="D10771" s="2">
        <v>34981</v>
      </c>
      <c r="E10771" s="1" t="s">
        <v>21422</v>
      </c>
      <c r="F10771" s="1" t="s">
        <v>30</v>
      </c>
    </row>
    <row r="10772" spans="1:6" ht="30" customHeight="1" x14ac:dyDescent="0.25">
      <c r="A10772" s="1" t="s">
        <v>21423</v>
      </c>
      <c r="B10772" s="1" t="str">
        <f>"9780309589741"</f>
        <v>9780309589741</v>
      </c>
      <c r="C10772" s="1" t="s">
        <v>20924</v>
      </c>
      <c r="D10772" s="2">
        <v>35401</v>
      </c>
      <c r="E10772" s="1" t="s">
        <v>21424</v>
      </c>
      <c r="F10772" s="1" t="s">
        <v>95</v>
      </c>
    </row>
    <row r="10773" spans="1:6" ht="30" customHeight="1" x14ac:dyDescent="0.25">
      <c r="A10773" s="1" t="s">
        <v>21425</v>
      </c>
      <c r="B10773" s="1" t="str">
        <f>"9780309588904"</f>
        <v>9780309588904</v>
      </c>
      <c r="C10773" s="1" t="s">
        <v>20924</v>
      </c>
      <c r="D10773" s="2">
        <v>35083</v>
      </c>
      <c r="E10773" s="1" t="s">
        <v>21426</v>
      </c>
      <c r="F10773" s="1" t="s">
        <v>2285</v>
      </c>
    </row>
    <row r="10774" spans="1:6" ht="30" customHeight="1" x14ac:dyDescent="0.25">
      <c r="A10774" s="1" t="s">
        <v>21427</v>
      </c>
      <c r="B10774" s="1" t="str">
        <f>"9780309592109"</f>
        <v>9780309592109</v>
      </c>
      <c r="C10774" s="1" t="s">
        <v>20924</v>
      </c>
      <c r="D10774" s="2">
        <v>35942</v>
      </c>
      <c r="E10774" s="1" t="s">
        <v>21428</v>
      </c>
      <c r="F10774" s="1" t="s">
        <v>176</v>
      </c>
    </row>
    <row r="10775" spans="1:6" ht="30" customHeight="1" x14ac:dyDescent="0.25">
      <c r="A10775" s="1" t="s">
        <v>21429</v>
      </c>
      <c r="B10775" s="1" t="str">
        <f>"9780309529532"</f>
        <v>9780309529532</v>
      </c>
      <c r="C10775" s="1" t="s">
        <v>20924</v>
      </c>
      <c r="D10775" s="2">
        <v>38058</v>
      </c>
      <c r="E10775" s="1" t="s">
        <v>21430</v>
      </c>
      <c r="F10775" s="1" t="s">
        <v>13</v>
      </c>
    </row>
    <row r="10776" spans="1:6" ht="30" customHeight="1" x14ac:dyDescent="0.25">
      <c r="A10776" s="1" t="s">
        <v>21431</v>
      </c>
      <c r="B10776" s="1" t="str">
        <f>"9780309592918"</f>
        <v>9780309592918</v>
      </c>
      <c r="C10776" s="1" t="s">
        <v>20924</v>
      </c>
      <c r="D10776" s="2">
        <v>36200</v>
      </c>
      <c r="E10776" s="1" t="s">
        <v>21432</v>
      </c>
      <c r="F10776" s="1" t="s">
        <v>95</v>
      </c>
    </row>
    <row r="10777" spans="1:6" ht="30" customHeight="1" x14ac:dyDescent="0.25">
      <c r="A10777" s="1" t="s">
        <v>21433</v>
      </c>
      <c r="B10777" s="1" t="str">
        <f>"9780309530132"</f>
        <v>9780309530132</v>
      </c>
      <c r="C10777" s="1" t="s">
        <v>20924</v>
      </c>
      <c r="D10777" s="2">
        <v>38093</v>
      </c>
      <c r="E10777" s="1" t="s">
        <v>21434</v>
      </c>
      <c r="F10777" s="1" t="s">
        <v>148</v>
      </c>
    </row>
    <row r="10778" spans="1:6" ht="30" customHeight="1" x14ac:dyDescent="0.25">
      <c r="A10778" s="1" t="s">
        <v>21435</v>
      </c>
      <c r="B10778" s="1" t="str">
        <f>"9780309586504"</f>
        <v>9780309586504</v>
      </c>
      <c r="C10778" s="1" t="s">
        <v>20924</v>
      </c>
      <c r="D10778" s="2">
        <v>34335</v>
      </c>
      <c r="E10778" s="1" t="s">
        <v>21436</v>
      </c>
      <c r="F10778" s="1" t="s">
        <v>21</v>
      </c>
    </row>
    <row r="10779" spans="1:6" ht="30" customHeight="1" x14ac:dyDescent="0.25">
      <c r="A10779" s="1" t="s">
        <v>21437</v>
      </c>
      <c r="B10779" s="1" t="str">
        <f>"9780309581936"</f>
        <v>9780309581936</v>
      </c>
      <c r="C10779" s="1" t="s">
        <v>20924</v>
      </c>
      <c r="D10779" s="2">
        <v>32143</v>
      </c>
      <c r="E10779" s="1" t="s">
        <v>21438</v>
      </c>
      <c r="F10779" s="1" t="s">
        <v>13</v>
      </c>
    </row>
    <row r="10780" spans="1:6" ht="30" customHeight="1" x14ac:dyDescent="0.25">
      <c r="A10780" s="1" t="s">
        <v>21439</v>
      </c>
      <c r="B10780" s="1" t="str">
        <f>"9780309587044"</f>
        <v>9780309587044</v>
      </c>
      <c r="C10780" s="1" t="s">
        <v>20924</v>
      </c>
      <c r="D10780" s="2">
        <v>34335</v>
      </c>
      <c r="E10780" s="1" t="s">
        <v>21440</v>
      </c>
      <c r="F10780" s="1" t="s">
        <v>214</v>
      </c>
    </row>
    <row r="10781" spans="1:6" ht="30" customHeight="1" x14ac:dyDescent="0.25">
      <c r="A10781" s="1" t="s">
        <v>21441</v>
      </c>
      <c r="B10781" s="1" t="str">
        <f>"9780309589475"</f>
        <v>9780309589475</v>
      </c>
      <c r="C10781" s="1" t="s">
        <v>20924</v>
      </c>
      <c r="D10781" s="2">
        <v>35234</v>
      </c>
      <c r="E10781" s="1" t="s">
        <v>21100</v>
      </c>
      <c r="F10781" s="1" t="s">
        <v>1010</v>
      </c>
    </row>
    <row r="10782" spans="1:6" ht="30" customHeight="1" x14ac:dyDescent="0.25">
      <c r="A10782" s="1" t="s">
        <v>21442</v>
      </c>
      <c r="B10782" s="1" t="str">
        <f>"9780309588751"</f>
        <v>9780309588751</v>
      </c>
      <c r="C10782" s="1" t="s">
        <v>20924</v>
      </c>
      <c r="D10782" s="2">
        <v>35149</v>
      </c>
      <c r="E10782" s="1" t="s">
        <v>21443</v>
      </c>
      <c r="F10782" s="1" t="s">
        <v>13</v>
      </c>
    </row>
    <row r="10783" spans="1:6" ht="30" customHeight="1" x14ac:dyDescent="0.25">
      <c r="A10783" s="1" t="s">
        <v>21444</v>
      </c>
      <c r="B10783" s="1" t="str">
        <f>"9780309591898"</f>
        <v>9780309591898</v>
      </c>
      <c r="C10783" s="1" t="s">
        <v>20924</v>
      </c>
      <c r="D10783" s="2">
        <v>36060</v>
      </c>
      <c r="E10783" s="1" t="s">
        <v>21445</v>
      </c>
      <c r="F10783" s="1" t="s">
        <v>13</v>
      </c>
    </row>
    <row r="10784" spans="1:6" ht="30" customHeight="1" x14ac:dyDescent="0.25">
      <c r="A10784" s="1" t="s">
        <v>21446</v>
      </c>
      <c r="B10784" s="1" t="str">
        <f>"9780309593106"</f>
        <v>9780309593106</v>
      </c>
      <c r="C10784" s="1" t="s">
        <v>20924</v>
      </c>
      <c r="D10784" s="2">
        <v>35782</v>
      </c>
      <c r="E10784" s="1" t="s">
        <v>21447</v>
      </c>
      <c r="F10784" s="1" t="s">
        <v>70</v>
      </c>
    </row>
    <row r="10785" spans="1:6" ht="30" customHeight="1" x14ac:dyDescent="0.25">
      <c r="A10785" s="1" t="s">
        <v>21448</v>
      </c>
      <c r="B10785" s="1" t="str">
        <f>"9780309592857"</f>
        <v>9780309592857</v>
      </c>
      <c r="C10785" s="1" t="s">
        <v>20924</v>
      </c>
      <c r="D10785" s="2">
        <v>36151</v>
      </c>
      <c r="E10785" s="1" t="s">
        <v>21303</v>
      </c>
      <c r="F10785" s="1" t="s">
        <v>33</v>
      </c>
    </row>
    <row r="10786" spans="1:6" ht="30" customHeight="1" x14ac:dyDescent="0.25">
      <c r="A10786" s="1" t="s">
        <v>21449</v>
      </c>
      <c r="B10786" s="1" t="str">
        <f>"9780309591393"</f>
        <v>9780309591393</v>
      </c>
      <c r="C10786" s="1" t="s">
        <v>20924</v>
      </c>
      <c r="D10786" s="2">
        <v>35849</v>
      </c>
      <c r="E10786" s="1" t="s">
        <v>21450</v>
      </c>
      <c r="F10786" s="1" t="s">
        <v>30</v>
      </c>
    </row>
    <row r="10787" spans="1:6" ht="30" customHeight="1" x14ac:dyDescent="0.25">
      <c r="A10787" s="1" t="s">
        <v>21451</v>
      </c>
      <c r="B10787" s="1" t="str">
        <f>"9780309591331"</f>
        <v>9780309591331</v>
      </c>
      <c r="C10787" s="1" t="s">
        <v>20924</v>
      </c>
      <c r="D10787" s="2">
        <v>35733</v>
      </c>
      <c r="E10787" s="1" t="s">
        <v>21452</v>
      </c>
      <c r="F10787" s="1" t="s">
        <v>70</v>
      </c>
    </row>
    <row r="10788" spans="1:6" ht="30" customHeight="1" x14ac:dyDescent="0.25">
      <c r="A10788" s="1" t="s">
        <v>21453</v>
      </c>
      <c r="B10788" s="1" t="str">
        <f>"9780309586689"</f>
        <v>9780309586689</v>
      </c>
      <c r="C10788" s="1" t="s">
        <v>20924</v>
      </c>
      <c r="D10788" s="2">
        <v>34335</v>
      </c>
      <c r="E10788" s="1" t="s">
        <v>21111</v>
      </c>
      <c r="F10788" s="1" t="s">
        <v>30</v>
      </c>
    </row>
    <row r="10789" spans="1:6" ht="30" customHeight="1" x14ac:dyDescent="0.25">
      <c r="A10789" s="1" t="s">
        <v>21454</v>
      </c>
      <c r="B10789" s="1" t="str">
        <f>"9780309593915"</f>
        <v>9780309593915</v>
      </c>
      <c r="C10789" s="1" t="s">
        <v>20924</v>
      </c>
      <c r="D10789" s="2">
        <v>36161</v>
      </c>
      <c r="E10789" s="1" t="s">
        <v>21455</v>
      </c>
      <c r="F10789" s="1" t="s">
        <v>176</v>
      </c>
    </row>
    <row r="10790" spans="1:6" ht="30" customHeight="1" x14ac:dyDescent="0.25">
      <c r="A10790" s="1" t="s">
        <v>21456</v>
      </c>
      <c r="B10790" s="1" t="str">
        <f>"9780309588249"</f>
        <v>9780309588249</v>
      </c>
      <c r="C10790" s="1" t="s">
        <v>20924</v>
      </c>
      <c r="D10790" s="2">
        <v>34991</v>
      </c>
      <c r="E10790" s="1" t="s">
        <v>21457</v>
      </c>
      <c r="F10790" s="1" t="s">
        <v>973</v>
      </c>
    </row>
    <row r="10791" spans="1:6" ht="30" customHeight="1" x14ac:dyDescent="0.25">
      <c r="A10791" s="1" t="s">
        <v>21458</v>
      </c>
      <c r="B10791" s="1" t="str">
        <f>"9780309587792"</f>
        <v>9780309587792</v>
      </c>
      <c r="C10791" s="1" t="s">
        <v>20924</v>
      </c>
      <c r="D10791" s="2">
        <v>34908</v>
      </c>
      <c r="E10791" s="1" t="s">
        <v>21459</v>
      </c>
      <c r="F10791" s="1" t="s">
        <v>13</v>
      </c>
    </row>
    <row r="10792" spans="1:6" ht="30" customHeight="1" x14ac:dyDescent="0.25">
      <c r="A10792" s="1" t="s">
        <v>21460</v>
      </c>
      <c r="B10792" s="1" t="str">
        <f>"9780309530286"</f>
        <v>9780309530286</v>
      </c>
      <c r="C10792" s="1" t="s">
        <v>20924</v>
      </c>
      <c r="D10792" s="2">
        <v>38098</v>
      </c>
      <c r="E10792" s="1" t="s">
        <v>21461</v>
      </c>
      <c r="F10792" s="1" t="s">
        <v>13</v>
      </c>
    </row>
    <row r="10793" spans="1:6" ht="30" customHeight="1" x14ac:dyDescent="0.25">
      <c r="A10793" s="1" t="s">
        <v>21462</v>
      </c>
      <c r="B10793" s="1" t="str">
        <f>"9780309589628"</f>
        <v>9780309589628</v>
      </c>
      <c r="C10793" s="1" t="s">
        <v>20924</v>
      </c>
      <c r="D10793" s="2">
        <v>35271</v>
      </c>
      <c r="E10793" s="1" t="s">
        <v>21463</v>
      </c>
      <c r="F10793" s="1" t="s">
        <v>7296</v>
      </c>
    </row>
    <row r="10794" spans="1:6" ht="30" customHeight="1" x14ac:dyDescent="0.25">
      <c r="A10794" s="1" t="s">
        <v>21464</v>
      </c>
      <c r="B10794" s="1" t="str">
        <f>"9780309591539"</f>
        <v>9780309591539</v>
      </c>
      <c r="C10794" s="1" t="s">
        <v>20924</v>
      </c>
      <c r="D10794" s="2">
        <v>35857</v>
      </c>
      <c r="E10794" s="1" t="s">
        <v>21465</v>
      </c>
      <c r="F10794" s="1" t="s">
        <v>356</v>
      </c>
    </row>
    <row r="10795" spans="1:6" ht="30" customHeight="1" x14ac:dyDescent="0.25">
      <c r="A10795" s="1" t="s">
        <v>21466</v>
      </c>
      <c r="B10795" s="1" t="str">
        <f>"9780309530866"</f>
        <v>9780309530866</v>
      </c>
      <c r="C10795" s="1" t="s">
        <v>20924</v>
      </c>
      <c r="D10795" s="2">
        <v>38058</v>
      </c>
      <c r="E10795" s="1" t="s">
        <v>21467</v>
      </c>
      <c r="F10795" s="1" t="s">
        <v>13</v>
      </c>
    </row>
    <row r="10796" spans="1:6" ht="30" customHeight="1" x14ac:dyDescent="0.25">
      <c r="A10796" s="1" t="s">
        <v>21468</v>
      </c>
      <c r="B10796" s="1" t="str">
        <f>"9780309591775"</f>
        <v>9780309591775</v>
      </c>
      <c r="C10796" s="1" t="s">
        <v>20924</v>
      </c>
      <c r="D10796" s="2">
        <v>35865</v>
      </c>
      <c r="E10796" s="1" t="s">
        <v>21289</v>
      </c>
      <c r="F10796" s="1" t="s">
        <v>13</v>
      </c>
    </row>
    <row r="10797" spans="1:6" ht="30" customHeight="1" x14ac:dyDescent="0.25">
      <c r="A10797" s="1" t="s">
        <v>21469</v>
      </c>
      <c r="B10797" s="1" t="str">
        <f>"9780309593076"</f>
        <v>9780309593076</v>
      </c>
      <c r="C10797" s="1" t="s">
        <v>20924</v>
      </c>
      <c r="D10797" s="2">
        <v>35878</v>
      </c>
      <c r="E10797" s="1" t="s">
        <v>21470</v>
      </c>
      <c r="F10797" s="1" t="s">
        <v>148</v>
      </c>
    </row>
    <row r="10798" spans="1:6" ht="30" customHeight="1" x14ac:dyDescent="0.25">
      <c r="A10798" s="1" t="s">
        <v>21471</v>
      </c>
      <c r="B10798" s="1" t="str">
        <f>"9780309581905"</f>
        <v>9780309581905</v>
      </c>
      <c r="C10798" s="1" t="s">
        <v>20924</v>
      </c>
      <c r="D10798" s="2">
        <v>32143</v>
      </c>
      <c r="E10798" s="1" t="s">
        <v>21472</v>
      </c>
      <c r="F10798" s="1" t="s">
        <v>30</v>
      </c>
    </row>
    <row r="10799" spans="1:6" ht="30" customHeight="1" x14ac:dyDescent="0.25">
      <c r="A10799" s="1" t="s">
        <v>21473</v>
      </c>
      <c r="B10799" s="1" t="str">
        <f>"9780309584425"</f>
        <v>9780309584425</v>
      </c>
      <c r="C10799" s="1" t="s">
        <v>20924</v>
      </c>
      <c r="D10799" s="2">
        <v>33604</v>
      </c>
      <c r="E10799" s="1" t="s">
        <v>21474</v>
      </c>
      <c r="F10799" s="1" t="s">
        <v>13</v>
      </c>
    </row>
    <row r="10800" spans="1:6" ht="30" customHeight="1" x14ac:dyDescent="0.25">
      <c r="A10800" s="1" t="s">
        <v>21475</v>
      </c>
      <c r="B10800" s="1" t="str">
        <f>"9780309594066"</f>
        <v>9780309594066</v>
      </c>
      <c r="C10800" s="1" t="s">
        <v>20924</v>
      </c>
      <c r="D10800" s="2">
        <v>36628</v>
      </c>
      <c r="E10800" s="1" t="s">
        <v>21476</v>
      </c>
      <c r="F10800" s="1" t="s">
        <v>214</v>
      </c>
    </row>
    <row r="10801" spans="1:6" ht="30" customHeight="1" x14ac:dyDescent="0.25">
      <c r="A10801" s="1" t="s">
        <v>21477</v>
      </c>
      <c r="B10801" s="1" t="str">
        <f>"9780309592949"</f>
        <v>9780309592949</v>
      </c>
      <c r="C10801" s="1" t="s">
        <v>20924</v>
      </c>
      <c r="D10801" s="2">
        <v>36200</v>
      </c>
      <c r="E10801" s="1" t="s">
        <v>21478</v>
      </c>
      <c r="F10801" s="1" t="s">
        <v>30</v>
      </c>
    </row>
    <row r="10802" spans="1:6" ht="30" customHeight="1" x14ac:dyDescent="0.25">
      <c r="A10802" s="1" t="s">
        <v>21479</v>
      </c>
      <c r="B10802" s="1" t="str">
        <f>"9780309591621"</f>
        <v>9780309591621</v>
      </c>
      <c r="C10802" s="1" t="s">
        <v>20924</v>
      </c>
      <c r="D10802" s="2">
        <v>35850</v>
      </c>
      <c r="E10802" s="1" t="s">
        <v>21480</v>
      </c>
      <c r="F10802" s="1" t="s">
        <v>13</v>
      </c>
    </row>
    <row r="10803" spans="1:6" ht="30" customHeight="1" x14ac:dyDescent="0.25">
      <c r="A10803" s="1" t="s">
        <v>21481</v>
      </c>
      <c r="B10803" s="1" t="str">
        <f>"9780309597579"</f>
        <v>9780309597579</v>
      </c>
      <c r="C10803" s="1" t="s">
        <v>20924</v>
      </c>
      <c r="D10803" s="2">
        <v>33239</v>
      </c>
      <c r="E10803" s="1" t="s">
        <v>21482</v>
      </c>
      <c r="F10803" s="1" t="s">
        <v>30</v>
      </c>
    </row>
    <row r="10804" spans="1:6" ht="30" customHeight="1" x14ac:dyDescent="0.25">
      <c r="A10804" s="1" t="s">
        <v>21483</v>
      </c>
      <c r="B10804" s="1" t="str">
        <f>"9780309575577"</f>
        <v>9780309575577</v>
      </c>
      <c r="C10804" s="1" t="s">
        <v>20924</v>
      </c>
      <c r="D10804" s="2">
        <v>33573</v>
      </c>
      <c r="E10804" s="1" t="s">
        <v>21484</v>
      </c>
      <c r="F10804" s="1" t="s">
        <v>95</v>
      </c>
    </row>
    <row r="10805" spans="1:6" ht="30" customHeight="1" x14ac:dyDescent="0.25">
      <c r="A10805" s="1" t="s">
        <v>21485</v>
      </c>
      <c r="B10805" s="1" t="str">
        <f>"9780309574426"</f>
        <v>9780309574426</v>
      </c>
      <c r="C10805" s="1" t="s">
        <v>20924</v>
      </c>
      <c r="D10805" s="2">
        <v>33329</v>
      </c>
      <c r="E10805" s="1" t="s">
        <v>21171</v>
      </c>
      <c r="F10805" s="1" t="s">
        <v>95</v>
      </c>
    </row>
    <row r="10806" spans="1:6" ht="30" customHeight="1" x14ac:dyDescent="0.25">
      <c r="A10806" s="1" t="s">
        <v>21486</v>
      </c>
      <c r="B10806" s="1" t="str">
        <f>"9780309572453"</f>
        <v>9780309572453</v>
      </c>
      <c r="C10806" s="1" t="s">
        <v>20924</v>
      </c>
      <c r="D10806" s="2">
        <v>33239</v>
      </c>
      <c r="E10806" s="1" t="s">
        <v>21289</v>
      </c>
      <c r="F10806" s="1" t="s">
        <v>30</v>
      </c>
    </row>
    <row r="10807" spans="1:6" ht="30" customHeight="1" x14ac:dyDescent="0.25">
      <c r="A10807" s="1" t="s">
        <v>21487</v>
      </c>
      <c r="B10807" s="1" t="str">
        <f>"9780309572392"</f>
        <v>9780309572392</v>
      </c>
      <c r="C10807" s="1" t="s">
        <v>20924</v>
      </c>
      <c r="D10807" s="2">
        <v>33239</v>
      </c>
      <c r="E10807" s="1" t="s">
        <v>21488</v>
      </c>
      <c r="F10807" s="1" t="s">
        <v>70</v>
      </c>
    </row>
    <row r="10808" spans="1:6" ht="30" customHeight="1" x14ac:dyDescent="0.25">
      <c r="A10808" s="1" t="s">
        <v>21489</v>
      </c>
      <c r="B10808" s="1" t="str">
        <f>"9780309572699"</f>
        <v>9780309572699</v>
      </c>
      <c r="C10808" s="1" t="s">
        <v>20924</v>
      </c>
      <c r="D10808" s="2">
        <v>33604</v>
      </c>
      <c r="E10808" s="1" t="s">
        <v>21303</v>
      </c>
      <c r="F10808" s="1" t="s">
        <v>13</v>
      </c>
    </row>
    <row r="10809" spans="1:6" ht="30" customHeight="1" x14ac:dyDescent="0.25">
      <c r="A10809" s="1" t="s">
        <v>21490</v>
      </c>
      <c r="B10809" s="1" t="str">
        <f>"9780309572606"</f>
        <v>9780309572606</v>
      </c>
      <c r="C10809" s="1" t="s">
        <v>20924</v>
      </c>
      <c r="D10809" s="2">
        <v>33604</v>
      </c>
      <c r="E10809" s="1" t="s">
        <v>21303</v>
      </c>
      <c r="F10809" s="1" t="s">
        <v>13</v>
      </c>
    </row>
    <row r="10810" spans="1:6" ht="30" customHeight="1" x14ac:dyDescent="0.25">
      <c r="A10810" s="1" t="s">
        <v>21491</v>
      </c>
      <c r="B10810" s="1" t="str">
        <f>"9780309572811"</f>
        <v>9780309572811</v>
      </c>
      <c r="C10810" s="1" t="s">
        <v>20924</v>
      </c>
      <c r="D10810" s="2">
        <v>33604</v>
      </c>
      <c r="E10810" s="1" t="s">
        <v>21492</v>
      </c>
      <c r="F10810" s="1" t="s">
        <v>158</v>
      </c>
    </row>
    <row r="10811" spans="1:6" ht="30" customHeight="1" x14ac:dyDescent="0.25">
      <c r="A10811" s="1" t="s">
        <v>21493</v>
      </c>
      <c r="B10811" s="1" t="str">
        <f>"9780309598804"</f>
        <v>9780309598804</v>
      </c>
      <c r="C10811" s="1" t="s">
        <v>20924</v>
      </c>
      <c r="D10811" s="2">
        <v>30317</v>
      </c>
      <c r="E10811" s="1" t="s">
        <v>21111</v>
      </c>
      <c r="F10811" s="1" t="s">
        <v>10171</v>
      </c>
    </row>
    <row r="10812" spans="1:6" ht="30" customHeight="1" x14ac:dyDescent="0.25">
      <c r="A10812" s="1" t="s">
        <v>21494</v>
      </c>
      <c r="B10812" s="1" t="str">
        <f>"9780309597227"</f>
        <v>9780309597227</v>
      </c>
      <c r="C10812" s="1" t="s">
        <v>20924</v>
      </c>
      <c r="D10812" s="2">
        <v>32509</v>
      </c>
      <c r="E10812" s="1" t="s">
        <v>21100</v>
      </c>
      <c r="F10812" s="1" t="s">
        <v>13</v>
      </c>
    </row>
    <row r="10813" spans="1:6" ht="30" customHeight="1" x14ac:dyDescent="0.25">
      <c r="A10813" s="1" t="s">
        <v>21495</v>
      </c>
      <c r="B10813" s="1" t="str">
        <f>"9780309594899"</f>
        <v>9780309594899</v>
      </c>
      <c r="C10813" s="1" t="s">
        <v>20924</v>
      </c>
      <c r="D10813" s="2">
        <v>33239</v>
      </c>
      <c r="E10813" s="1" t="s">
        <v>21496</v>
      </c>
      <c r="F10813" s="1" t="s">
        <v>176</v>
      </c>
    </row>
    <row r="10814" spans="1:6" ht="30" customHeight="1" x14ac:dyDescent="0.25">
      <c r="A10814" s="1" t="s">
        <v>21497</v>
      </c>
      <c r="B10814" s="1" t="str">
        <f>"9780309594448"</f>
        <v>9780309594448</v>
      </c>
      <c r="C10814" s="1" t="s">
        <v>20924</v>
      </c>
      <c r="D10814" s="2">
        <v>27851</v>
      </c>
      <c r="E10814" s="1" t="s">
        <v>21498</v>
      </c>
      <c r="F10814" s="1" t="s">
        <v>200</v>
      </c>
    </row>
    <row r="10815" spans="1:6" ht="30" customHeight="1" x14ac:dyDescent="0.25">
      <c r="A10815" s="1" t="s">
        <v>21499</v>
      </c>
      <c r="B10815" s="1" t="str">
        <f>"9780309564786"</f>
        <v>9780309564786</v>
      </c>
      <c r="C10815" s="1" t="s">
        <v>20924</v>
      </c>
      <c r="D10815" s="2">
        <v>32843</v>
      </c>
      <c r="E10815" s="1" t="s">
        <v>20956</v>
      </c>
      <c r="F10815" s="1" t="s">
        <v>13</v>
      </c>
    </row>
    <row r="10816" spans="1:6" ht="30" customHeight="1" x14ac:dyDescent="0.25">
      <c r="A10816" s="1" t="s">
        <v>21500</v>
      </c>
      <c r="B10816" s="1" t="str">
        <f>"9780309596053"</f>
        <v>9780309596053</v>
      </c>
      <c r="C10816" s="1" t="s">
        <v>20924</v>
      </c>
      <c r="D10816" s="2">
        <v>32874</v>
      </c>
      <c r="E10816" s="1" t="s">
        <v>21501</v>
      </c>
      <c r="F10816" s="1" t="s">
        <v>1349</v>
      </c>
    </row>
    <row r="10817" spans="1:6" ht="30" customHeight="1" x14ac:dyDescent="0.25">
      <c r="A10817" s="1" t="s">
        <v>21502</v>
      </c>
      <c r="B10817" s="1" t="str">
        <f>"9780309598170"</f>
        <v>9780309598170</v>
      </c>
      <c r="C10817" s="1" t="s">
        <v>20924</v>
      </c>
      <c r="D10817" s="2">
        <v>34060</v>
      </c>
      <c r="E10817" s="1" t="s">
        <v>21503</v>
      </c>
      <c r="F10817" s="1" t="s">
        <v>1152</v>
      </c>
    </row>
    <row r="10818" spans="1:6" ht="30" customHeight="1" x14ac:dyDescent="0.25">
      <c r="A10818" s="1" t="s">
        <v>21504</v>
      </c>
      <c r="B10818" s="1" t="str">
        <f>"9780309571821"</f>
        <v>9780309571821</v>
      </c>
      <c r="C10818" s="1" t="s">
        <v>20924</v>
      </c>
      <c r="D10818" s="2">
        <v>32874</v>
      </c>
      <c r="E10818" s="1" t="s">
        <v>21505</v>
      </c>
      <c r="F10818" s="1" t="s">
        <v>5532</v>
      </c>
    </row>
    <row r="10819" spans="1:6" ht="30" customHeight="1" x14ac:dyDescent="0.25">
      <c r="A10819" s="1" t="s">
        <v>21506</v>
      </c>
      <c r="B10819" s="1" t="str">
        <f>"9780309595872"</f>
        <v>9780309595872</v>
      </c>
      <c r="C10819" s="1" t="s">
        <v>20924</v>
      </c>
      <c r="D10819" s="2">
        <v>32509</v>
      </c>
      <c r="E10819" s="1" t="s">
        <v>21507</v>
      </c>
      <c r="F10819" s="1" t="s">
        <v>19548</v>
      </c>
    </row>
    <row r="10820" spans="1:6" ht="30" customHeight="1" x14ac:dyDescent="0.25">
      <c r="A10820" s="1" t="s">
        <v>21508</v>
      </c>
      <c r="B10820" s="1" t="str">
        <f>"9780309564526"</f>
        <v>9780309564526</v>
      </c>
      <c r="C10820" s="1" t="s">
        <v>20924</v>
      </c>
      <c r="D10820" s="2">
        <v>32843</v>
      </c>
      <c r="E10820" s="1" t="s">
        <v>21509</v>
      </c>
      <c r="F10820" s="1" t="s">
        <v>114</v>
      </c>
    </row>
    <row r="10821" spans="1:6" ht="30" customHeight="1" x14ac:dyDescent="0.25">
      <c r="A10821" s="1" t="s">
        <v>21510</v>
      </c>
      <c r="B10821" s="1" t="str">
        <f>"9780309572309"</f>
        <v>9780309572309</v>
      </c>
      <c r="C10821" s="1" t="s">
        <v>20924</v>
      </c>
      <c r="D10821" s="2">
        <v>33604</v>
      </c>
      <c r="E10821" s="1" t="s">
        <v>21511</v>
      </c>
      <c r="F10821" s="1" t="s">
        <v>650</v>
      </c>
    </row>
    <row r="10822" spans="1:6" ht="30" customHeight="1" x14ac:dyDescent="0.25">
      <c r="A10822" s="1" t="s">
        <v>21512</v>
      </c>
      <c r="B10822" s="1" t="str">
        <f>"9780309594592"</f>
        <v>9780309594592</v>
      </c>
      <c r="C10822" s="1" t="s">
        <v>20924</v>
      </c>
      <c r="D10822" s="2">
        <v>31382</v>
      </c>
      <c r="E10822" s="1" t="s">
        <v>21139</v>
      </c>
      <c r="F10822" s="1" t="s">
        <v>200</v>
      </c>
    </row>
    <row r="10823" spans="1:6" ht="30" customHeight="1" x14ac:dyDescent="0.25">
      <c r="A10823" s="1" t="s">
        <v>21513</v>
      </c>
      <c r="B10823" s="1" t="str">
        <f>"9780309566865"</f>
        <v>9780309566865</v>
      </c>
      <c r="C10823" s="1" t="s">
        <v>20924</v>
      </c>
      <c r="D10823" s="2">
        <v>30286</v>
      </c>
      <c r="E10823" s="1" t="s">
        <v>21139</v>
      </c>
      <c r="F10823" s="1" t="s">
        <v>13</v>
      </c>
    </row>
    <row r="10824" spans="1:6" ht="30" customHeight="1" x14ac:dyDescent="0.25">
      <c r="A10824" s="1" t="s">
        <v>21514</v>
      </c>
      <c r="B10824" s="1" t="str">
        <f>"9780309597609"</f>
        <v>9780309597609</v>
      </c>
      <c r="C10824" s="1" t="s">
        <v>20924</v>
      </c>
      <c r="D10824" s="2">
        <v>33604</v>
      </c>
      <c r="E10824" s="1" t="s">
        <v>21515</v>
      </c>
      <c r="F10824" s="1" t="s">
        <v>13</v>
      </c>
    </row>
    <row r="10825" spans="1:6" ht="30" customHeight="1" x14ac:dyDescent="0.25">
      <c r="A10825" s="1" t="s">
        <v>21516</v>
      </c>
      <c r="B10825" s="1" t="str">
        <f>"9780309572330"</f>
        <v>9780309572330</v>
      </c>
      <c r="C10825" s="1" t="s">
        <v>20924</v>
      </c>
      <c r="D10825" s="2">
        <v>33239</v>
      </c>
      <c r="E10825" s="1" t="s">
        <v>21517</v>
      </c>
      <c r="F10825" s="1" t="s">
        <v>21518</v>
      </c>
    </row>
    <row r="10826" spans="1:6" ht="30" customHeight="1" x14ac:dyDescent="0.25">
      <c r="A10826" s="1" t="s">
        <v>21519</v>
      </c>
      <c r="B10826" s="1" t="str">
        <f>"9780309572217"</f>
        <v>9780309572217</v>
      </c>
      <c r="C10826" s="1" t="s">
        <v>20924</v>
      </c>
      <c r="D10826" s="2">
        <v>33239</v>
      </c>
      <c r="E10826" s="1" t="s">
        <v>21520</v>
      </c>
      <c r="F10826" s="1" t="s">
        <v>13</v>
      </c>
    </row>
    <row r="10827" spans="1:6" ht="30" customHeight="1" x14ac:dyDescent="0.25">
      <c r="A10827" s="1" t="s">
        <v>21521</v>
      </c>
      <c r="B10827" s="1" t="str">
        <f>"9780309597692"</f>
        <v>9780309597692</v>
      </c>
      <c r="C10827" s="1" t="s">
        <v>20924</v>
      </c>
      <c r="D10827" s="2">
        <v>33239</v>
      </c>
      <c r="E10827" s="1" t="s">
        <v>21522</v>
      </c>
      <c r="F10827" s="1" t="s">
        <v>95</v>
      </c>
    </row>
    <row r="10828" spans="1:6" ht="30" customHeight="1" x14ac:dyDescent="0.25">
      <c r="A10828" s="1" t="s">
        <v>21523</v>
      </c>
      <c r="B10828" s="1" t="str">
        <f>"9780309565097"</f>
        <v>9780309565097</v>
      </c>
      <c r="C10828" s="1" t="s">
        <v>20924</v>
      </c>
      <c r="D10828" s="2">
        <v>33208</v>
      </c>
      <c r="E10828" s="1" t="s">
        <v>21524</v>
      </c>
      <c r="F10828" s="1" t="s">
        <v>356</v>
      </c>
    </row>
    <row r="10829" spans="1:6" ht="30" customHeight="1" x14ac:dyDescent="0.25">
      <c r="A10829" s="1" t="s">
        <v>21525</v>
      </c>
      <c r="B10829" s="1" t="str">
        <f>"9780309595933"</f>
        <v>9780309595933</v>
      </c>
      <c r="C10829" s="1" t="s">
        <v>20924</v>
      </c>
      <c r="D10829" s="2">
        <v>32509</v>
      </c>
      <c r="E10829" s="1" t="s">
        <v>21163</v>
      </c>
      <c r="F10829" s="1" t="s">
        <v>114</v>
      </c>
    </row>
    <row r="10830" spans="1:6" ht="30" customHeight="1" x14ac:dyDescent="0.25">
      <c r="A10830" s="1" t="s">
        <v>21526</v>
      </c>
      <c r="B10830" s="1" t="str">
        <f>"9780309573269"</f>
        <v>9780309573269</v>
      </c>
      <c r="C10830" s="1" t="s">
        <v>20924</v>
      </c>
      <c r="D10830" s="2">
        <v>30317</v>
      </c>
      <c r="E10830" s="1" t="s">
        <v>21527</v>
      </c>
      <c r="F10830" s="1" t="s">
        <v>4861</v>
      </c>
    </row>
    <row r="10831" spans="1:6" ht="30" customHeight="1" x14ac:dyDescent="0.25">
      <c r="A10831" s="1" t="s">
        <v>21528</v>
      </c>
      <c r="B10831" s="1" t="str">
        <f>"9780309564281"</f>
        <v>9780309564281</v>
      </c>
      <c r="C10831" s="1" t="s">
        <v>20924</v>
      </c>
      <c r="D10831" s="2">
        <v>33635</v>
      </c>
      <c r="E10831" s="1" t="s">
        <v>21529</v>
      </c>
      <c r="F10831" s="1" t="s">
        <v>30</v>
      </c>
    </row>
    <row r="10832" spans="1:6" ht="30" customHeight="1" x14ac:dyDescent="0.25">
      <c r="A10832" s="1" t="s">
        <v>21530</v>
      </c>
      <c r="B10832" s="1" t="str">
        <f>"9780309572668"</f>
        <v>9780309572668</v>
      </c>
      <c r="C10832" s="1" t="s">
        <v>20924</v>
      </c>
      <c r="D10832" s="2">
        <v>33604</v>
      </c>
      <c r="E10832" s="1" t="s">
        <v>21531</v>
      </c>
      <c r="F10832" s="1" t="s">
        <v>176</v>
      </c>
    </row>
    <row r="10833" spans="1:6" ht="30" customHeight="1" x14ac:dyDescent="0.25">
      <c r="A10833" s="1" t="s">
        <v>21532</v>
      </c>
      <c r="B10833" s="1" t="str">
        <f>"9780309595964"</f>
        <v>9780309595964</v>
      </c>
      <c r="C10833" s="1" t="s">
        <v>20924</v>
      </c>
      <c r="D10833" s="2">
        <v>32509</v>
      </c>
      <c r="E10833" s="1" t="s">
        <v>21533</v>
      </c>
      <c r="F10833" s="1" t="s">
        <v>114</v>
      </c>
    </row>
    <row r="10834" spans="1:6" ht="30" customHeight="1" x14ac:dyDescent="0.25">
      <c r="A10834" s="1" t="s">
        <v>21534</v>
      </c>
      <c r="B10834" s="1" t="str">
        <f>"9780309597630"</f>
        <v>9780309597630</v>
      </c>
      <c r="C10834" s="1" t="s">
        <v>20924</v>
      </c>
      <c r="D10834" s="2">
        <v>33239</v>
      </c>
      <c r="E10834" s="1" t="s">
        <v>21535</v>
      </c>
      <c r="F10834" s="1" t="s">
        <v>158</v>
      </c>
    </row>
    <row r="10835" spans="1:6" ht="30" customHeight="1" x14ac:dyDescent="0.25">
      <c r="A10835" s="1" t="s">
        <v>21536</v>
      </c>
      <c r="B10835" s="1" t="str">
        <f>"9780309595285"</f>
        <v>9780309595285</v>
      </c>
      <c r="C10835" s="1" t="s">
        <v>20924</v>
      </c>
      <c r="D10835" s="2">
        <v>33604</v>
      </c>
      <c r="E10835" s="1" t="s">
        <v>21537</v>
      </c>
      <c r="F10835" s="1" t="s">
        <v>95</v>
      </c>
    </row>
    <row r="10836" spans="1:6" ht="30" customHeight="1" x14ac:dyDescent="0.25">
      <c r="A10836" s="1" t="s">
        <v>21538</v>
      </c>
      <c r="B10836" s="1" t="str">
        <f>"9780309595100"</f>
        <v>9780309595100</v>
      </c>
      <c r="C10836" s="1" t="s">
        <v>20924</v>
      </c>
      <c r="D10836" s="2">
        <v>33239</v>
      </c>
      <c r="E10836" s="1" t="s">
        <v>21539</v>
      </c>
      <c r="F10836" s="1" t="s">
        <v>3726</v>
      </c>
    </row>
    <row r="10837" spans="1:6" ht="30" customHeight="1" x14ac:dyDescent="0.25">
      <c r="A10837" s="1" t="s">
        <v>21540</v>
      </c>
      <c r="B10837" s="1" t="str">
        <f>"9780309572576"</f>
        <v>9780309572576</v>
      </c>
      <c r="C10837" s="1" t="s">
        <v>20924</v>
      </c>
      <c r="D10837" s="2">
        <v>33604</v>
      </c>
      <c r="E10837" s="1" t="s">
        <v>21541</v>
      </c>
      <c r="F10837" s="1" t="s">
        <v>95</v>
      </c>
    </row>
    <row r="10838" spans="1:6" ht="30" customHeight="1" x14ac:dyDescent="0.25">
      <c r="A10838" s="1" t="s">
        <v>21542</v>
      </c>
      <c r="B10838" s="1" t="str">
        <f>"9780309595049"</f>
        <v>9780309595049</v>
      </c>
      <c r="C10838" s="1" t="s">
        <v>20924</v>
      </c>
      <c r="D10838" s="2">
        <v>33604</v>
      </c>
      <c r="E10838" s="1" t="s">
        <v>21543</v>
      </c>
      <c r="F10838" s="1" t="s">
        <v>13</v>
      </c>
    </row>
    <row r="10839" spans="1:6" ht="30" customHeight="1" x14ac:dyDescent="0.25">
      <c r="A10839" s="1" t="s">
        <v>21544</v>
      </c>
      <c r="B10839" s="1" t="str">
        <f>"9780309597968"</f>
        <v>9780309597968</v>
      </c>
      <c r="C10839" s="1" t="s">
        <v>20924</v>
      </c>
      <c r="D10839" s="2">
        <v>33604</v>
      </c>
      <c r="E10839" s="1" t="s">
        <v>21545</v>
      </c>
      <c r="F10839" s="1" t="s">
        <v>13</v>
      </c>
    </row>
    <row r="10840" spans="1:6" ht="30" customHeight="1" x14ac:dyDescent="0.25">
      <c r="A10840" s="1" t="s">
        <v>21546</v>
      </c>
      <c r="B10840" s="1" t="str">
        <f>"9780309570176"</f>
        <v>9780309570176</v>
      </c>
      <c r="C10840" s="1" t="s">
        <v>20924</v>
      </c>
      <c r="D10840" s="2">
        <v>36008</v>
      </c>
      <c r="E10840" s="1" t="s">
        <v>20956</v>
      </c>
      <c r="F10840" s="1" t="s">
        <v>200</v>
      </c>
    </row>
    <row r="10841" spans="1:6" ht="30" customHeight="1" x14ac:dyDescent="0.25">
      <c r="A10841" s="1" t="s">
        <v>21547</v>
      </c>
      <c r="B10841" s="1" t="str">
        <f>"9780309574198"</f>
        <v>9780309574198</v>
      </c>
      <c r="C10841" s="1" t="s">
        <v>20924</v>
      </c>
      <c r="D10841" s="2">
        <v>37956</v>
      </c>
      <c r="E10841" s="1" t="s">
        <v>21121</v>
      </c>
      <c r="F10841" s="1" t="s">
        <v>95</v>
      </c>
    </row>
    <row r="10842" spans="1:6" ht="30" customHeight="1" x14ac:dyDescent="0.25">
      <c r="A10842" s="1" t="s">
        <v>21548</v>
      </c>
      <c r="B10842" s="1" t="str">
        <f>"9780309598200"</f>
        <v>9780309598200</v>
      </c>
      <c r="C10842" s="1" t="s">
        <v>20924</v>
      </c>
      <c r="D10842" s="2">
        <v>33970</v>
      </c>
      <c r="E10842" s="1" t="s">
        <v>21549</v>
      </c>
      <c r="F10842" s="1" t="s">
        <v>95</v>
      </c>
    </row>
    <row r="10843" spans="1:6" ht="30" customHeight="1" x14ac:dyDescent="0.25">
      <c r="A10843" s="1" t="s">
        <v>21550</v>
      </c>
      <c r="B10843" s="1" t="str">
        <f>"9780309569965"</f>
        <v>9780309569965</v>
      </c>
      <c r="C10843" s="1" t="s">
        <v>20924</v>
      </c>
      <c r="D10843" s="2">
        <v>35765</v>
      </c>
      <c r="E10843" s="1" t="s">
        <v>21139</v>
      </c>
      <c r="F10843" s="1" t="s">
        <v>13</v>
      </c>
    </row>
    <row r="10844" spans="1:6" ht="30" customHeight="1" x14ac:dyDescent="0.25">
      <c r="A10844" s="1" t="s">
        <v>21551</v>
      </c>
      <c r="B10844" s="1" t="str">
        <f>"9780309541671"</f>
        <v>9780309541671</v>
      </c>
      <c r="C10844" s="1" t="s">
        <v>20924</v>
      </c>
      <c r="D10844" s="2">
        <v>36861</v>
      </c>
      <c r="E10844" s="1" t="s">
        <v>21552</v>
      </c>
      <c r="F10844" s="1" t="s">
        <v>13</v>
      </c>
    </row>
    <row r="10845" spans="1:6" ht="30" customHeight="1" x14ac:dyDescent="0.25">
      <c r="A10845" s="1" t="s">
        <v>21553</v>
      </c>
      <c r="B10845" s="1" t="str">
        <f>"9780309570800"</f>
        <v>9780309570800</v>
      </c>
      <c r="C10845" s="1" t="s">
        <v>20924</v>
      </c>
      <c r="D10845" s="2">
        <v>36251</v>
      </c>
      <c r="E10845" s="1" t="s">
        <v>20956</v>
      </c>
      <c r="F10845" s="1" t="s">
        <v>200</v>
      </c>
    </row>
    <row r="10846" spans="1:6" ht="30" customHeight="1" x14ac:dyDescent="0.25">
      <c r="A10846" s="1" t="s">
        <v>21554</v>
      </c>
      <c r="B10846" s="1" t="str">
        <f>"9780309542029"</f>
        <v>9780309542029</v>
      </c>
      <c r="C10846" s="1" t="s">
        <v>20924</v>
      </c>
      <c r="D10846" s="2">
        <v>37226</v>
      </c>
      <c r="E10846" s="1" t="s">
        <v>21555</v>
      </c>
      <c r="F10846" s="1" t="s">
        <v>30</v>
      </c>
    </row>
    <row r="10847" spans="1:6" ht="30" customHeight="1" x14ac:dyDescent="0.25">
      <c r="A10847" s="1" t="s">
        <v>21556</v>
      </c>
      <c r="B10847" s="1" t="str">
        <f>"9780309573771"</f>
        <v>9780309573771</v>
      </c>
      <c r="C10847" s="1" t="s">
        <v>20924</v>
      </c>
      <c r="D10847" s="2">
        <v>36262</v>
      </c>
      <c r="E10847" s="1" t="s">
        <v>21557</v>
      </c>
      <c r="F10847" s="1" t="s">
        <v>70</v>
      </c>
    </row>
    <row r="10848" spans="1:6" ht="30" customHeight="1" x14ac:dyDescent="0.25">
      <c r="A10848" s="1" t="s">
        <v>21558</v>
      </c>
      <c r="B10848" s="1" t="str">
        <f>"9780309568838"</f>
        <v>9780309568838</v>
      </c>
      <c r="C10848" s="1" t="s">
        <v>20924</v>
      </c>
      <c r="D10848" s="2">
        <v>35582</v>
      </c>
      <c r="E10848" s="1" t="s">
        <v>20956</v>
      </c>
      <c r="F10848" s="1" t="s">
        <v>95</v>
      </c>
    </row>
    <row r="10849" spans="1:6" ht="30" customHeight="1" x14ac:dyDescent="0.25">
      <c r="A10849" s="1" t="s">
        <v>21559</v>
      </c>
      <c r="B10849" s="1" t="str">
        <f>"9780309573146"</f>
        <v>9780309573146</v>
      </c>
      <c r="C10849" s="1" t="s">
        <v>20924</v>
      </c>
      <c r="D10849" s="2">
        <v>33970</v>
      </c>
      <c r="E10849" s="1" t="s">
        <v>21560</v>
      </c>
      <c r="F10849" s="1" t="s">
        <v>95</v>
      </c>
    </row>
    <row r="10850" spans="1:6" ht="30" customHeight="1" x14ac:dyDescent="0.25">
      <c r="A10850" s="1" t="s">
        <v>21561</v>
      </c>
      <c r="B10850" s="1" t="str">
        <f>"9780309573443"</f>
        <v>9780309573443</v>
      </c>
      <c r="C10850" s="1" t="s">
        <v>20924</v>
      </c>
      <c r="D10850" s="2">
        <v>34772</v>
      </c>
      <c r="E10850" s="1" t="s">
        <v>21562</v>
      </c>
      <c r="F10850" s="1" t="s">
        <v>13</v>
      </c>
    </row>
    <row r="10851" spans="1:6" ht="30" customHeight="1" x14ac:dyDescent="0.25">
      <c r="A10851" s="1" t="s">
        <v>21563</v>
      </c>
      <c r="B10851" s="1" t="str">
        <f>"9780309598354"</f>
        <v>9780309598354</v>
      </c>
      <c r="C10851" s="1" t="s">
        <v>20924</v>
      </c>
      <c r="D10851" s="2">
        <v>33970</v>
      </c>
      <c r="E10851" s="1" t="s">
        <v>21564</v>
      </c>
      <c r="F10851" s="1" t="s">
        <v>268</v>
      </c>
    </row>
    <row r="10852" spans="1:6" ht="30" customHeight="1" x14ac:dyDescent="0.25">
      <c r="A10852" s="1" t="s">
        <v>21565</v>
      </c>
      <c r="B10852" s="1" t="str">
        <f>"9780309574150"</f>
        <v>9780309574150</v>
      </c>
      <c r="C10852" s="1" t="s">
        <v>20924</v>
      </c>
      <c r="D10852" s="2">
        <v>37956</v>
      </c>
      <c r="E10852" s="1" t="s">
        <v>21121</v>
      </c>
      <c r="F10852" s="1" t="s">
        <v>95</v>
      </c>
    </row>
    <row r="10853" spans="1:6" ht="30" customHeight="1" x14ac:dyDescent="0.25">
      <c r="A10853" s="1" t="s">
        <v>21566</v>
      </c>
      <c r="B10853" s="1" t="str">
        <f>"9780309598415"</f>
        <v>9780309598415</v>
      </c>
      <c r="C10853" s="1" t="s">
        <v>20924</v>
      </c>
      <c r="D10853" s="2">
        <v>33970</v>
      </c>
      <c r="E10853" s="1" t="s">
        <v>21100</v>
      </c>
      <c r="F10853" s="1" t="s">
        <v>158</v>
      </c>
    </row>
    <row r="10854" spans="1:6" ht="30" customHeight="1" x14ac:dyDescent="0.25">
      <c r="A10854" s="1" t="s">
        <v>21567</v>
      </c>
      <c r="B10854" s="1" t="str">
        <f>"9780309580700"</f>
        <v>9780309580700</v>
      </c>
      <c r="C10854" s="1" t="s">
        <v>20924</v>
      </c>
      <c r="D10854" s="2">
        <v>36161</v>
      </c>
      <c r="E10854" s="1" t="s">
        <v>21139</v>
      </c>
      <c r="F10854" s="1" t="s">
        <v>21568</v>
      </c>
    </row>
    <row r="10855" spans="1:6" ht="30" customHeight="1" x14ac:dyDescent="0.25">
      <c r="A10855" s="1" t="s">
        <v>21569</v>
      </c>
      <c r="B10855" s="1" t="str">
        <f>"9780309598538"</f>
        <v>9780309598538</v>
      </c>
      <c r="C10855" s="1" t="s">
        <v>20924</v>
      </c>
      <c r="D10855" s="2">
        <v>34757</v>
      </c>
      <c r="E10855" s="1" t="s">
        <v>21570</v>
      </c>
      <c r="F10855" s="1" t="s">
        <v>21</v>
      </c>
    </row>
    <row r="10856" spans="1:6" ht="30" customHeight="1" x14ac:dyDescent="0.25">
      <c r="A10856" s="1" t="s">
        <v>21571</v>
      </c>
      <c r="B10856" s="1" t="str">
        <f>"9780309531016"</f>
        <v>9780309531016</v>
      </c>
      <c r="C10856" s="1" t="s">
        <v>20924</v>
      </c>
      <c r="D10856" s="2">
        <v>38124</v>
      </c>
      <c r="E10856" s="1" t="s">
        <v>21572</v>
      </c>
      <c r="F10856" s="1" t="s">
        <v>13</v>
      </c>
    </row>
    <row r="10857" spans="1:6" ht="30" customHeight="1" x14ac:dyDescent="0.25">
      <c r="A10857" s="1" t="s">
        <v>21573</v>
      </c>
      <c r="B10857" s="1" t="str">
        <f>"9780309597012"</f>
        <v>9780309597012</v>
      </c>
      <c r="C10857" s="1" t="s">
        <v>20924</v>
      </c>
      <c r="D10857" s="2">
        <v>36255</v>
      </c>
      <c r="E10857" s="1" t="s">
        <v>21303</v>
      </c>
      <c r="F10857" s="1" t="s">
        <v>13</v>
      </c>
    </row>
    <row r="10858" spans="1:6" ht="30" customHeight="1" x14ac:dyDescent="0.25">
      <c r="A10858" s="1" t="s">
        <v>21574</v>
      </c>
      <c r="B10858" s="1" t="str">
        <f>"9780309581196"</f>
        <v>9780309581196</v>
      </c>
      <c r="C10858" s="1" t="s">
        <v>20924</v>
      </c>
      <c r="D10858" s="2">
        <v>36404</v>
      </c>
      <c r="E10858" s="1" t="s">
        <v>20956</v>
      </c>
      <c r="F10858" s="1" t="s">
        <v>650</v>
      </c>
    </row>
    <row r="10859" spans="1:6" ht="30" customHeight="1" x14ac:dyDescent="0.25">
      <c r="A10859" s="1" t="s">
        <v>21575</v>
      </c>
      <c r="B10859" s="1" t="str">
        <f>"9780309580526"</f>
        <v>9780309580526</v>
      </c>
      <c r="C10859" s="1" t="s">
        <v>20924</v>
      </c>
      <c r="D10859" s="2">
        <v>36008</v>
      </c>
      <c r="E10859" s="1" t="s">
        <v>21139</v>
      </c>
      <c r="F10859" s="1" t="s">
        <v>176</v>
      </c>
    </row>
    <row r="10860" spans="1:6" ht="30" customHeight="1" x14ac:dyDescent="0.25">
      <c r="A10860" s="1" t="s">
        <v>21576</v>
      </c>
      <c r="B10860" s="1" t="str">
        <f>"9780309597043"</f>
        <v>9780309597043</v>
      </c>
      <c r="C10860" s="1" t="s">
        <v>20924</v>
      </c>
      <c r="D10860" s="2">
        <v>36279</v>
      </c>
      <c r="E10860" s="1" t="s">
        <v>21303</v>
      </c>
      <c r="F10860" s="1" t="s">
        <v>95</v>
      </c>
    </row>
    <row r="10861" spans="1:6" ht="30" customHeight="1" x14ac:dyDescent="0.25">
      <c r="A10861" s="1" t="s">
        <v>21547</v>
      </c>
      <c r="B10861" s="1" t="str">
        <f>"9780309541510"</f>
        <v>9780309541510</v>
      </c>
      <c r="C10861" s="1" t="s">
        <v>20924</v>
      </c>
      <c r="D10861" s="2">
        <v>36495</v>
      </c>
      <c r="E10861" s="1" t="s">
        <v>21121</v>
      </c>
      <c r="F10861" s="1" t="s">
        <v>95</v>
      </c>
    </row>
    <row r="10862" spans="1:6" ht="30" customHeight="1" x14ac:dyDescent="0.25">
      <c r="A10862" s="1" t="s">
        <v>21577</v>
      </c>
      <c r="B10862" s="1" t="str">
        <f>"9780309541657"</f>
        <v>9780309541657</v>
      </c>
      <c r="C10862" s="1" t="s">
        <v>20924</v>
      </c>
      <c r="D10862" s="2">
        <v>36861</v>
      </c>
      <c r="E10862" s="1" t="s">
        <v>21552</v>
      </c>
      <c r="F10862" s="1" t="s">
        <v>13</v>
      </c>
    </row>
    <row r="10863" spans="1:6" ht="30" customHeight="1" x14ac:dyDescent="0.25">
      <c r="A10863" s="1" t="s">
        <v>21578</v>
      </c>
      <c r="B10863" s="1" t="str">
        <f>"9780309596749"</f>
        <v>9780309596749</v>
      </c>
      <c r="C10863" s="1" t="s">
        <v>20924</v>
      </c>
      <c r="D10863" s="2">
        <v>35433</v>
      </c>
      <c r="E10863" s="1" t="s">
        <v>21579</v>
      </c>
      <c r="F10863" s="1" t="s">
        <v>95</v>
      </c>
    </row>
    <row r="10864" spans="1:6" ht="30" customHeight="1" x14ac:dyDescent="0.25">
      <c r="A10864" s="1" t="s">
        <v>21580</v>
      </c>
      <c r="B10864" s="1" t="str">
        <f>"9780309570688"</f>
        <v>9780309570688</v>
      </c>
      <c r="C10864" s="1" t="s">
        <v>20924</v>
      </c>
      <c r="D10864" s="2">
        <v>36130</v>
      </c>
      <c r="E10864" s="1" t="s">
        <v>21581</v>
      </c>
      <c r="F10864" s="1" t="s">
        <v>30</v>
      </c>
    </row>
    <row r="10865" spans="1:6" ht="30" customHeight="1" x14ac:dyDescent="0.25">
      <c r="A10865" s="1" t="s">
        <v>21582</v>
      </c>
      <c r="B10865" s="1" t="str">
        <f>"9780309529327"</f>
        <v>9780309529327</v>
      </c>
      <c r="C10865" s="1" t="s">
        <v>20924</v>
      </c>
      <c r="D10865" s="2">
        <v>37945</v>
      </c>
      <c r="E10865" s="1" t="s">
        <v>21583</v>
      </c>
      <c r="F10865" s="1" t="s">
        <v>2130</v>
      </c>
    </row>
    <row r="10866" spans="1:6" ht="30" customHeight="1" x14ac:dyDescent="0.25">
      <c r="A10866" s="1" t="s">
        <v>21584</v>
      </c>
      <c r="B10866" s="1" t="str">
        <f>"9780309596411"</f>
        <v>9780309596411</v>
      </c>
      <c r="C10866" s="1" t="s">
        <v>20924</v>
      </c>
      <c r="D10866" s="2">
        <v>34335</v>
      </c>
      <c r="E10866" s="1" t="s">
        <v>21391</v>
      </c>
      <c r="F10866" s="1" t="s">
        <v>10657</v>
      </c>
    </row>
    <row r="10867" spans="1:6" ht="30" customHeight="1" x14ac:dyDescent="0.25">
      <c r="A10867" s="1" t="s">
        <v>21366</v>
      </c>
      <c r="B10867" s="1" t="str">
        <f>"9780309596923"</f>
        <v>9780309596923</v>
      </c>
      <c r="C10867" s="1" t="s">
        <v>20924</v>
      </c>
      <c r="D10867" s="2">
        <v>35916</v>
      </c>
      <c r="E10867" s="1" t="s">
        <v>21367</v>
      </c>
      <c r="F10867" s="1" t="s">
        <v>176</v>
      </c>
    </row>
    <row r="10868" spans="1:6" ht="30" customHeight="1" x14ac:dyDescent="0.25">
      <c r="A10868" s="1" t="s">
        <v>21585</v>
      </c>
      <c r="B10868" s="1" t="str">
        <f>"9780309576321"</f>
        <v>9780309576321</v>
      </c>
      <c r="C10868" s="1" t="s">
        <v>20924</v>
      </c>
      <c r="D10868" s="2">
        <v>34243</v>
      </c>
      <c r="E10868" s="1" t="s">
        <v>21586</v>
      </c>
      <c r="F10868" s="1" t="s">
        <v>137</v>
      </c>
    </row>
    <row r="10869" spans="1:6" ht="30" customHeight="1" x14ac:dyDescent="0.25">
      <c r="A10869" s="1" t="s">
        <v>21587</v>
      </c>
      <c r="B10869" s="1" t="str">
        <f>"9780309573412"</f>
        <v>9780309573412</v>
      </c>
      <c r="C10869" s="1" t="s">
        <v>20924</v>
      </c>
      <c r="D10869" s="2">
        <v>34335</v>
      </c>
      <c r="E10869" s="1" t="s">
        <v>21588</v>
      </c>
      <c r="F10869" s="1" t="s">
        <v>205</v>
      </c>
    </row>
    <row r="10870" spans="1:6" ht="30" customHeight="1" x14ac:dyDescent="0.25">
      <c r="A10870" s="1" t="s">
        <v>21589</v>
      </c>
      <c r="B10870" s="1" t="str">
        <f>"9780309571463"</f>
        <v>9780309571463</v>
      </c>
      <c r="C10870" s="1" t="s">
        <v>20924</v>
      </c>
      <c r="D10870" s="2">
        <v>36557</v>
      </c>
      <c r="E10870" s="1" t="s">
        <v>21590</v>
      </c>
      <c r="F10870" s="1" t="s">
        <v>114</v>
      </c>
    </row>
    <row r="10871" spans="1:6" ht="30" customHeight="1" x14ac:dyDescent="0.25">
      <c r="A10871" s="1" t="s">
        <v>21591</v>
      </c>
      <c r="B10871" s="1" t="str">
        <f>"9780309578851"</f>
        <v>9780309578851</v>
      </c>
      <c r="C10871" s="1" t="s">
        <v>20924</v>
      </c>
      <c r="D10871" s="2">
        <v>35735</v>
      </c>
      <c r="E10871" s="1" t="s">
        <v>21592</v>
      </c>
      <c r="F10871" s="1" t="s">
        <v>2130</v>
      </c>
    </row>
    <row r="10872" spans="1:6" ht="30" customHeight="1" x14ac:dyDescent="0.25">
      <c r="A10872" s="1" t="s">
        <v>21593</v>
      </c>
      <c r="B10872" s="1" t="str">
        <f>"9780309596626"</f>
        <v>9780309596626</v>
      </c>
      <c r="C10872" s="1" t="s">
        <v>20924</v>
      </c>
      <c r="D10872" s="2">
        <v>35195</v>
      </c>
      <c r="E10872" s="1" t="s">
        <v>21594</v>
      </c>
      <c r="F10872" s="1" t="s">
        <v>176</v>
      </c>
    </row>
    <row r="10873" spans="1:6" ht="30" customHeight="1" x14ac:dyDescent="0.25">
      <c r="A10873" s="1" t="s">
        <v>21595</v>
      </c>
      <c r="B10873" s="1" t="str">
        <f>"9780309569194"</f>
        <v>9780309569194</v>
      </c>
      <c r="C10873" s="1" t="s">
        <v>20924</v>
      </c>
      <c r="D10873" s="2">
        <v>35612</v>
      </c>
      <c r="E10873" s="1" t="s">
        <v>21139</v>
      </c>
      <c r="F10873" s="1" t="s">
        <v>158</v>
      </c>
    </row>
    <row r="10874" spans="1:6" ht="30" customHeight="1" x14ac:dyDescent="0.25">
      <c r="A10874" s="1" t="s">
        <v>21596</v>
      </c>
      <c r="B10874" s="1" t="str">
        <f>"9780309596954"</f>
        <v>9780309596954</v>
      </c>
      <c r="C10874" s="1" t="s">
        <v>20924</v>
      </c>
      <c r="D10874" s="2">
        <v>36370</v>
      </c>
      <c r="E10874" s="1" t="s">
        <v>21597</v>
      </c>
      <c r="F10874" s="1" t="s">
        <v>214</v>
      </c>
    </row>
    <row r="10875" spans="1:6" ht="30" customHeight="1" x14ac:dyDescent="0.25">
      <c r="A10875" s="1" t="s">
        <v>21598</v>
      </c>
      <c r="B10875" s="1" t="str">
        <f>"9780309532068"</f>
        <v>9780309532068</v>
      </c>
      <c r="C10875" s="1" t="s">
        <v>20924</v>
      </c>
      <c r="D10875" s="2">
        <v>35431</v>
      </c>
      <c r="E10875" s="1" t="s">
        <v>21599</v>
      </c>
      <c r="F10875" s="1" t="s">
        <v>148</v>
      </c>
    </row>
    <row r="10876" spans="1:6" ht="30" customHeight="1" x14ac:dyDescent="0.25">
      <c r="A10876" s="1" t="s">
        <v>21600</v>
      </c>
      <c r="B10876" s="1" t="str">
        <f>"9780309598620"</f>
        <v>9780309598620</v>
      </c>
      <c r="C10876" s="1" t="s">
        <v>20924</v>
      </c>
      <c r="D10876" s="2">
        <v>34717</v>
      </c>
      <c r="E10876" s="1" t="s">
        <v>21601</v>
      </c>
      <c r="F10876" s="1" t="s">
        <v>10171</v>
      </c>
    </row>
    <row r="10877" spans="1:6" ht="30" customHeight="1" x14ac:dyDescent="0.25">
      <c r="A10877" s="1" t="s">
        <v>21602</v>
      </c>
      <c r="B10877" s="1" t="str">
        <f>"9780309598569"</f>
        <v>9780309598569</v>
      </c>
      <c r="C10877" s="1" t="s">
        <v>20924</v>
      </c>
      <c r="D10877" s="2">
        <v>34730</v>
      </c>
      <c r="E10877" s="1" t="s">
        <v>21603</v>
      </c>
      <c r="F10877" s="1" t="s">
        <v>176</v>
      </c>
    </row>
    <row r="10878" spans="1:6" ht="30" customHeight="1" x14ac:dyDescent="0.25">
      <c r="A10878" s="1" t="s">
        <v>21604</v>
      </c>
      <c r="B10878" s="1" t="str">
        <f>"9780309563888"</f>
        <v>9780309563888</v>
      </c>
      <c r="C10878" s="1" t="s">
        <v>20924</v>
      </c>
      <c r="D10878" s="2">
        <v>37956</v>
      </c>
      <c r="E10878" s="1" t="s">
        <v>21605</v>
      </c>
      <c r="F10878" s="1" t="s">
        <v>21606</v>
      </c>
    </row>
    <row r="10879" spans="1:6" ht="30" customHeight="1" x14ac:dyDescent="0.25">
      <c r="A10879" s="1" t="s">
        <v>21607</v>
      </c>
      <c r="B10879" s="1" t="str">
        <f>"9780309541558"</f>
        <v>9780309541558</v>
      </c>
      <c r="C10879" s="1" t="s">
        <v>20924</v>
      </c>
      <c r="D10879" s="2">
        <v>36861</v>
      </c>
      <c r="E10879" s="1" t="s">
        <v>21581</v>
      </c>
      <c r="F10879" s="1" t="s">
        <v>13</v>
      </c>
    </row>
    <row r="10880" spans="1:6" ht="30" customHeight="1" x14ac:dyDescent="0.25">
      <c r="A10880" s="1" t="s">
        <v>21608</v>
      </c>
      <c r="B10880" s="1" t="str">
        <f>"9780309581103"</f>
        <v>9780309581103</v>
      </c>
      <c r="C10880" s="1" t="s">
        <v>20924</v>
      </c>
      <c r="D10880" s="2">
        <v>36281</v>
      </c>
      <c r="E10880" s="1" t="s">
        <v>20956</v>
      </c>
      <c r="F10880" s="1" t="s">
        <v>158</v>
      </c>
    </row>
    <row r="10881" spans="1:6" ht="30" customHeight="1" x14ac:dyDescent="0.25">
      <c r="A10881" s="1" t="s">
        <v>21609</v>
      </c>
      <c r="B10881" s="1" t="str">
        <f>"9780309596381"</f>
        <v>9780309596381</v>
      </c>
      <c r="C10881" s="1" t="s">
        <v>20924</v>
      </c>
      <c r="D10881" s="2">
        <v>34182</v>
      </c>
      <c r="E10881" s="1" t="s">
        <v>21139</v>
      </c>
      <c r="F10881" s="1" t="s">
        <v>148</v>
      </c>
    </row>
    <row r="10882" spans="1:6" ht="30" customHeight="1" x14ac:dyDescent="0.25">
      <c r="A10882" s="1" t="s">
        <v>21610</v>
      </c>
      <c r="B10882" s="1" t="str">
        <f>"9780309578073"</f>
        <v>9780309578073</v>
      </c>
      <c r="C10882" s="1" t="s">
        <v>20924</v>
      </c>
      <c r="D10882" s="2">
        <v>35156</v>
      </c>
      <c r="E10882" s="1" t="s">
        <v>21611</v>
      </c>
      <c r="F10882" s="1" t="s">
        <v>13</v>
      </c>
    </row>
    <row r="10883" spans="1:6" ht="30" customHeight="1" x14ac:dyDescent="0.25">
      <c r="A10883" s="1" t="s">
        <v>21612</v>
      </c>
      <c r="B10883" s="1" t="str">
        <f>"9780309574174"</f>
        <v>9780309574174</v>
      </c>
      <c r="C10883" s="1" t="s">
        <v>20924</v>
      </c>
      <c r="D10883" s="2">
        <v>37956</v>
      </c>
      <c r="E10883" s="1" t="s">
        <v>21121</v>
      </c>
      <c r="F10883" s="1" t="s">
        <v>30</v>
      </c>
    </row>
    <row r="10884" spans="1:6" ht="30" customHeight="1" x14ac:dyDescent="0.25">
      <c r="A10884" s="1" t="s">
        <v>21613</v>
      </c>
      <c r="B10884" s="1" t="str">
        <f>"9780309535090"</f>
        <v>9780309535090</v>
      </c>
      <c r="C10884" s="1" t="s">
        <v>20924</v>
      </c>
      <c r="D10884" s="2">
        <v>32143</v>
      </c>
      <c r="E10884" s="1" t="s">
        <v>21614</v>
      </c>
      <c r="F10884" s="1" t="s">
        <v>95</v>
      </c>
    </row>
    <row r="10885" spans="1:6" ht="30" customHeight="1" x14ac:dyDescent="0.25">
      <c r="A10885" s="1" t="s">
        <v>21615</v>
      </c>
      <c r="B10885" s="1" t="str">
        <f>"9780309535885"</f>
        <v>9780309535885</v>
      </c>
      <c r="C10885" s="1" t="s">
        <v>20924</v>
      </c>
      <c r="D10885" s="2">
        <v>32509</v>
      </c>
      <c r="E10885" s="1" t="s">
        <v>21616</v>
      </c>
      <c r="F10885" s="1" t="s">
        <v>13</v>
      </c>
    </row>
    <row r="10886" spans="1:6" ht="30" customHeight="1" x14ac:dyDescent="0.25">
      <c r="A10886" s="1" t="s">
        <v>21617</v>
      </c>
      <c r="B10886" s="1" t="str">
        <f>"9780309526722"</f>
        <v>9780309526722</v>
      </c>
      <c r="C10886" s="1" t="s">
        <v>20924</v>
      </c>
      <c r="D10886" s="2">
        <v>38153</v>
      </c>
      <c r="E10886" s="1" t="s">
        <v>21618</v>
      </c>
      <c r="F10886" s="1" t="s">
        <v>13</v>
      </c>
    </row>
    <row r="10887" spans="1:6" ht="30" customHeight="1" x14ac:dyDescent="0.25">
      <c r="A10887" s="1" t="s">
        <v>21619</v>
      </c>
      <c r="B10887" s="1" t="str">
        <f>"9780309539463"</f>
        <v>9780309539463</v>
      </c>
      <c r="C10887" s="1" t="s">
        <v>20924</v>
      </c>
      <c r="D10887" s="2">
        <v>37591</v>
      </c>
      <c r="E10887" s="1" t="s">
        <v>21620</v>
      </c>
      <c r="F10887" s="1" t="s">
        <v>33</v>
      </c>
    </row>
    <row r="10888" spans="1:6" ht="30" customHeight="1" x14ac:dyDescent="0.25">
      <c r="A10888" s="1" t="s">
        <v>21621</v>
      </c>
      <c r="B10888" s="1" t="str">
        <f>"9780309537940"</f>
        <v>9780309537940</v>
      </c>
      <c r="C10888" s="1" t="s">
        <v>20924</v>
      </c>
      <c r="D10888" s="2">
        <v>33604</v>
      </c>
      <c r="E10888" s="1" t="s">
        <v>21622</v>
      </c>
      <c r="F10888" s="1" t="s">
        <v>30</v>
      </c>
    </row>
    <row r="10889" spans="1:6" ht="30" customHeight="1" x14ac:dyDescent="0.25">
      <c r="A10889" s="1" t="s">
        <v>21623</v>
      </c>
      <c r="B10889" s="1" t="str">
        <f>"9780309536332"</f>
        <v>9780309536332</v>
      </c>
      <c r="C10889" s="1" t="s">
        <v>20924</v>
      </c>
      <c r="D10889" s="2">
        <v>32478</v>
      </c>
      <c r="E10889" s="1" t="s">
        <v>21624</v>
      </c>
      <c r="F10889" s="1" t="s">
        <v>21625</v>
      </c>
    </row>
    <row r="10890" spans="1:6" ht="30" customHeight="1" x14ac:dyDescent="0.25">
      <c r="A10890" s="1" t="s">
        <v>21626</v>
      </c>
      <c r="B10890" s="1" t="str">
        <f>"9780309537315"</f>
        <v>9780309537315</v>
      </c>
      <c r="C10890" s="1" t="s">
        <v>20924</v>
      </c>
      <c r="D10890" s="2">
        <v>33239</v>
      </c>
      <c r="E10890" s="1" t="s">
        <v>21627</v>
      </c>
      <c r="F10890" s="1" t="s">
        <v>13</v>
      </c>
    </row>
    <row r="10891" spans="1:6" ht="30" customHeight="1" x14ac:dyDescent="0.25">
      <c r="A10891" s="1" t="s">
        <v>21628</v>
      </c>
      <c r="B10891" s="1" t="str">
        <f>"9780309537674"</f>
        <v>9780309537674</v>
      </c>
      <c r="C10891" s="1" t="s">
        <v>20924</v>
      </c>
      <c r="D10891" s="2">
        <v>33239</v>
      </c>
      <c r="E10891" s="1" t="s">
        <v>21629</v>
      </c>
      <c r="F10891" s="1" t="s">
        <v>356</v>
      </c>
    </row>
    <row r="10892" spans="1:6" ht="30" customHeight="1" x14ac:dyDescent="0.25">
      <c r="A10892" s="1" t="s">
        <v>21630</v>
      </c>
      <c r="B10892" s="1" t="str">
        <f>"9780309535274"</f>
        <v>9780309535274</v>
      </c>
      <c r="C10892" s="1" t="s">
        <v>20924</v>
      </c>
      <c r="D10892" s="2">
        <v>32143</v>
      </c>
      <c r="E10892" s="1" t="s">
        <v>21303</v>
      </c>
      <c r="F10892" s="1" t="s">
        <v>95</v>
      </c>
    </row>
    <row r="10893" spans="1:6" ht="30" customHeight="1" x14ac:dyDescent="0.25">
      <c r="A10893" s="1" t="s">
        <v>21631</v>
      </c>
      <c r="B10893" s="1" t="str">
        <f>"9780309538756"</f>
        <v>9780309538756</v>
      </c>
      <c r="C10893" s="1" t="s">
        <v>20924</v>
      </c>
      <c r="D10893" s="2">
        <v>35583</v>
      </c>
      <c r="E10893" s="1" t="s">
        <v>21632</v>
      </c>
      <c r="F10893" s="1" t="s">
        <v>30</v>
      </c>
    </row>
    <row r="10894" spans="1:6" ht="30" customHeight="1" x14ac:dyDescent="0.25">
      <c r="A10894" s="1" t="s">
        <v>21633</v>
      </c>
      <c r="B10894" s="1" t="str">
        <f>"9780309538213"</f>
        <v>9780309538213</v>
      </c>
      <c r="C10894" s="1" t="s">
        <v>20924</v>
      </c>
      <c r="D10894" s="2">
        <v>34425</v>
      </c>
      <c r="E10894" s="1" t="s">
        <v>21634</v>
      </c>
      <c r="F10894" s="1" t="s">
        <v>6377</v>
      </c>
    </row>
    <row r="10895" spans="1:6" ht="30" customHeight="1" x14ac:dyDescent="0.25">
      <c r="A10895" s="1" t="s">
        <v>21635</v>
      </c>
      <c r="B10895" s="1" t="str">
        <f>"9780309537223"</f>
        <v>9780309537223</v>
      </c>
      <c r="C10895" s="1" t="s">
        <v>20924</v>
      </c>
      <c r="D10895" s="2">
        <v>33208</v>
      </c>
      <c r="E10895" s="1" t="s">
        <v>21636</v>
      </c>
      <c r="F10895" s="1" t="s">
        <v>95</v>
      </c>
    </row>
    <row r="10896" spans="1:6" ht="30" customHeight="1" x14ac:dyDescent="0.25">
      <c r="A10896" s="1" t="s">
        <v>21637</v>
      </c>
      <c r="B10896" s="1" t="str">
        <f>"9780309536240"</f>
        <v>9780309536240</v>
      </c>
      <c r="C10896" s="1" t="s">
        <v>20924</v>
      </c>
      <c r="D10896" s="2">
        <v>32509</v>
      </c>
      <c r="E10896" s="1" t="s">
        <v>20956</v>
      </c>
      <c r="F10896" s="1" t="s">
        <v>13</v>
      </c>
    </row>
    <row r="10897" spans="1:6" ht="30" customHeight="1" x14ac:dyDescent="0.25">
      <c r="A10897" s="1" t="s">
        <v>21638</v>
      </c>
      <c r="B10897" s="1" t="str">
        <f>"9780309531344"</f>
        <v>9780309531344</v>
      </c>
      <c r="C10897" s="1" t="s">
        <v>20924</v>
      </c>
      <c r="D10897" s="2">
        <v>38043</v>
      </c>
      <c r="E10897" s="1" t="s">
        <v>21639</v>
      </c>
      <c r="F10897" s="1" t="s">
        <v>599</v>
      </c>
    </row>
    <row r="10898" spans="1:6" ht="30" customHeight="1" x14ac:dyDescent="0.25">
      <c r="A10898" s="1" t="s">
        <v>21640</v>
      </c>
      <c r="B10898" s="1" t="str">
        <f>"9780309538572"</f>
        <v>9780309538572</v>
      </c>
      <c r="C10898" s="1" t="s">
        <v>20924</v>
      </c>
      <c r="D10898" s="2">
        <v>35612</v>
      </c>
      <c r="E10898" s="1" t="s">
        <v>21641</v>
      </c>
      <c r="F10898" s="1" t="s">
        <v>21642</v>
      </c>
    </row>
    <row r="10899" spans="1:6" ht="30" customHeight="1" x14ac:dyDescent="0.25">
      <c r="A10899" s="1" t="s">
        <v>21643</v>
      </c>
      <c r="B10899" s="1" t="str">
        <f>"9780309537858"</f>
        <v>9780309537858</v>
      </c>
      <c r="C10899" s="1" t="s">
        <v>20924</v>
      </c>
      <c r="D10899" s="2">
        <v>33604</v>
      </c>
      <c r="E10899" s="1" t="s">
        <v>21644</v>
      </c>
      <c r="F10899" s="1" t="s">
        <v>158</v>
      </c>
    </row>
    <row r="10900" spans="1:6" ht="30" customHeight="1" x14ac:dyDescent="0.25">
      <c r="A10900" s="1" t="s">
        <v>21645</v>
      </c>
      <c r="B10900" s="1" t="str">
        <f>"9780309539203"</f>
        <v>9780309539203</v>
      </c>
      <c r="C10900" s="1" t="s">
        <v>20924</v>
      </c>
      <c r="D10900" s="2">
        <v>36230</v>
      </c>
      <c r="E10900" s="1" t="s">
        <v>21646</v>
      </c>
      <c r="F10900" s="1" t="s">
        <v>13</v>
      </c>
    </row>
    <row r="10901" spans="1:6" ht="30" customHeight="1" x14ac:dyDescent="0.25">
      <c r="A10901" s="1" t="s">
        <v>21647</v>
      </c>
      <c r="B10901" s="1" t="str">
        <f>"9780309537582"</f>
        <v>9780309537582</v>
      </c>
      <c r="C10901" s="1" t="s">
        <v>20924</v>
      </c>
      <c r="D10901" s="2">
        <v>33939</v>
      </c>
      <c r="E10901" s="1" t="s">
        <v>21648</v>
      </c>
      <c r="F10901" s="1" t="s">
        <v>1010</v>
      </c>
    </row>
    <row r="10902" spans="1:6" ht="30" customHeight="1" x14ac:dyDescent="0.25">
      <c r="A10902" s="1" t="s">
        <v>21649</v>
      </c>
      <c r="B10902" s="1" t="str">
        <f>"9780309530989"</f>
        <v>9780309530989</v>
      </c>
      <c r="C10902" s="1" t="s">
        <v>20924</v>
      </c>
      <c r="D10902" s="2">
        <v>38142</v>
      </c>
      <c r="E10902" s="1" t="s">
        <v>21650</v>
      </c>
      <c r="F10902" s="1" t="s">
        <v>205</v>
      </c>
    </row>
    <row r="10903" spans="1:6" ht="30" customHeight="1" x14ac:dyDescent="0.25">
      <c r="A10903" s="1" t="s">
        <v>21651</v>
      </c>
      <c r="B10903" s="1" t="str">
        <f>"9780309536066"</f>
        <v>9780309536066</v>
      </c>
      <c r="C10903" s="1" t="s">
        <v>20924</v>
      </c>
      <c r="D10903" s="2">
        <v>32509</v>
      </c>
      <c r="E10903" s="1" t="s">
        <v>21652</v>
      </c>
      <c r="F10903" s="1" t="s">
        <v>200</v>
      </c>
    </row>
    <row r="10904" spans="1:6" ht="30" customHeight="1" x14ac:dyDescent="0.25">
      <c r="A10904" s="1" t="s">
        <v>21653</v>
      </c>
      <c r="B10904" s="1" t="str">
        <f>"9780309539289"</f>
        <v>9780309539289</v>
      </c>
      <c r="C10904" s="1" t="s">
        <v>20924</v>
      </c>
      <c r="D10904" s="2">
        <v>36404</v>
      </c>
      <c r="E10904" s="1" t="s">
        <v>21654</v>
      </c>
      <c r="F10904" s="1" t="s">
        <v>214</v>
      </c>
    </row>
    <row r="10905" spans="1:6" ht="30" customHeight="1" x14ac:dyDescent="0.25">
      <c r="A10905" s="1" t="s">
        <v>21655</v>
      </c>
      <c r="B10905" s="1" t="str">
        <f>"9780309539647"</f>
        <v>9780309539647</v>
      </c>
      <c r="C10905" s="1" t="s">
        <v>20924</v>
      </c>
      <c r="D10905" s="2">
        <v>37956</v>
      </c>
      <c r="E10905" s="1" t="s">
        <v>21656</v>
      </c>
      <c r="F10905" s="1" t="s">
        <v>13</v>
      </c>
    </row>
    <row r="10906" spans="1:6" ht="30" customHeight="1" x14ac:dyDescent="0.25">
      <c r="A10906" s="1" t="s">
        <v>21657</v>
      </c>
      <c r="B10906" s="1" t="str">
        <f>"9780309534086"</f>
        <v>9780309534086</v>
      </c>
      <c r="C10906" s="1" t="s">
        <v>20924</v>
      </c>
      <c r="D10906" s="2">
        <v>31017</v>
      </c>
      <c r="E10906" s="1" t="s">
        <v>21658</v>
      </c>
      <c r="F10906" s="1" t="s">
        <v>95</v>
      </c>
    </row>
    <row r="10907" spans="1:6" ht="30" customHeight="1" x14ac:dyDescent="0.25">
      <c r="A10907" s="1" t="s">
        <v>21659</v>
      </c>
      <c r="B10907" s="1" t="str">
        <f>"9780309533836"</f>
        <v>9780309533836</v>
      </c>
      <c r="C10907" s="1" t="s">
        <v>20924</v>
      </c>
      <c r="D10907" s="2">
        <v>30286</v>
      </c>
      <c r="E10907" s="1" t="s">
        <v>21660</v>
      </c>
      <c r="F10907" s="1" t="s">
        <v>30</v>
      </c>
    </row>
    <row r="10908" spans="1:6" ht="30" customHeight="1" x14ac:dyDescent="0.25">
      <c r="A10908" s="1" t="s">
        <v>21526</v>
      </c>
      <c r="B10908" s="1" t="str">
        <f>"9780309554060"</f>
        <v>9780309554060</v>
      </c>
      <c r="C10908" s="1" t="s">
        <v>20924</v>
      </c>
      <c r="D10908" s="2">
        <v>29221</v>
      </c>
      <c r="E10908" s="1" t="s">
        <v>21661</v>
      </c>
      <c r="F10908" s="1" t="s">
        <v>95</v>
      </c>
    </row>
    <row r="10909" spans="1:6" ht="30" customHeight="1" x14ac:dyDescent="0.25">
      <c r="A10909" s="1" t="s">
        <v>21662</v>
      </c>
      <c r="B10909" s="1" t="str">
        <f>"9780309556194"</f>
        <v>9780309556194</v>
      </c>
      <c r="C10909" s="1" t="s">
        <v>20924</v>
      </c>
      <c r="D10909" s="2">
        <v>34304</v>
      </c>
      <c r="E10909" s="1" t="s">
        <v>20956</v>
      </c>
      <c r="F10909" s="1" t="s">
        <v>30</v>
      </c>
    </row>
    <row r="10910" spans="1:6" ht="30" customHeight="1" x14ac:dyDescent="0.25">
      <c r="A10910" s="1" t="s">
        <v>21663</v>
      </c>
      <c r="B10910" s="1" t="str">
        <f>"9780309555586"</f>
        <v>9780309555586</v>
      </c>
      <c r="C10910" s="1" t="s">
        <v>20924</v>
      </c>
      <c r="D10910" s="2">
        <v>32843</v>
      </c>
      <c r="E10910" s="1" t="s">
        <v>21664</v>
      </c>
      <c r="F10910" s="1" t="s">
        <v>13</v>
      </c>
    </row>
    <row r="10911" spans="1:6" ht="30" customHeight="1" x14ac:dyDescent="0.25">
      <c r="A10911" s="1" t="s">
        <v>21665</v>
      </c>
      <c r="B10911" s="1" t="str">
        <f>"9780309543668"</f>
        <v>9780309543668</v>
      </c>
      <c r="C10911" s="1" t="s">
        <v>20924</v>
      </c>
      <c r="D10911" s="2">
        <v>32874</v>
      </c>
      <c r="E10911" s="1" t="s">
        <v>21666</v>
      </c>
      <c r="F10911" s="1" t="s">
        <v>13</v>
      </c>
    </row>
    <row r="10912" spans="1:6" ht="30" customHeight="1" x14ac:dyDescent="0.25">
      <c r="A10912" s="1" t="s">
        <v>21667</v>
      </c>
      <c r="B10912" s="1" t="str">
        <f>"9780309553063"</f>
        <v>9780309553063</v>
      </c>
      <c r="C10912" s="1" t="s">
        <v>20924</v>
      </c>
      <c r="D10912" s="2">
        <v>35696</v>
      </c>
      <c r="E10912" s="1" t="s">
        <v>21668</v>
      </c>
      <c r="F10912" s="1" t="s">
        <v>30</v>
      </c>
    </row>
    <row r="10913" spans="1:6" ht="30" customHeight="1" x14ac:dyDescent="0.25">
      <c r="A10913" s="1" t="s">
        <v>21669</v>
      </c>
      <c r="B10913" s="1" t="str">
        <f>"9780309529266"</f>
        <v>9780309529266</v>
      </c>
      <c r="C10913" s="1" t="s">
        <v>20924</v>
      </c>
      <c r="D10913" s="2">
        <v>38322</v>
      </c>
      <c r="E10913" s="1" t="s">
        <v>21670</v>
      </c>
      <c r="F10913" s="1" t="s">
        <v>30</v>
      </c>
    </row>
    <row r="10914" spans="1:6" ht="30" customHeight="1" x14ac:dyDescent="0.25">
      <c r="A10914" s="1" t="s">
        <v>21671</v>
      </c>
      <c r="B10914" s="1" t="str">
        <f>"9780309556002"</f>
        <v>9780309556002</v>
      </c>
      <c r="C10914" s="1" t="s">
        <v>20924</v>
      </c>
      <c r="D10914" s="2">
        <v>33239</v>
      </c>
      <c r="E10914" s="1" t="s">
        <v>21672</v>
      </c>
      <c r="F10914" s="1" t="s">
        <v>13</v>
      </c>
    </row>
    <row r="10915" spans="1:6" ht="30" customHeight="1" x14ac:dyDescent="0.25">
      <c r="A10915" s="1" t="s">
        <v>21673</v>
      </c>
      <c r="B10915" s="1" t="str">
        <f>"9780309555555"</f>
        <v>9780309555555</v>
      </c>
      <c r="C10915" s="1" t="s">
        <v>20924</v>
      </c>
      <c r="D10915" s="2">
        <v>32874</v>
      </c>
      <c r="E10915" s="1" t="s">
        <v>21674</v>
      </c>
      <c r="F10915" s="1" t="s">
        <v>21</v>
      </c>
    </row>
    <row r="10916" spans="1:6" ht="30" customHeight="1" x14ac:dyDescent="0.25">
      <c r="A10916" s="1" t="s">
        <v>21675</v>
      </c>
      <c r="B10916" s="1" t="str">
        <f>"9780309543569"</f>
        <v>9780309543569</v>
      </c>
      <c r="C10916" s="1" t="s">
        <v>20924</v>
      </c>
      <c r="D10916" s="2">
        <v>32874</v>
      </c>
      <c r="E10916" s="1" t="s">
        <v>21676</v>
      </c>
      <c r="F10916" s="1" t="s">
        <v>13</v>
      </c>
    </row>
    <row r="10917" spans="1:6" ht="30" customHeight="1" x14ac:dyDescent="0.25">
      <c r="A10917" s="1" t="s">
        <v>21677</v>
      </c>
      <c r="B10917" s="1" t="str">
        <f>"9780309530019"</f>
        <v>9780309530019</v>
      </c>
      <c r="C10917" s="1" t="s">
        <v>20924</v>
      </c>
      <c r="D10917" s="2">
        <v>38166</v>
      </c>
      <c r="E10917" s="1" t="s">
        <v>21678</v>
      </c>
      <c r="F10917" s="1" t="s">
        <v>13</v>
      </c>
    </row>
    <row r="10918" spans="1:6" ht="30" customHeight="1" x14ac:dyDescent="0.25">
      <c r="A10918" s="1" t="s">
        <v>21679</v>
      </c>
      <c r="B10918" s="1" t="str">
        <f>"9780309557054"</f>
        <v>9780309557054</v>
      </c>
      <c r="C10918" s="1" t="s">
        <v>20924</v>
      </c>
      <c r="D10918" s="2">
        <v>36376</v>
      </c>
      <c r="E10918" s="1" t="s">
        <v>21680</v>
      </c>
      <c r="F10918" s="1" t="s">
        <v>356</v>
      </c>
    </row>
    <row r="10919" spans="1:6" ht="30" customHeight="1" x14ac:dyDescent="0.25">
      <c r="A10919" s="1" t="s">
        <v>21681</v>
      </c>
      <c r="B10919" s="1" t="str">
        <f>"9780309542890"</f>
        <v>9780309542890</v>
      </c>
      <c r="C10919" s="1" t="s">
        <v>20924</v>
      </c>
      <c r="D10919" s="2">
        <v>32143</v>
      </c>
      <c r="E10919" s="1" t="s">
        <v>21682</v>
      </c>
      <c r="F10919" s="1" t="s">
        <v>13</v>
      </c>
    </row>
    <row r="10920" spans="1:6" ht="30" customHeight="1" x14ac:dyDescent="0.25">
      <c r="A10920" s="1" t="s">
        <v>21683</v>
      </c>
      <c r="B10920" s="1" t="str">
        <f>"9780309555647"</f>
        <v>9780309555647</v>
      </c>
      <c r="C10920" s="1" t="s">
        <v>20924</v>
      </c>
      <c r="D10920" s="2">
        <v>32874</v>
      </c>
      <c r="E10920" s="1" t="s">
        <v>21684</v>
      </c>
      <c r="F10920" s="1" t="s">
        <v>176</v>
      </c>
    </row>
    <row r="10921" spans="1:6" ht="30" customHeight="1" x14ac:dyDescent="0.25">
      <c r="A10921" s="1" t="s">
        <v>21685</v>
      </c>
      <c r="B10921" s="1" t="str">
        <f>"9780309554848"</f>
        <v>9780309554848</v>
      </c>
      <c r="C10921" s="1" t="s">
        <v>20924</v>
      </c>
      <c r="D10921" s="2">
        <v>31382</v>
      </c>
      <c r="E10921" s="1" t="s">
        <v>21686</v>
      </c>
      <c r="F10921" s="1" t="s">
        <v>95</v>
      </c>
    </row>
    <row r="10922" spans="1:6" ht="30" customHeight="1" x14ac:dyDescent="0.25">
      <c r="A10922" s="1" t="s">
        <v>21687</v>
      </c>
      <c r="B10922" s="1" t="str">
        <f>"9780309556712"</f>
        <v>9780309556712</v>
      </c>
      <c r="C10922" s="1" t="s">
        <v>20924</v>
      </c>
      <c r="D10922" s="2">
        <v>35479</v>
      </c>
      <c r="E10922" s="1" t="s">
        <v>21688</v>
      </c>
      <c r="F10922" s="1" t="s">
        <v>21689</v>
      </c>
    </row>
    <row r="10923" spans="1:6" ht="30" customHeight="1" x14ac:dyDescent="0.25">
      <c r="A10923" s="1" t="s">
        <v>21690</v>
      </c>
      <c r="B10923" s="1" t="str">
        <f>"9780309531252"</f>
        <v>9780309531252</v>
      </c>
      <c r="C10923" s="1" t="s">
        <v>20924</v>
      </c>
      <c r="D10923" s="2">
        <v>38071</v>
      </c>
      <c r="E10923" s="1" t="s">
        <v>21691</v>
      </c>
      <c r="F10923" s="1" t="s">
        <v>205</v>
      </c>
    </row>
    <row r="10924" spans="1:6" ht="30" customHeight="1" x14ac:dyDescent="0.25">
      <c r="A10924" s="1" t="s">
        <v>21692</v>
      </c>
      <c r="B10924" s="1" t="str">
        <f>"9780309554336"</f>
        <v>9780309554336</v>
      </c>
      <c r="C10924" s="1" t="s">
        <v>20924</v>
      </c>
      <c r="D10924" s="2">
        <v>29952</v>
      </c>
      <c r="E10924" s="1" t="s">
        <v>21163</v>
      </c>
      <c r="F10924" s="1" t="s">
        <v>13</v>
      </c>
    </row>
    <row r="10925" spans="1:6" ht="30" customHeight="1" x14ac:dyDescent="0.25">
      <c r="A10925" s="1" t="s">
        <v>21693</v>
      </c>
      <c r="B10925" s="1" t="str">
        <f>"9780309542920"</f>
        <v>9780309542920</v>
      </c>
      <c r="C10925" s="1" t="s">
        <v>20924</v>
      </c>
      <c r="D10925" s="2">
        <v>32509</v>
      </c>
      <c r="E10925" s="1" t="s">
        <v>21111</v>
      </c>
      <c r="F10925" s="1" t="s">
        <v>21694</v>
      </c>
    </row>
    <row r="10926" spans="1:6" ht="30" customHeight="1" x14ac:dyDescent="0.25">
      <c r="A10926" s="1" t="s">
        <v>21695</v>
      </c>
      <c r="B10926" s="1" t="str">
        <f>"9780309530583"</f>
        <v>9780309530583</v>
      </c>
      <c r="C10926" s="1" t="s">
        <v>20924</v>
      </c>
      <c r="D10926" s="2">
        <v>38022</v>
      </c>
      <c r="E10926" s="1" t="s">
        <v>21696</v>
      </c>
      <c r="F10926" s="1" t="s">
        <v>13</v>
      </c>
    </row>
    <row r="10927" spans="1:6" ht="30" customHeight="1" x14ac:dyDescent="0.25">
      <c r="A10927" s="1" t="s">
        <v>21697</v>
      </c>
      <c r="B10927" s="1" t="str">
        <f>"9780309555074"</f>
        <v>9780309555074</v>
      </c>
      <c r="C10927" s="1" t="s">
        <v>20924</v>
      </c>
      <c r="D10927" s="2">
        <v>31747</v>
      </c>
      <c r="E10927" s="1" t="s">
        <v>21139</v>
      </c>
      <c r="F10927" s="1" t="s">
        <v>200</v>
      </c>
    </row>
    <row r="10928" spans="1:6" ht="30" customHeight="1" x14ac:dyDescent="0.25">
      <c r="A10928" s="1" t="s">
        <v>21698</v>
      </c>
      <c r="B10928" s="1" t="str">
        <f>"9780309555975"</f>
        <v>9780309555975</v>
      </c>
      <c r="C10928" s="1" t="s">
        <v>20924</v>
      </c>
      <c r="D10928" s="2">
        <v>33208</v>
      </c>
      <c r="E10928" s="1" t="s">
        <v>21699</v>
      </c>
      <c r="F10928" s="1" t="s">
        <v>4577</v>
      </c>
    </row>
    <row r="10929" spans="1:6" ht="30" customHeight="1" x14ac:dyDescent="0.25">
      <c r="A10929" s="1" t="s">
        <v>21700</v>
      </c>
      <c r="B10929" s="1" t="str">
        <f>"9780309543897"</f>
        <v>9780309543897</v>
      </c>
      <c r="C10929" s="1" t="s">
        <v>20924</v>
      </c>
      <c r="D10929" s="2">
        <v>33239</v>
      </c>
      <c r="E10929" s="1" t="s">
        <v>21701</v>
      </c>
      <c r="F10929" s="1" t="s">
        <v>158</v>
      </c>
    </row>
    <row r="10930" spans="1:6" ht="30" customHeight="1" x14ac:dyDescent="0.25">
      <c r="A10930" s="1" t="s">
        <v>21702</v>
      </c>
      <c r="B10930" s="1" t="str">
        <f>"9780309542678"</f>
        <v>9780309542678</v>
      </c>
      <c r="C10930" s="1" t="s">
        <v>20924</v>
      </c>
      <c r="D10930" s="2">
        <v>31747</v>
      </c>
      <c r="E10930" s="1" t="s">
        <v>21703</v>
      </c>
      <c r="F10930" s="1" t="s">
        <v>214</v>
      </c>
    </row>
    <row r="10931" spans="1:6" ht="30" customHeight="1" x14ac:dyDescent="0.25">
      <c r="A10931" s="1" t="s">
        <v>21704</v>
      </c>
      <c r="B10931" s="1" t="str">
        <f>"9780309544221"</f>
        <v>9780309544221</v>
      </c>
      <c r="C10931" s="1" t="s">
        <v>20924</v>
      </c>
      <c r="D10931" s="2">
        <v>33970</v>
      </c>
      <c r="E10931" s="1" t="s">
        <v>21705</v>
      </c>
      <c r="F10931" s="1" t="s">
        <v>291</v>
      </c>
    </row>
    <row r="10932" spans="1:6" ht="30" customHeight="1" x14ac:dyDescent="0.25">
      <c r="A10932" s="1" t="s">
        <v>21706</v>
      </c>
      <c r="B10932" s="1" t="str">
        <f>"9780309542630"</f>
        <v>9780309542630</v>
      </c>
      <c r="C10932" s="1" t="s">
        <v>20924</v>
      </c>
      <c r="D10932" s="2">
        <v>31778</v>
      </c>
      <c r="E10932" s="1" t="s">
        <v>21707</v>
      </c>
      <c r="F10932" s="1" t="s">
        <v>87</v>
      </c>
    </row>
    <row r="10933" spans="1:6" ht="30" customHeight="1" x14ac:dyDescent="0.25">
      <c r="A10933" s="1" t="s">
        <v>21708</v>
      </c>
      <c r="B10933" s="1" t="str">
        <f>"9780309543095"</f>
        <v>9780309543095</v>
      </c>
      <c r="C10933" s="1" t="s">
        <v>20924</v>
      </c>
      <c r="D10933" s="2">
        <v>32478</v>
      </c>
      <c r="E10933" s="1" t="s">
        <v>20956</v>
      </c>
      <c r="F10933" s="1" t="s">
        <v>6806</v>
      </c>
    </row>
    <row r="10934" spans="1:6" ht="30" customHeight="1" x14ac:dyDescent="0.25">
      <c r="A10934" s="1" t="s">
        <v>21709</v>
      </c>
      <c r="B10934" s="1" t="str">
        <f>"9780309543538"</f>
        <v>9780309543538</v>
      </c>
      <c r="C10934" s="1" t="s">
        <v>20924</v>
      </c>
      <c r="D10934" s="2">
        <v>33239</v>
      </c>
      <c r="E10934" s="1" t="s">
        <v>21100</v>
      </c>
      <c r="F10934" s="1" t="s">
        <v>2209</v>
      </c>
    </row>
    <row r="10935" spans="1:6" ht="30" customHeight="1" x14ac:dyDescent="0.25">
      <c r="A10935" s="1" t="s">
        <v>21710</v>
      </c>
      <c r="B10935" s="1" t="str">
        <f>"9780309543033"</f>
        <v>9780309543033</v>
      </c>
      <c r="C10935" s="1" t="s">
        <v>20924</v>
      </c>
      <c r="D10935" s="2">
        <v>32509</v>
      </c>
      <c r="E10935" s="1" t="s">
        <v>21711</v>
      </c>
      <c r="F10935" s="1" t="s">
        <v>2229</v>
      </c>
    </row>
    <row r="10936" spans="1:6" ht="30" customHeight="1" x14ac:dyDescent="0.25">
      <c r="A10936" s="1" t="s">
        <v>21712</v>
      </c>
      <c r="B10936" s="1" t="str">
        <f>"9780309557139"</f>
        <v>9780309557139</v>
      </c>
      <c r="C10936" s="1" t="s">
        <v>20924</v>
      </c>
      <c r="D10936" s="2">
        <v>36130</v>
      </c>
      <c r="E10936" s="1" t="s">
        <v>21713</v>
      </c>
      <c r="F10936" s="1" t="s">
        <v>95</v>
      </c>
    </row>
    <row r="10937" spans="1:6" ht="30" customHeight="1" x14ac:dyDescent="0.25">
      <c r="A10937" s="1" t="s">
        <v>21714</v>
      </c>
      <c r="B10937" s="1" t="str">
        <f>"9780309556897"</f>
        <v>9780309556897</v>
      </c>
      <c r="C10937" s="1" t="s">
        <v>20924</v>
      </c>
      <c r="D10937" s="2">
        <v>35796</v>
      </c>
      <c r="E10937" s="1" t="s">
        <v>21715</v>
      </c>
      <c r="F10937" s="1" t="s">
        <v>10335</v>
      </c>
    </row>
    <row r="10938" spans="1:6" ht="30" customHeight="1" x14ac:dyDescent="0.25">
      <c r="A10938" s="1" t="s">
        <v>21716</v>
      </c>
      <c r="B10938" s="1" t="str">
        <f>"9780309554398"</f>
        <v>9780309554398</v>
      </c>
      <c r="C10938" s="1" t="s">
        <v>20924</v>
      </c>
      <c r="D10938" s="2">
        <v>30317</v>
      </c>
      <c r="E10938" s="1" t="s">
        <v>21289</v>
      </c>
      <c r="F10938" s="1" t="s">
        <v>126</v>
      </c>
    </row>
    <row r="10939" spans="1:6" ht="30" customHeight="1" x14ac:dyDescent="0.25">
      <c r="A10939" s="1" t="s">
        <v>21717</v>
      </c>
      <c r="B10939" s="1" t="str">
        <f>"9780309556224"</f>
        <v>9780309556224</v>
      </c>
      <c r="C10939" s="1" t="s">
        <v>20924</v>
      </c>
      <c r="D10939" s="2">
        <v>34304</v>
      </c>
      <c r="E10939" s="1" t="s">
        <v>21139</v>
      </c>
      <c r="F10939" s="1" t="s">
        <v>1344</v>
      </c>
    </row>
    <row r="10940" spans="1:6" ht="30" customHeight="1" x14ac:dyDescent="0.25">
      <c r="A10940" s="1" t="s">
        <v>21718</v>
      </c>
      <c r="B10940" s="1" t="str">
        <f>"9780309555821"</f>
        <v>9780309555821</v>
      </c>
      <c r="C10940" s="1" t="s">
        <v>20924</v>
      </c>
      <c r="D10940" s="2">
        <v>32874</v>
      </c>
      <c r="E10940" s="1" t="s">
        <v>21719</v>
      </c>
      <c r="F10940" s="1" t="s">
        <v>95</v>
      </c>
    </row>
    <row r="10941" spans="1:6" ht="30" customHeight="1" x14ac:dyDescent="0.25">
      <c r="A10941" s="1" t="s">
        <v>21720</v>
      </c>
      <c r="B10941" s="1" t="str">
        <f>"9780309556651"</f>
        <v>9780309556651</v>
      </c>
      <c r="C10941" s="1" t="s">
        <v>20924</v>
      </c>
      <c r="D10941" s="2">
        <v>35117</v>
      </c>
      <c r="E10941" s="1" t="s">
        <v>21721</v>
      </c>
      <c r="F10941" s="1" t="s">
        <v>5793</v>
      </c>
    </row>
    <row r="10942" spans="1:6" ht="30" customHeight="1" x14ac:dyDescent="0.25">
      <c r="A10942" s="1" t="s">
        <v>21722</v>
      </c>
      <c r="B10942" s="1" t="str">
        <f>"9780309557160"</f>
        <v>9780309557160</v>
      </c>
      <c r="C10942" s="1" t="s">
        <v>20924</v>
      </c>
      <c r="D10942" s="2">
        <v>38322</v>
      </c>
      <c r="E10942" s="1" t="s">
        <v>21723</v>
      </c>
      <c r="F10942" s="1" t="s">
        <v>214</v>
      </c>
    </row>
    <row r="10943" spans="1:6" ht="30" customHeight="1" x14ac:dyDescent="0.25">
      <c r="A10943" s="1" t="s">
        <v>21724</v>
      </c>
      <c r="B10943" s="1" t="str">
        <f>"9780309556620"</f>
        <v>9780309556620</v>
      </c>
      <c r="C10943" s="1" t="s">
        <v>20924</v>
      </c>
      <c r="D10943" s="2">
        <v>35034</v>
      </c>
      <c r="E10943" s="1" t="s">
        <v>21725</v>
      </c>
      <c r="F10943" s="1" t="s">
        <v>176</v>
      </c>
    </row>
    <row r="10944" spans="1:6" ht="30" customHeight="1" x14ac:dyDescent="0.25">
      <c r="A10944" s="1" t="s">
        <v>21526</v>
      </c>
      <c r="B10944" s="1" t="str">
        <f>"9780309554923"</f>
        <v>9780309554923</v>
      </c>
      <c r="C10944" s="1" t="s">
        <v>20924</v>
      </c>
      <c r="D10944" s="2">
        <v>31413</v>
      </c>
      <c r="E10944" s="1" t="s">
        <v>21726</v>
      </c>
      <c r="F10944" s="1" t="s">
        <v>21727</v>
      </c>
    </row>
    <row r="10945" spans="1:6" ht="30" customHeight="1" x14ac:dyDescent="0.25">
      <c r="A10945" s="1" t="s">
        <v>21728</v>
      </c>
      <c r="B10945" s="1" t="str">
        <f>"9780309555319"</f>
        <v>9780309555319</v>
      </c>
      <c r="C10945" s="1" t="s">
        <v>20924</v>
      </c>
      <c r="D10945" s="2">
        <v>32478</v>
      </c>
      <c r="E10945" s="1" t="s">
        <v>20956</v>
      </c>
      <c r="F10945" s="1" t="s">
        <v>95</v>
      </c>
    </row>
    <row r="10946" spans="1:6" ht="30" customHeight="1" x14ac:dyDescent="0.25">
      <c r="A10946" s="1" t="s">
        <v>21729</v>
      </c>
      <c r="B10946" s="1" t="str">
        <f>"9780309555135"</f>
        <v>9780309555135</v>
      </c>
      <c r="C10946" s="1" t="s">
        <v>20924</v>
      </c>
      <c r="D10946" s="2">
        <v>32143</v>
      </c>
      <c r="E10946" s="1" t="s">
        <v>21496</v>
      </c>
      <c r="F10946" s="1" t="s">
        <v>158</v>
      </c>
    </row>
    <row r="10947" spans="1:6" ht="30" customHeight="1" x14ac:dyDescent="0.25">
      <c r="A10947" s="1" t="s">
        <v>21730</v>
      </c>
      <c r="B10947" s="1" t="str">
        <f>"9780309555616"</f>
        <v>9780309555616</v>
      </c>
      <c r="C10947" s="1" t="s">
        <v>20924</v>
      </c>
      <c r="D10947" s="2">
        <v>32509</v>
      </c>
      <c r="E10947" s="1" t="s">
        <v>20956</v>
      </c>
      <c r="F10947" s="1" t="s">
        <v>33</v>
      </c>
    </row>
    <row r="10948" spans="1:6" ht="30" customHeight="1" x14ac:dyDescent="0.25">
      <c r="A10948" s="1" t="s">
        <v>21526</v>
      </c>
      <c r="B10948" s="1" t="str">
        <f>"9780309554244"</f>
        <v>9780309554244</v>
      </c>
      <c r="C10948" s="1" t="s">
        <v>20924</v>
      </c>
      <c r="D10948" s="2">
        <v>29921</v>
      </c>
      <c r="E10948" s="1" t="s">
        <v>21731</v>
      </c>
      <c r="F10948" s="1" t="s">
        <v>30</v>
      </c>
    </row>
    <row r="10949" spans="1:6" ht="30" customHeight="1" x14ac:dyDescent="0.25">
      <c r="A10949" s="1" t="s">
        <v>21312</v>
      </c>
      <c r="B10949" s="1" t="str">
        <f>"9780309555708"</f>
        <v>9780309555708</v>
      </c>
      <c r="C10949" s="1" t="s">
        <v>20924</v>
      </c>
      <c r="D10949" s="2">
        <v>32874</v>
      </c>
      <c r="E10949" s="1" t="s">
        <v>21732</v>
      </c>
      <c r="F10949" s="1" t="s">
        <v>70</v>
      </c>
    </row>
    <row r="10950" spans="1:6" ht="30" customHeight="1" x14ac:dyDescent="0.25">
      <c r="A10950" s="1" t="s">
        <v>21733</v>
      </c>
      <c r="B10950" s="1" t="str">
        <f>"9780309555043"</f>
        <v>9780309555043</v>
      </c>
      <c r="C10950" s="1" t="s">
        <v>20924</v>
      </c>
      <c r="D10950" s="2">
        <v>31778</v>
      </c>
      <c r="E10950" s="1" t="s">
        <v>21111</v>
      </c>
      <c r="F10950" s="1" t="s">
        <v>101</v>
      </c>
    </row>
    <row r="10951" spans="1:6" ht="30" customHeight="1" x14ac:dyDescent="0.25">
      <c r="A10951" s="1" t="s">
        <v>21734</v>
      </c>
      <c r="B10951" s="1" t="str">
        <f>"9780309555258"</f>
        <v>9780309555258</v>
      </c>
      <c r="C10951" s="1" t="s">
        <v>20924</v>
      </c>
      <c r="D10951" s="2">
        <v>32143</v>
      </c>
      <c r="E10951" s="1" t="s">
        <v>21735</v>
      </c>
      <c r="F10951" s="1" t="s">
        <v>95</v>
      </c>
    </row>
    <row r="10952" spans="1:6" ht="30" customHeight="1" x14ac:dyDescent="0.25">
      <c r="A10952" s="1" t="s">
        <v>21736</v>
      </c>
      <c r="B10952" s="1" t="str">
        <f>"9780309555678"</f>
        <v>9780309555678</v>
      </c>
      <c r="C10952" s="1" t="s">
        <v>20924</v>
      </c>
      <c r="D10952" s="2">
        <v>33239</v>
      </c>
      <c r="E10952" s="1" t="s">
        <v>21737</v>
      </c>
      <c r="F10952" s="1" t="s">
        <v>176</v>
      </c>
    </row>
    <row r="10953" spans="1:6" ht="30" customHeight="1" x14ac:dyDescent="0.25">
      <c r="A10953" s="1" t="s">
        <v>21738</v>
      </c>
      <c r="B10953" s="1" t="str">
        <f>"9780309540872"</f>
        <v>9780309540872</v>
      </c>
      <c r="C10953" s="1" t="s">
        <v>20924</v>
      </c>
      <c r="D10953" s="2">
        <v>30286</v>
      </c>
      <c r="E10953" s="1" t="s">
        <v>21686</v>
      </c>
      <c r="F10953" s="1" t="s">
        <v>95</v>
      </c>
    </row>
    <row r="10954" spans="1:6" ht="30" customHeight="1" x14ac:dyDescent="0.25">
      <c r="A10954" s="1" t="s">
        <v>21739</v>
      </c>
      <c r="B10954" s="1" t="str">
        <f>"9780309543002"</f>
        <v>9780309543002</v>
      </c>
      <c r="C10954" s="1" t="s">
        <v>20924</v>
      </c>
      <c r="D10954" s="2">
        <v>32509</v>
      </c>
      <c r="E10954" s="1" t="s">
        <v>21740</v>
      </c>
      <c r="F10954" s="1" t="s">
        <v>3261</v>
      </c>
    </row>
    <row r="10955" spans="1:6" ht="30" customHeight="1" x14ac:dyDescent="0.25">
      <c r="A10955" s="1" t="s">
        <v>21741</v>
      </c>
      <c r="B10955" s="1" t="str">
        <f>"9780309556590"</f>
        <v>9780309556590</v>
      </c>
      <c r="C10955" s="1" t="s">
        <v>20924</v>
      </c>
      <c r="D10955" s="2">
        <v>35107</v>
      </c>
      <c r="E10955" s="1" t="s">
        <v>21100</v>
      </c>
      <c r="F10955" s="1" t="s">
        <v>13</v>
      </c>
    </row>
    <row r="10956" spans="1:6" ht="30" customHeight="1" x14ac:dyDescent="0.25">
      <c r="A10956" s="1" t="s">
        <v>21742</v>
      </c>
      <c r="B10956" s="1" t="str">
        <f>"9780309553674"</f>
        <v>9780309553674</v>
      </c>
      <c r="C10956" s="1" t="s">
        <v>20924</v>
      </c>
      <c r="D10956" s="2">
        <v>36325</v>
      </c>
      <c r="E10956" s="1" t="s">
        <v>21100</v>
      </c>
      <c r="F10956" s="1" t="s">
        <v>214</v>
      </c>
    </row>
    <row r="10957" spans="1:6" ht="30" customHeight="1" x14ac:dyDescent="0.25">
      <c r="A10957" s="1" t="s">
        <v>21743</v>
      </c>
      <c r="B10957" s="1" t="str">
        <f>"9780309554954"</f>
        <v>9780309554954</v>
      </c>
      <c r="C10957" s="1" t="s">
        <v>20924</v>
      </c>
      <c r="D10957" s="2">
        <v>31413</v>
      </c>
      <c r="E10957" s="1" t="s">
        <v>21303</v>
      </c>
      <c r="F10957" s="1" t="s">
        <v>30</v>
      </c>
    </row>
    <row r="10958" spans="1:6" ht="30" customHeight="1" x14ac:dyDescent="0.25">
      <c r="A10958" s="1" t="s">
        <v>21744</v>
      </c>
      <c r="B10958" s="1" t="str">
        <f>"9780309556316"</f>
        <v>9780309556316</v>
      </c>
      <c r="C10958" s="1" t="s">
        <v>20924</v>
      </c>
      <c r="D10958" s="2">
        <v>34335</v>
      </c>
      <c r="E10958" s="1" t="s">
        <v>21745</v>
      </c>
      <c r="F10958" s="1" t="s">
        <v>30</v>
      </c>
    </row>
    <row r="10959" spans="1:6" ht="30" customHeight="1" x14ac:dyDescent="0.25">
      <c r="A10959" s="1" t="s">
        <v>21526</v>
      </c>
      <c r="B10959" s="1" t="str">
        <f>"9780309554008"</f>
        <v>9780309554008</v>
      </c>
      <c r="C10959" s="1" t="s">
        <v>20924</v>
      </c>
      <c r="D10959" s="2">
        <v>28095</v>
      </c>
      <c r="E10959" s="1" t="s">
        <v>21746</v>
      </c>
      <c r="F10959" s="1" t="s">
        <v>95</v>
      </c>
    </row>
    <row r="10960" spans="1:6" ht="30" customHeight="1" x14ac:dyDescent="0.25">
      <c r="A10960" s="1" t="s">
        <v>21747</v>
      </c>
      <c r="B10960" s="1" t="str">
        <f>"9780309556378"</f>
        <v>9780309556378</v>
      </c>
      <c r="C10960" s="1" t="s">
        <v>20924</v>
      </c>
      <c r="D10960" s="2">
        <v>34851</v>
      </c>
      <c r="E10960" s="1" t="s">
        <v>21748</v>
      </c>
      <c r="F10960" s="1" t="s">
        <v>87</v>
      </c>
    </row>
    <row r="10961" spans="1:6" ht="30" customHeight="1" x14ac:dyDescent="0.25">
      <c r="A10961" s="1" t="s">
        <v>21749</v>
      </c>
      <c r="B10961" s="1" t="str">
        <f>"9780309552929"</f>
        <v>9780309552929</v>
      </c>
      <c r="C10961" s="1" t="s">
        <v>20924</v>
      </c>
      <c r="D10961" s="2">
        <v>35123</v>
      </c>
      <c r="E10961" s="1" t="s">
        <v>21750</v>
      </c>
      <c r="F10961" s="1" t="s">
        <v>13</v>
      </c>
    </row>
    <row r="10962" spans="1:6" ht="30" customHeight="1" x14ac:dyDescent="0.25">
      <c r="A10962" s="1" t="s">
        <v>21751</v>
      </c>
      <c r="B10962" s="1" t="str">
        <f>"9780309542074"</f>
        <v>9780309542074</v>
      </c>
      <c r="C10962" s="1" t="s">
        <v>20924</v>
      </c>
      <c r="D10962" s="2">
        <v>31048</v>
      </c>
      <c r="E10962" s="1" t="s">
        <v>21752</v>
      </c>
      <c r="F10962" s="1" t="s">
        <v>13</v>
      </c>
    </row>
    <row r="10963" spans="1:6" ht="30" customHeight="1" x14ac:dyDescent="0.25">
      <c r="A10963" s="1" t="s">
        <v>21753</v>
      </c>
      <c r="B10963" s="1" t="str">
        <f>"9780309556682"</f>
        <v>9780309556682</v>
      </c>
      <c r="C10963" s="1" t="s">
        <v>20924</v>
      </c>
      <c r="D10963" s="2">
        <v>35313</v>
      </c>
      <c r="E10963" s="1" t="s">
        <v>21754</v>
      </c>
      <c r="F10963" s="1" t="s">
        <v>95</v>
      </c>
    </row>
    <row r="10964" spans="1:6" ht="30" customHeight="1" x14ac:dyDescent="0.25">
      <c r="A10964" s="1" t="s">
        <v>21755</v>
      </c>
      <c r="B10964" s="1" t="str">
        <f>"9780309543637"</f>
        <v>9780309543637</v>
      </c>
      <c r="C10964" s="1" t="s">
        <v>20924</v>
      </c>
      <c r="D10964" s="2">
        <v>32843</v>
      </c>
      <c r="E10964" s="1" t="s">
        <v>20956</v>
      </c>
      <c r="F10964" s="1" t="s">
        <v>95</v>
      </c>
    </row>
    <row r="10965" spans="1:6" ht="30" customHeight="1" x14ac:dyDescent="0.25">
      <c r="A10965" s="1" t="s">
        <v>21756</v>
      </c>
      <c r="B10965" s="1" t="str">
        <f>"9780309553124"</f>
        <v>9780309553124</v>
      </c>
      <c r="C10965" s="1" t="s">
        <v>20924</v>
      </c>
      <c r="D10965" s="2">
        <v>35346</v>
      </c>
      <c r="E10965" s="1" t="s">
        <v>21400</v>
      </c>
      <c r="F10965" s="1" t="s">
        <v>13</v>
      </c>
    </row>
    <row r="10966" spans="1:6" ht="30" customHeight="1" x14ac:dyDescent="0.25">
      <c r="A10966" s="1" t="s">
        <v>21757</v>
      </c>
      <c r="B10966" s="1" t="str">
        <f>"9780309556774"</f>
        <v>9780309556774</v>
      </c>
      <c r="C10966" s="1" t="s">
        <v>20924</v>
      </c>
      <c r="D10966" s="2">
        <v>35200</v>
      </c>
      <c r="E10966" s="1" t="s">
        <v>21758</v>
      </c>
      <c r="F10966" s="1" t="s">
        <v>95</v>
      </c>
    </row>
    <row r="10967" spans="1:6" ht="30" customHeight="1" x14ac:dyDescent="0.25">
      <c r="A10967" s="1" t="s">
        <v>21759</v>
      </c>
      <c r="B10967" s="1" t="str">
        <f>"9780309554428"</f>
        <v>9780309554428</v>
      </c>
      <c r="C10967" s="1" t="s">
        <v>20924</v>
      </c>
      <c r="D10967" s="2">
        <v>30317</v>
      </c>
      <c r="E10967" s="1" t="s">
        <v>21760</v>
      </c>
      <c r="F10967" s="1" t="s">
        <v>3460</v>
      </c>
    </row>
    <row r="10968" spans="1:6" ht="30" customHeight="1" x14ac:dyDescent="0.25">
      <c r="A10968" s="1" t="s">
        <v>21761</v>
      </c>
      <c r="B10968" s="1" t="str">
        <f>"9780309556996"</f>
        <v>9780309556996</v>
      </c>
      <c r="C10968" s="1" t="s">
        <v>20924</v>
      </c>
      <c r="D10968" s="2">
        <v>35765</v>
      </c>
      <c r="E10968" s="1" t="s">
        <v>21762</v>
      </c>
      <c r="F10968" s="1" t="s">
        <v>13</v>
      </c>
    </row>
    <row r="10969" spans="1:6" ht="30" customHeight="1" x14ac:dyDescent="0.25">
      <c r="A10969" s="1" t="s">
        <v>21763</v>
      </c>
      <c r="B10969" s="1" t="str">
        <f>"9780309555944"</f>
        <v>9780309555944</v>
      </c>
      <c r="C10969" s="1" t="s">
        <v>20924</v>
      </c>
      <c r="D10969" s="2">
        <v>33239</v>
      </c>
      <c r="E10969" s="1" t="s">
        <v>21764</v>
      </c>
      <c r="F10969" s="1" t="s">
        <v>21765</v>
      </c>
    </row>
    <row r="10970" spans="1:6" ht="30" customHeight="1" x14ac:dyDescent="0.25">
      <c r="A10970" s="1" t="s">
        <v>21766</v>
      </c>
      <c r="B10970" s="1" t="str">
        <f>"9780309556804"</f>
        <v>9780309556804</v>
      </c>
      <c r="C10970" s="1" t="s">
        <v>20924</v>
      </c>
      <c r="D10970" s="2">
        <v>35517</v>
      </c>
      <c r="E10970" s="1" t="s">
        <v>21767</v>
      </c>
      <c r="F10970" s="1" t="s">
        <v>148</v>
      </c>
    </row>
    <row r="10971" spans="1:6" ht="30" customHeight="1" x14ac:dyDescent="0.25">
      <c r="A10971" s="1" t="s">
        <v>21768</v>
      </c>
      <c r="B10971" s="1" t="str">
        <f>"9780309554480"</f>
        <v>9780309554480</v>
      </c>
      <c r="C10971" s="1" t="s">
        <v>20924</v>
      </c>
      <c r="D10971" s="2">
        <v>30682</v>
      </c>
      <c r="E10971" s="1" t="s">
        <v>21139</v>
      </c>
      <c r="F10971" s="1" t="s">
        <v>33</v>
      </c>
    </row>
    <row r="10972" spans="1:6" ht="30" customHeight="1" x14ac:dyDescent="0.25">
      <c r="A10972" s="1" t="s">
        <v>21769</v>
      </c>
      <c r="B10972" s="1" t="str">
        <f>"9780309559836"</f>
        <v>9780309559836</v>
      </c>
      <c r="C10972" s="1" t="s">
        <v>20924</v>
      </c>
      <c r="D10972" s="2">
        <v>32509</v>
      </c>
      <c r="E10972" s="1" t="s">
        <v>21770</v>
      </c>
      <c r="F10972" s="1" t="s">
        <v>11659</v>
      </c>
    </row>
    <row r="10973" spans="1:6" ht="30" customHeight="1" x14ac:dyDescent="0.25">
      <c r="A10973" s="1" t="s">
        <v>21771</v>
      </c>
      <c r="B10973" s="1" t="str">
        <f>"9780309564625"</f>
        <v>9780309564625</v>
      </c>
      <c r="C10973" s="1" t="s">
        <v>20924</v>
      </c>
      <c r="D10973" s="2">
        <v>32509</v>
      </c>
      <c r="E10973" s="1" t="s">
        <v>21772</v>
      </c>
      <c r="F10973" s="1" t="s">
        <v>7239</v>
      </c>
    </row>
    <row r="10974" spans="1:6" ht="30" customHeight="1" x14ac:dyDescent="0.25">
      <c r="A10974" s="1" t="s">
        <v>21773</v>
      </c>
      <c r="B10974" s="1" t="str">
        <f>"9780309559294"</f>
        <v>9780309559294</v>
      </c>
      <c r="C10974" s="1" t="s">
        <v>20924</v>
      </c>
      <c r="D10974" s="2">
        <v>32509</v>
      </c>
      <c r="E10974" s="1" t="s">
        <v>21774</v>
      </c>
      <c r="F10974" s="1" t="s">
        <v>70</v>
      </c>
    </row>
    <row r="10975" spans="1:6" ht="30" customHeight="1" x14ac:dyDescent="0.25">
      <c r="A10975" s="1" t="s">
        <v>21775</v>
      </c>
      <c r="B10975" s="1" t="str">
        <f>"9780309557634"</f>
        <v>9780309557634</v>
      </c>
      <c r="C10975" s="1" t="s">
        <v>20924</v>
      </c>
      <c r="D10975" s="2">
        <v>31564</v>
      </c>
      <c r="E10975" s="1" t="s">
        <v>21686</v>
      </c>
      <c r="F10975" s="1" t="s">
        <v>30</v>
      </c>
    </row>
    <row r="10976" spans="1:6" ht="30" customHeight="1" x14ac:dyDescent="0.25">
      <c r="A10976" s="1" t="s">
        <v>21776</v>
      </c>
      <c r="B10976" s="1" t="str">
        <f>"9780309562287"</f>
        <v>9780309562287</v>
      </c>
      <c r="C10976" s="1" t="s">
        <v>20924</v>
      </c>
      <c r="D10976" s="2">
        <v>35461</v>
      </c>
      <c r="E10976" s="1" t="s">
        <v>21777</v>
      </c>
      <c r="F10976" s="1" t="s">
        <v>176</v>
      </c>
    </row>
    <row r="10977" spans="1:6" ht="30" customHeight="1" x14ac:dyDescent="0.25">
      <c r="A10977" s="1" t="s">
        <v>21778</v>
      </c>
      <c r="B10977" s="1" t="str">
        <f>"9780309562225"</f>
        <v>9780309562225</v>
      </c>
      <c r="C10977" s="1" t="s">
        <v>20924</v>
      </c>
      <c r="D10977" s="2">
        <v>35125</v>
      </c>
      <c r="E10977" s="1" t="s">
        <v>21779</v>
      </c>
      <c r="F10977" s="1" t="s">
        <v>114</v>
      </c>
    </row>
    <row r="10978" spans="1:6" ht="30" customHeight="1" x14ac:dyDescent="0.25">
      <c r="A10978" s="1" t="s">
        <v>21780</v>
      </c>
      <c r="B10978" s="1" t="str">
        <f>"9780309557429"</f>
        <v>9780309557429</v>
      </c>
      <c r="C10978" s="1" t="s">
        <v>20924</v>
      </c>
      <c r="D10978" s="2">
        <v>36502</v>
      </c>
      <c r="E10978" s="1" t="s">
        <v>21289</v>
      </c>
      <c r="F10978" s="1" t="s">
        <v>13</v>
      </c>
    </row>
    <row r="10979" spans="1:6" ht="30" customHeight="1" x14ac:dyDescent="0.25">
      <c r="A10979" s="1" t="s">
        <v>21781</v>
      </c>
      <c r="B10979" s="1" t="str">
        <f>"9780309564434"</f>
        <v>9780309564434</v>
      </c>
      <c r="C10979" s="1" t="s">
        <v>20924</v>
      </c>
      <c r="D10979" s="2">
        <v>35551</v>
      </c>
      <c r="E10979" s="1" t="s">
        <v>21782</v>
      </c>
      <c r="F10979" s="1" t="s">
        <v>4951</v>
      </c>
    </row>
    <row r="10980" spans="1:6" ht="30" customHeight="1" x14ac:dyDescent="0.25">
      <c r="A10980" s="1" t="s">
        <v>21783</v>
      </c>
      <c r="B10980" s="1" t="str">
        <f>"9780309564014"</f>
        <v>9780309564014</v>
      </c>
      <c r="C10980" s="1" t="s">
        <v>20924</v>
      </c>
      <c r="D10980" s="2">
        <v>31747</v>
      </c>
      <c r="E10980" s="1" t="s">
        <v>21139</v>
      </c>
      <c r="F10980" s="1" t="s">
        <v>30</v>
      </c>
    </row>
    <row r="10981" spans="1:6" ht="30" customHeight="1" x14ac:dyDescent="0.25">
      <c r="A10981" s="1" t="s">
        <v>21784</v>
      </c>
      <c r="B10981" s="1" t="str">
        <f>"9780309560016"</f>
        <v>9780309560016</v>
      </c>
      <c r="C10981" s="1" t="s">
        <v>20924</v>
      </c>
      <c r="D10981" s="2">
        <v>32843</v>
      </c>
      <c r="E10981" s="1" t="s">
        <v>21785</v>
      </c>
      <c r="F10981" s="1" t="s">
        <v>95</v>
      </c>
    </row>
    <row r="10982" spans="1:6" ht="30" customHeight="1" x14ac:dyDescent="0.25">
      <c r="A10982" s="1" t="s">
        <v>21786</v>
      </c>
      <c r="B10982" s="1" t="str">
        <f>"9780309564274"</f>
        <v>9780309564274</v>
      </c>
      <c r="C10982" s="1" t="s">
        <v>20924</v>
      </c>
      <c r="D10982" s="2">
        <v>33239</v>
      </c>
      <c r="E10982" s="1" t="s">
        <v>21787</v>
      </c>
      <c r="F10982" s="1" t="s">
        <v>70</v>
      </c>
    </row>
    <row r="10983" spans="1:6" ht="30" customHeight="1" x14ac:dyDescent="0.25">
      <c r="A10983" s="1" t="s">
        <v>21788</v>
      </c>
      <c r="B10983" s="1" t="str">
        <f>"9780309563246"</f>
        <v>9780309563246</v>
      </c>
      <c r="C10983" s="1" t="s">
        <v>20924</v>
      </c>
      <c r="D10983" s="2">
        <v>36739</v>
      </c>
      <c r="E10983" s="1" t="s">
        <v>21789</v>
      </c>
      <c r="F10983" s="1" t="s">
        <v>1372</v>
      </c>
    </row>
    <row r="10984" spans="1:6" ht="30" customHeight="1" x14ac:dyDescent="0.25">
      <c r="A10984" s="1" t="s">
        <v>21790</v>
      </c>
      <c r="B10984" s="1" t="str">
        <f>"9780309563277"</f>
        <v>9780309563277</v>
      </c>
      <c r="C10984" s="1" t="s">
        <v>20924</v>
      </c>
      <c r="D10984" s="2">
        <v>36677</v>
      </c>
      <c r="E10984" s="1" t="s">
        <v>21791</v>
      </c>
      <c r="F10984" s="1" t="s">
        <v>176</v>
      </c>
    </row>
    <row r="10985" spans="1:6" ht="30" customHeight="1" x14ac:dyDescent="0.25">
      <c r="A10985" s="1" t="s">
        <v>21792</v>
      </c>
      <c r="B10985" s="1" t="str">
        <f>"9780309563789"</f>
        <v>9780309563789</v>
      </c>
      <c r="C10985" s="1" t="s">
        <v>20924</v>
      </c>
      <c r="D10985" s="2">
        <v>29587</v>
      </c>
      <c r="E10985" s="1" t="s">
        <v>21793</v>
      </c>
      <c r="F10985" s="1" t="s">
        <v>4314</v>
      </c>
    </row>
    <row r="10986" spans="1:6" ht="30" customHeight="1" x14ac:dyDescent="0.25">
      <c r="A10986" s="1" t="s">
        <v>21366</v>
      </c>
      <c r="B10986" s="1" t="str">
        <f>"9780309561662"</f>
        <v>9780309561662</v>
      </c>
      <c r="C10986" s="1" t="s">
        <v>20924</v>
      </c>
      <c r="D10986" s="2">
        <v>35400</v>
      </c>
      <c r="E10986" s="1" t="s">
        <v>21794</v>
      </c>
      <c r="F10986" s="1" t="s">
        <v>214</v>
      </c>
    </row>
    <row r="10987" spans="1:6" ht="30" customHeight="1" x14ac:dyDescent="0.25">
      <c r="A10987" s="1" t="s">
        <v>21795</v>
      </c>
      <c r="B10987" s="1" t="str">
        <f>"9780309561723"</f>
        <v>9780309561723</v>
      </c>
      <c r="C10987" s="1" t="s">
        <v>20924</v>
      </c>
      <c r="D10987" s="2">
        <v>31444</v>
      </c>
      <c r="E10987" s="1" t="s">
        <v>21303</v>
      </c>
      <c r="F10987" s="1" t="s">
        <v>158</v>
      </c>
    </row>
    <row r="10988" spans="1:6" ht="30" customHeight="1" x14ac:dyDescent="0.25">
      <c r="A10988" s="1" t="s">
        <v>21796</v>
      </c>
      <c r="B10988" s="1" t="str">
        <f>"9780309559928"</f>
        <v>9780309559928</v>
      </c>
      <c r="C10988" s="1" t="s">
        <v>20924</v>
      </c>
      <c r="D10988" s="2">
        <v>32874</v>
      </c>
      <c r="E10988" s="1" t="s">
        <v>21797</v>
      </c>
      <c r="F10988" s="1" t="s">
        <v>95</v>
      </c>
    </row>
    <row r="10989" spans="1:6" ht="30" customHeight="1" x14ac:dyDescent="0.25">
      <c r="A10989" s="1" t="s">
        <v>21798</v>
      </c>
      <c r="B10989" s="1" t="str">
        <f>"9780309565738"</f>
        <v>9780309565738</v>
      </c>
      <c r="C10989" s="1" t="s">
        <v>20924</v>
      </c>
      <c r="D10989" s="2">
        <v>37226</v>
      </c>
      <c r="E10989" s="1" t="s">
        <v>21799</v>
      </c>
      <c r="F10989" s="1" t="s">
        <v>70</v>
      </c>
    </row>
    <row r="10990" spans="1:6" ht="30" customHeight="1" x14ac:dyDescent="0.25">
      <c r="A10990" s="1" t="s">
        <v>21800</v>
      </c>
      <c r="B10990" s="1" t="str">
        <f>"9780309562737"</f>
        <v>9780309562737</v>
      </c>
      <c r="C10990" s="1" t="s">
        <v>20924</v>
      </c>
      <c r="D10990" s="2">
        <v>36761</v>
      </c>
      <c r="E10990" s="1" t="s">
        <v>21801</v>
      </c>
      <c r="F10990" s="1" t="s">
        <v>214</v>
      </c>
    </row>
    <row r="10991" spans="1:6" ht="30" customHeight="1" x14ac:dyDescent="0.25">
      <c r="A10991" s="1" t="s">
        <v>21802</v>
      </c>
      <c r="B10991" s="1" t="str">
        <f>"9780309565707"</f>
        <v>9780309565707</v>
      </c>
      <c r="C10991" s="1" t="s">
        <v>20924</v>
      </c>
      <c r="D10991" s="2">
        <v>37221</v>
      </c>
      <c r="E10991" s="1" t="s">
        <v>21803</v>
      </c>
      <c r="F10991" s="1" t="s">
        <v>148</v>
      </c>
    </row>
    <row r="10992" spans="1:6" ht="30" customHeight="1" x14ac:dyDescent="0.25">
      <c r="A10992" s="1" t="s">
        <v>21804</v>
      </c>
      <c r="B10992" s="1" t="str">
        <f>"9780309563338"</f>
        <v>9780309563338</v>
      </c>
      <c r="C10992" s="1" t="s">
        <v>20924</v>
      </c>
      <c r="D10992" s="2">
        <v>36824</v>
      </c>
      <c r="E10992" s="1" t="s">
        <v>21805</v>
      </c>
      <c r="F10992" s="1" t="s">
        <v>1344</v>
      </c>
    </row>
    <row r="10993" spans="1:6" ht="30" customHeight="1" x14ac:dyDescent="0.25">
      <c r="A10993" s="1" t="s">
        <v>21806</v>
      </c>
      <c r="B10993" s="1" t="str">
        <f>"9780309563062"</f>
        <v>9780309563062</v>
      </c>
      <c r="C10993" s="1" t="s">
        <v>20924</v>
      </c>
      <c r="D10993" s="2">
        <v>31048</v>
      </c>
      <c r="E10993" s="1" t="s">
        <v>21807</v>
      </c>
      <c r="F10993" s="1" t="s">
        <v>176</v>
      </c>
    </row>
    <row r="10994" spans="1:6" ht="30" customHeight="1" x14ac:dyDescent="0.25">
      <c r="A10994" s="1" t="s">
        <v>21808</v>
      </c>
      <c r="B10994" s="1" t="str">
        <f>"9780309566292"</f>
        <v>9780309566292</v>
      </c>
      <c r="C10994" s="1" t="s">
        <v>20924</v>
      </c>
      <c r="D10994" s="2">
        <v>37524</v>
      </c>
      <c r="E10994" s="1" t="s">
        <v>21809</v>
      </c>
      <c r="F10994" s="1" t="s">
        <v>95</v>
      </c>
    </row>
    <row r="10995" spans="1:6" ht="30" customHeight="1" x14ac:dyDescent="0.25">
      <c r="A10995" s="1" t="s">
        <v>21810</v>
      </c>
      <c r="B10995" s="1" t="str">
        <f>"9780309559201"</f>
        <v>9780309559201</v>
      </c>
      <c r="C10995" s="1" t="s">
        <v>20924</v>
      </c>
      <c r="D10995" s="2">
        <v>32599</v>
      </c>
      <c r="E10995" s="1" t="s">
        <v>21139</v>
      </c>
      <c r="F10995" s="1" t="s">
        <v>13</v>
      </c>
    </row>
    <row r="10996" spans="1:6" ht="30" customHeight="1" x14ac:dyDescent="0.25">
      <c r="A10996" s="1" t="s">
        <v>21811</v>
      </c>
      <c r="B10996" s="1" t="str">
        <f>"9780309561860"</f>
        <v>9780309561860</v>
      </c>
      <c r="C10996" s="1" t="s">
        <v>20924</v>
      </c>
      <c r="D10996" s="2">
        <v>37837</v>
      </c>
      <c r="E10996" s="1" t="s">
        <v>21812</v>
      </c>
      <c r="F10996" s="1" t="s">
        <v>30</v>
      </c>
    </row>
    <row r="10997" spans="1:6" ht="30" customHeight="1" x14ac:dyDescent="0.25">
      <c r="A10997" s="1" t="s">
        <v>21813</v>
      </c>
      <c r="B10997" s="1" t="str">
        <f>"9780309532662"</f>
        <v>9780309532662</v>
      </c>
      <c r="C10997" s="1" t="s">
        <v>20924</v>
      </c>
      <c r="D10997" s="2">
        <v>38107</v>
      </c>
      <c r="E10997" s="1" t="s">
        <v>21814</v>
      </c>
      <c r="F10997" s="1" t="s">
        <v>30</v>
      </c>
    </row>
    <row r="10998" spans="1:6" ht="30" customHeight="1" x14ac:dyDescent="0.25">
      <c r="A10998" s="1" t="s">
        <v>21815</v>
      </c>
      <c r="B10998" s="1" t="str">
        <f>"9780309565677"</f>
        <v>9780309565677</v>
      </c>
      <c r="C10998" s="1" t="s">
        <v>20924</v>
      </c>
      <c r="D10998" s="2">
        <v>37226</v>
      </c>
      <c r="E10998" s="1" t="s">
        <v>21816</v>
      </c>
      <c r="F10998" s="1" t="s">
        <v>158</v>
      </c>
    </row>
    <row r="10999" spans="1:6" ht="30" customHeight="1" x14ac:dyDescent="0.25">
      <c r="A10999" s="1" t="s">
        <v>21817</v>
      </c>
      <c r="B10999" s="1" t="str">
        <f>"9780309567619"</f>
        <v>9780309567619</v>
      </c>
      <c r="C10999" s="1" t="s">
        <v>20924</v>
      </c>
      <c r="D10999" s="2">
        <v>36963</v>
      </c>
      <c r="E10999" s="1" t="s">
        <v>21818</v>
      </c>
      <c r="F10999" s="1" t="s">
        <v>148</v>
      </c>
    </row>
    <row r="11000" spans="1:6" ht="30" customHeight="1" x14ac:dyDescent="0.25">
      <c r="A11000" s="1" t="s">
        <v>21819</v>
      </c>
      <c r="B11000" s="1" t="str">
        <f>"9780309564083"</f>
        <v>9780309564083</v>
      </c>
      <c r="C11000" s="1" t="s">
        <v>20924</v>
      </c>
      <c r="D11000" s="2">
        <v>31747</v>
      </c>
      <c r="E11000" s="1" t="s">
        <v>21820</v>
      </c>
      <c r="F11000" s="1" t="s">
        <v>30</v>
      </c>
    </row>
    <row r="11001" spans="1:6" ht="30" customHeight="1" x14ac:dyDescent="0.25">
      <c r="A11001" s="1" t="s">
        <v>21821</v>
      </c>
      <c r="B11001" s="1" t="str">
        <f>"9780309565127"</f>
        <v>9780309565127</v>
      </c>
      <c r="C11001" s="1" t="s">
        <v>20924</v>
      </c>
      <c r="D11001" s="2">
        <v>37226</v>
      </c>
      <c r="E11001" s="1" t="s">
        <v>21822</v>
      </c>
      <c r="F11001" s="1" t="s">
        <v>30</v>
      </c>
    </row>
    <row r="11002" spans="1:6" ht="30" customHeight="1" x14ac:dyDescent="0.25">
      <c r="A11002" s="1" t="s">
        <v>21823</v>
      </c>
      <c r="B11002" s="1" t="str">
        <f>"9780309557368"</f>
        <v>9780309557368</v>
      </c>
      <c r="C11002" s="1" t="s">
        <v>20924</v>
      </c>
      <c r="D11002" s="2">
        <v>34029</v>
      </c>
      <c r="E11002" s="1" t="s">
        <v>21824</v>
      </c>
      <c r="F11002" s="1" t="s">
        <v>214</v>
      </c>
    </row>
    <row r="11003" spans="1:6" ht="30" customHeight="1" x14ac:dyDescent="0.25">
      <c r="A11003" s="1" t="s">
        <v>21825</v>
      </c>
      <c r="B11003" s="1" t="str">
        <f>"9780309564953"</f>
        <v>9780309564953</v>
      </c>
      <c r="C11003" s="1" t="s">
        <v>20924</v>
      </c>
      <c r="D11003" s="2">
        <v>36861</v>
      </c>
      <c r="E11003" s="1" t="s">
        <v>21826</v>
      </c>
      <c r="F11003" s="1" t="s">
        <v>158</v>
      </c>
    </row>
    <row r="11004" spans="1:6" ht="30" customHeight="1" x14ac:dyDescent="0.25">
      <c r="A11004" s="1" t="s">
        <v>21827</v>
      </c>
      <c r="B11004" s="1" t="str">
        <f>"9780309563697"</f>
        <v>9780309563697</v>
      </c>
      <c r="C11004" s="1" t="s">
        <v>20924</v>
      </c>
      <c r="D11004" s="2">
        <v>37181</v>
      </c>
      <c r="E11004" s="1" t="s">
        <v>21828</v>
      </c>
      <c r="F11004" s="1" t="s">
        <v>13</v>
      </c>
    </row>
    <row r="11005" spans="1:6" ht="30" customHeight="1" x14ac:dyDescent="0.25">
      <c r="A11005" s="1" t="s">
        <v>21829</v>
      </c>
      <c r="B11005" s="1" t="str">
        <f>"9780309557573"</f>
        <v>9780309557573</v>
      </c>
      <c r="C11005" s="1" t="s">
        <v>20924</v>
      </c>
      <c r="D11005" s="2">
        <v>30651</v>
      </c>
      <c r="E11005" s="1" t="s">
        <v>21830</v>
      </c>
      <c r="F11005" s="1" t="s">
        <v>95</v>
      </c>
    </row>
    <row r="11006" spans="1:6" ht="30" customHeight="1" x14ac:dyDescent="0.25">
      <c r="A11006" s="1" t="s">
        <v>21831</v>
      </c>
      <c r="B11006" s="1" t="str">
        <f>"9780309562676"</f>
        <v>9780309562676</v>
      </c>
      <c r="C11006" s="1" t="s">
        <v>20924</v>
      </c>
      <c r="D11006" s="2">
        <v>36713</v>
      </c>
      <c r="E11006" s="1" t="s">
        <v>21832</v>
      </c>
      <c r="F11006" s="1" t="s">
        <v>13</v>
      </c>
    </row>
    <row r="11007" spans="1:6" ht="30" customHeight="1" x14ac:dyDescent="0.25">
      <c r="A11007" s="1" t="s">
        <v>21833</v>
      </c>
      <c r="B11007" s="1" t="str">
        <f>"9780309559652"</f>
        <v>9780309559652</v>
      </c>
      <c r="C11007" s="1" t="s">
        <v>20924</v>
      </c>
      <c r="D11007" s="2">
        <v>32874</v>
      </c>
      <c r="E11007" s="1" t="s">
        <v>21834</v>
      </c>
      <c r="F11007" s="1" t="s">
        <v>13</v>
      </c>
    </row>
    <row r="11008" spans="1:6" ht="30" customHeight="1" x14ac:dyDescent="0.25">
      <c r="A11008" s="1" t="s">
        <v>21835</v>
      </c>
      <c r="B11008" s="1" t="str">
        <f>"9780309531610"</f>
        <v>9780309531610</v>
      </c>
      <c r="C11008" s="1" t="s">
        <v>20924</v>
      </c>
      <c r="D11008" s="2">
        <v>38098</v>
      </c>
      <c r="E11008" s="1" t="s">
        <v>21836</v>
      </c>
      <c r="F11008" s="1" t="s">
        <v>30</v>
      </c>
    </row>
    <row r="11009" spans="1:6" ht="30" customHeight="1" x14ac:dyDescent="0.25">
      <c r="A11009" s="1" t="s">
        <v>21837</v>
      </c>
      <c r="B11009" s="1" t="str">
        <f>"9780309557696"</f>
        <v>9780309557696</v>
      </c>
      <c r="C11009" s="1" t="s">
        <v>20924</v>
      </c>
      <c r="D11009" s="2">
        <v>31778</v>
      </c>
      <c r="E11009" s="1" t="s">
        <v>21838</v>
      </c>
      <c r="F11009" s="1" t="s">
        <v>21839</v>
      </c>
    </row>
    <row r="11010" spans="1:6" ht="30" customHeight="1" x14ac:dyDescent="0.25">
      <c r="A11010" s="1" t="s">
        <v>21840</v>
      </c>
      <c r="B11010" s="1" t="str">
        <f>"9780309566384"</f>
        <v>9780309566384</v>
      </c>
      <c r="C11010" s="1" t="s">
        <v>20924</v>
      </c>
      <c r="D11010" s="2">
        <v>37951</v>
      </c>
      <c r="E11010" s="1" t="s">
        <v>21841</v>
      </c>
      <c r="F11010" s="1" t="s">
        <v>70</v>
      </c>
    </row>
    <row r="11011" spans="1:6" ht="30" customHeight="1" x14ac:dyDescent="0.25">
      <c r="A11011" s="1" t="s">
        <v>21842</v>
      </c>
      <c r="B11011" s="1" t="str">
        <f>"9780309561891"</f>
        <v>9780309561891</v>
      </c>
      <c r="C11011" s="1" t="s">
        <v>20924</v>
      </c>
      <c r="D11011" s="2">
        <v>33604</v>
      </c>
      <c r="E11011" s="1" t="s">
        <v>21843</v>
      </c>
      <c r="F11011" s="1" t="s">
        <v>95</v>
      </c>
    </row>
    <row r="11012" spans="1:6" ht="30" customHeight="1" x14ac:dyDescent="0.25">
      <c r="A11012" s="1" t="s">
        <v>21844</v>
      </c>
      <c r="B11012" s="1" t="str">
        <f>"9780309567701"</f>
        <v>9780309567701</v>
      </c>
      <c r="C11012" s="1" t="s">
        <v>20924</v>
      </c>
      <c r="D11012" s="2">
        <v>37259</v>
      </c>
      <c r="E11012" s="1" t="s">
        <v>21845</v>
      </c>
      <c r="F11012" s="1" t="s">
        <v>356</v>
      </c>
    </row>
    <row r="11013" spans="1:6" ht="30" customHeight="1" x14ac:dyDescent="0.25">
      <c r="A11013" s="1" t="s">
        <v>21846</v>
      </c>
      <c r="B11013" s="1" t="str">
        <f>"9780309564892"</f>
        <v>9780309564892</v>
      </c>
      <c r="C11013" s="1" t="s">
        <v>20924</v>
      </c>
      <c r="D11013" s="2">
        <v>36861</v>
      </c>
      <c r="E11013" s="1" t="s">
        <v>21590</v>
      </c>
      <c r="F11013" s="1" t="s">
        <v>70</v>
      </c>
    </row>
    <row r="11014" spans="1:6" ht="30" customHeight="1" x14ac:dyDescent="0.25">
      <c r="A11014" s="1" t="s">
        <v>21847</v>
      </c>
      <c r="B11014" s="1" t="str">
        <f>"9780309564823"</f>
        <v>9780309564823</v>
      </c>
      <c r="C11014" s="1" t="s">
        <v>20924</v>
      </c>
      <c r="D11014" s="2">
        <v>36979</v>
      </c>
      <c r="E11014" s="1" t="s">
        <v>21848</v>
      </c>
      <c r="F11014" s="1" t="s">
        <v>158</v>
      </c>
    </row>
    <row r="11015" spans="1:6" ht="30" customHeight="1" x14ac:dyDescent="0.25">
      <c r="A11015" s="1" t="s">
        <v>21849</v>
      </c>
      <c r="B11015" s="1" t="str">
        <f>"9780309529419"</f>
        <v>9780309529419</v>
      </c>
      <c r="C11015" s="1" t="s">
        <v>20924</v>
      </c>
      <c r="D11015" s="2">
        <v>38126</v>
      </c>
      <c r="E11015" s="1" t="s">
        <v>21850</v>
      </c>
      <c r="F11015" s="1" t="s">
        <v>21851</v>
      </c>
    </row>
    <row r="11016" spans="1:6" ht="30" customHeight="1" x14ac:dyDescent="0.25">
      <c r="A11016" s="1" t="s">
        <v>21852</v>
      </c>
      <c r="B11016" s="1" t="str">
        <f>"9780309564922"</f>
        <v>9780309564922</v>
      </c>
      <c r="C11016" s="1" t="s">
        <v>20924</v>
      </c>
      <c r="D11016" s="2">
        <v>36914</v>
      </c>
      <c r="E11016" s="1" t="s">
        <v>21853</v>
      </c>
      <c r="F11016" s="1" t="s">
        <v>1344</v>
      </c>
    </row>
    <row r="11017" spans="1:6" ht="30" customHeight="1" x14ac:dyDescent="0.25">
      <c r="A11017" s="1" t="s">
        <v>21854</v>
      </c>
      <c r="B11017" s="1" t="str">
        <f>"9780309532396"</f>
        <v>9780309532396</v>
      </c>
      <c r="C11017" s="1" t="s">
        <v>20924</v>
      </c>
      <c r="D11017" s="2">
        <v>38197</v>
      </c>
      <c r="E11017" s="1" t="s">
        <v>21855</v>
      </c>
      <c r="F11017" s="1" t="s">
        <v>214</v>
      </c>
    </row>
    <row r="11018" spans="1:6" ht="30" customHeight="1" x14ac:dyDescent="0.25">
      <c r="A11018" s="1" t="s">
        <v>21433</v>
      </c>
      <c r="B11018" s="1" t="str">
        <f>"9780309567732"</f>
        <v>9780309567732</v>
      </c>
      <c r="C11018" s="1" t="s">
        <v>20924</v>
      </c>
      <c r="D11018" s="2">
        <v>37536</v>
      </c>
      <c r="E11018" s="1" t="s">
        <v>21856</v>
      </c>
      <c r="F11018" s="1" t="s">
        <v>158</v>
      </c>
    </row>
    <row r="11019" spans="1:6" ht="30" customHeight="1" x14ac:dyDescent="0.25">
      <c r="A11019" s="1" t="s">
        <v>21433</v>
      </c>
      <c r="B11019" s="1" t="str">
        <f>"9780309565080"</f>
        <v>9780309565080</v>
      </c>
      <c r="C11019" s="1" t="s">
        <v>20924</v>
      </c>
      <c r="D11019" s="2">
        <v>36861</v>
      </c>
      <c r="E11019" s="1" t="s">
        <v>21857</v>
      </c>
      <c r="F11019" s="1" t="s">
        <v>33</v>
      </c>
    </row>
    <row r="11020" spans="1:6" ht="30" customHeight="1" x14ac:dyDescent="0.25">
      <c r="A11020" s="1" t="s">
        <v>21858</v>
      </c>
      <c r="B11020" s="1" t="str">
        <f>"9780309566100"</f>
        <v>9780309566100</v>
      </c>
      <c r="C11020" s="1" t="s">
        <v>20924</v>
      </c>
      <c r="D11020" s="2">
        <v>37546</v>
      </c>
      <c r="E11020" s="1" t="s">
        <v>21859</v>
      </c>
      <c r="F11020" s="1" t="s">
        <v>8372</v>
      </c>
    </row>
    <row r="11021" spans="1:6" ht="30" customHeight="1" x14ac:dyDescent="0.25">
      <c r="A11021" s="1" t="s">
        <v>21860</v>
      </c>
      <c r="B11021" s="1" t="str">
        <f>"9780309566414"</f>
        <v>9780309566414</v>
      </c>
      <c r="C11021" s="1" t="s">
        <v>20924</v>
      </c>
      <c r="D11021" s="2">
        <v>37841</v>
      </c>
      <c r="E11021" s="1" t="s">
        <v>21861</v>
      </c>
      <c r="F11021" s="1" t="s">
        <v>15785</v>
      </c>
    </row>
    <row r="11022" spans="1:6" ht="30" customHeight="1" x14ac:dyDescent="0.25">
      <c r="A11022" s="1" t="s">
        <v>21862</v>
      </c>
      <c r="B11022" s="1" t="str">
        <f>"9780309565493"</f>
        <v>9780309565493</v>
      </c>
      <c r="C11022" s="1" t="s">
        <v>20924</v>
      </c>
      <c r="D11022" s="2">
        <v>37226</v>
      </c>
      <c r="E11022" s="1" t="s">
        <v>21863</v>
      </c>
      <c r="F11022" s="1" t="s">
        <v>200</v>
      </c>
    </row>
    <row r="11023" spans="1:6" ht="30" customHeight="1" x14ac:dyDescent="0.25">
      <c r="A11023" s="1" t="s">
        <v>21864</v>
      </c>
      <c r="B11023" s="1" t="str">
        <f>"9780309566933"</f>
        <v>9780309566933</v>
      </c>
      <c r="C11023" s="1" t="s">
        <v>20924</v>
      </c>
      <c r="D11023" s="2">
        <v>31017</v>
      </c>
      <c r="E11023" s="1" t="s">
        <v>21865</v>
      </c>
      <c r="F11023" s="1" t="s">
        <v>30</v>
      </c>
    </row>
    <row r="11024" spans="1:6" ht="30" customHeight="1" x14ac:dyDescent="0.25">
      <c r="A11024" s="1" t="s">
        <v>21866</v>
      </c>
      <c r="B11024" s="1" t="str">
        <f>"9780309564984"</f>
        <v>9780309564984</v>
      </c>
      <c r="C11024" s="1" t="s">
        <v>20924</v>
      </c>
      <c r="D11024" s="2">
        <v>36864</v>
      </c>
      <c r="E11024" s="1" t="s">
        <v>21867</v>
      </c>
      <c r="F11024" s="1" t="s">
        <v>6795</v>
      </c>
    </row>
    <row r="11025" spans="1:6" ht="30" customHeight="1" x14ac:dyDescent="0.25">
      <c r="A11025" s="1" t="s">
        <v>21868</v>
      </c>
      <c r="B11025" s="1" t="str">
        <f>"9780309566353"</f>
        <v>9780309566353</v>
      </c>
      <c r="C11025" s="1" t="s">
        <v>20924</v>
      </c>
      <c r="D11025" s="2">
        <v>37552</v>
      </c>
      <c r="E11025" s="1" t="s">
        <v>21869</v>
      </c>
      <c r="F11025" s="1" t="s">
        <v>148</v>
      </c>
    </row>
    <row r="11026" spans="1:6" ht="30" customHeight="1" x14ac:dyDescent="0.25">
      <c r="A11026" s="1" t="s">
        <v>21870</v>
      </c>
      <c r="B11026" s="1" t="str">
        <f>"9780309531580"</f>
        <v>9780309531580</v>
      </c>
      <c r="C11026" s="1" t="s">
        <v>20924</v>
      </c>
      <c r="D11026" s="2">
        <v>38132</v>
      </c>
      <c r="E11026" s="1" t="s">
        <v>21871</v>
      </c>
      <c r="F11026" s="1" t="s">
        <v>30</v>
      </c>
    </row>
    <row r="11027" spans="1:6" ht="30" customHeight="1" x14ac:dyDescent="0.25">
      <c r="A11027" s="1" t="s">
        <v>21872</v>
      </c>
      <c r="B11027" s="1" t="str">
        <f>"9780309530521"</f>
        <v>9780309530521</v>
      </c>
      <c r="C11027" s="1" t="s">
        <v>20924</v>
      </c>
      <c r="D11027" s="2">
        <v>38103</v>
      </c>
      <c r="E11027" s="1" t="s">
        <v>21873</v>
      </c>
      <c r="F11027" s="1" t="s">
        <v>10335</v>
      </c>
    </row>
    <row r="11028" spans="1:6" ht="30" customHeight="1" x14ac:dyDescent="0.25">
      <c r="A11028" s="1" t="s">
        <v>21874</v>
      </c>
      <c r="B11028" s="1" t="str">
        <f>"9780309565523"</f>
        <v>9780309565523</v>
      </c>
      <c r="C11028" s="1" t="s">
        <v>20924</v>
      </c>
      <c r="D11028" s="2">
        <v>37028</v>
      </c>
      <c r="E11028" s="1" t="s">
        <v>21875</v>
      </c>
      <c r="F11028" s="1" t="s">
        <v>13</v>
      </c>
    </row>
    <row r="11029" spans="1:6" ht="30" customHeight="1" x14ac:dyDescent="0.25">
      <c r="A11029" s="1" t="s">
        <v>21876</v>
      </c>
      <c r="B11029" s="1" t="str">
        <f>"9780309569583"</f>
        <v>9780309569583</v>
      </c>
      <c r="C11029" s="1" t="s">
        <v>20924</v>
      </c>
      <c r="D11029" s="2">
        <v>36690</v>
      </c>
      <c r="E11029" s="1" t="s">
        <v>21791</v>
      </c>
      <c r="F11029" s="1" t="s">
        <v>214</v>
      </c>
    </row>
    <row r="11030" spans="1:6" ht="30" customHeight="1" x14ac:dyDescent="0.25">
      <c r="A11030" s="1" t="s">
        <v>21877</v>
      </c>
      <c r="B11030" s="1" t="str">
        <f>"9780309568753"</f>
        <v>9780309568753</v>
      </c>
      <c r="C11030" s="1" t="s">
        <v>20924</v>
      </c>
      <c r="D11030" s="2">
        <v>34669</v>
      </c>
      <c r="E11030" s="1" t="s">
        <v>21878</v>
      </c>
      <c r="F11030" s="1" t="s">
        <v>214</v>
      </c>
    </row>
    <row r="11031" spans="1:6" ht="30" customHeight="1" x14ac:dyDescent="0.25">
      <c r="A11031" s="1" t="s">
        <v>21879</v>
      </c>
      <c r="B11031" s="1" t="str">
        <f>"9780309545358"</f>
        <v>9780309545358</v>
      </c>
      <c r="C11031" s="1" t="s">
        <v>20924</v>
      </c>
      <c r="D11031" s="2">
        <v>38243</v>
      </c>
      <c r="E11031" s="1" t="s">
        <v>21880</v>
      </c>
      <c r="F11031" s="1" t="s">
        <v>95</v>
      </c>
    </row>
    <row r="11032" spans="1:6" ht="30" customHeight="1" x14ac:dyDescent="0.25">
      <c r="A11032" s="1" t="s">
        <v>21881</v>
      </c>
      <c r="B11032" s="1" t="str">
        <f>"9780309568388"</f>
        <v>9780309568388</v>
      </c>
      <c r="C11032" s="1" t="s">
        <v>20924</v>
      </c>
      <c r="D11032" s="2">
        <v>32874</v>
      </c>
      <c r="E11032" s="1" t="s">
        <v>21882</v>
      </c>
      <c r="F11032" s="1" t="s">
        <v>13</v>
      </c>
    </row>
    <row r="11033" spans="1:6" ht="30" customHeight="1" x14ac:dyDescent="0.25">
      <c r="A11033" s="1" t="s">
        <v>21883</v>
      </c>
      <c r="B11033" s="1" t="str">
        <f>"9780309511667"</f>
        <v>9780309511667</v>
      </c>
      <c r="C11033" s="1" t="s">
        <v>20924</v>
      </c>
      <c r="D11033" s="2">
        <v>37895</v>
      </c>
      <c r="E11033" s="1" t="s">
        <v>21884</v>
      </c>
      <c r="F11033" s="1" t="s">
        <v>21</v>
      </c>
    </row>
    <row r="11034" spans="1:6" ht="30" customHeight="1" x14ac:dyDescent="0.25">
      <c r="A11034" s="1" t="s">
        <v>21885</v>
      </c>
      <c r="B11034" s="1" t="str">
        <f>"9780309533027"</f>
        <v>9780309533027</v>
      </c>
      <c r="C11034" s="1" t="s">
        <v>20924</v>
      </c>
      <c r="D11034" s="2">
        <v>38238</v>
      </c>
      <c r="E11034" s="1" t="s">
        <v>21886</v>
      </c>
      <c r="F11034" s="1" t="s">
        <v>95</v>
      </c>
    </row>
    <row r="11035" spans="1:6" ht="30" customHeight="1" x14ac:dyDescent="0.25">
      <c r="A11035" s="1" t="s">
        <v>21887</v>
      </c>
      <c r="B11035" s="1" t="str">
        <f>"9780309533324"</f>
        <v>9780309533324</v>
      </c>
      <c r="C11035" s="1" t="s">
        <v>20924</v>
      </c>
      <c r="D11035" s="2">
        <v>38139</v>
      </c>
      <c r="E11035" s="1" t="s">
        <v>21888</v>
      </c>
      <c r="F11035" s="1" t="s">
        <v>176</v>
      </c>
    </row>
    <row r="11036" spans="1:6" ht="30" customHeight="1" x14ac:dyDescent="0.25">
      <c r="A11036" s="1" t="s">
        <v>21889</v>
      </c>
      <c r="B11036" s="1" t="str">
        <f>"9780309572439"</f>
        <v>9780309572439</v>
      </c>
      <c r="C11036" s="1" t="s">
        <v>20924</v>
      </c>
      <c r="D11036" s="2">
        <v>2</v>
      </c>
      <c r="E11036" s="1" t="s">
        <v>21890</v>
      </c>
      <c r="F11036" s="1" t="s">
        <v>148</v>
      </c>
    </row>
    <row r="11037" spans="1:6" ht="30" customHeight="1" x14ac:dyDescent="0.25">
      <c r="A11037" s="1" t="s">
        <v>21891</v>
      </c>
      <c r="B11037" s="1" t="str">
        <f>"9780309568449"</f>
        <v>9780309568449</v>
      </c>
      <c r="C11037" s="1" t="s">
        <v>20924</v>
      </c>
      <c r="D11037" s="2">
        <v>32874</v>
      </c>
      <c r="E11037" s="1" t="s">
        <v>21892</v>
      </c>
      <c r="F11037" s="1" t="s">
        <v>33</v>
      </c>
    </row>
    <row r="11038" spans="1:6" ht="30" customHeight="1" x14ac:dyDescent="0.25">
      <c r="A11038" s="1" t="s">
        <v>21893</v>
      </c>
      <c r="B11038" s="1" t="str">
        <f>"9780309569910"</f>
        <v>9780309569910</v>
      </c>
      <c r="C11038" s="1" t="s">
        <v>20924</v>
      </c>
      <c r="D11038" s="2">
        <v>37074</v>
      </c>
      <c r="E11038" s="1" t="s">
        <v>21894</v>
      </c>
      <c r="F11038" s="1" t="s">
        <v>13</v>
      </c>
    </row>
    <row r="11039" spans="1:6" ht="30" customHeight="1" x14ac:dyDescent="0.25">
      <c r="A11039" s="1" t="s">
        <v>21895</v>
      </c>
      <c r="B11039" s="1" t="str">
        <f>"9780309569392"</f>
        <v>9780309569392</v>
      </c>
      <c r="C11039" s="1" t="s">
        <v>20924</v>
      </c>
      <c r="D11039" s="2">
        <v>36861</v>
      </c>
      <c r="E11039" s="1" t="s">
        <v>21896</v>
      </c>
      <c r="F11039" s="1" t="s">
        <v>70</v>
      </c>
    </row>
    <row r="11040" spans="1:6" ht="30" customHeight="1" x14ac:dyDescent="0.25">
      <c r="A11040" s="1" t="s">
        <v>21897</v>
      </c>
      <c r="B11040" s="1" t="str">
        <f>"9780309568722"</f>
        <v>9780309568722</v>
      </c>
      <c r="C11040" s="1" t="s">
        <v>20924</v>
      </c>
      <c r="D11040" s="2">
        <v>34817</v>
      </c>
      <c r="E11040" s="1" t="s">
        <v>21898</v>
      </c>
      <c r="F11040" s="1" t="s">
        <v>148</v>
      </c>
    </row>
    <row r="11041" spans="1:6" ht="30" customHeight="1" x14ac:dyDescent="0.25">
      <c r="A11041" s="1" t="s">
        <v>21899</v>
      </c>
      <c r="B11041" s="1" t="str">
        <f>"9780309532334"</f>
        <v>9780309532334</v>
      </c>
      <c r="C11041" s="1" t="s">
        <v>20924</v>
      </c>
      <c r="D11041" s="2">
        <v>38233</v>
      </c>
      <c r="E11041" s="1" t="s">
        <v>21900</v>
      </c>
      <c r="F11041" s="1" t="s">
        <v>13</v>
      </c>
    </row>
    <row r="11042" spans="1:6" ht="30" customHeight="1" x14ac:dyDescent="0.25">
      <c r="A11042" s="1" t="s">
        <v>21901</v>
      </c>
      <c r="B11042" s="1" t="str">
        <f>"9780309570015"</f>
        <v>9780309570015</v>
      </c>
      <c r="C11042" s="1" t="s">
        <v>20924</v>
      </c>
      <c r="D11042" s="2">
        <v>37226</v>
      </c>
      <c r="E11042" s="1" t="s">
        <v>21902</v>
      </c>
      <c r="F11042" s="1" t="s">
        <v>63</v>
      </c>
    </row>
    <row r="11043" spans="1:6" ht="30" customHeight="1" x14ac:dyDescent="0.25">
      <c r="A11043" s="1" t="s">
        <v>21903</v>
      </c>
      <c r="B11043" s="1" t="str">
        <f>"9780309532006"</f>
        <v>9780309532006</v>
      </c>
      <c r="C11043" s="1" t="s">
        <v>20924</v>
      </c>
      <c r="D11043" s="2">
        <v>38246</v>
      </c>
      <c r="E11043" s="1" t="s">
        <v>21904</v>
      </c>
      <c r="F11043" s="1" t="s">
        <v>30</v>
      </c>
    </row>
    <row r="11044" spans="1:6" ht="30" customHeight="1" x14ac:dyDescent="0.25">
      <c r="A11044" s="1" t="s">
        <v>21905</v>
      </c>
      <c r="B11044" s="1" t="str">
        <f>"9780309569705"</f>
        <v>9780309569705</v>
      </c>
      <c r="C11044" s="1" t="s">
        <v>20924</v>
      </c>
      <c r="D11044" s="2">
        <v>36796</v>
      </c>
      <c r="E11044" s="1" t="s">
        <v>21906</v>
      </c>
      <c r="F11044" s="1" t="s">
        <v>148</v>
      </c>
    </row>
    <row r="11045" spans="1:6" ht="30" customHeight="1" x14ac:dyDescent="0.25">
      <c r="A11045" s="1" t="s">
        <v>21907</v>
      </c>
      <c r="B11045" s="1" t="str">
        <f>"9780309572408"</f>
        <v>9780309572408</v>
      </c>
      <c r="C11045" s="1" t="s">
        <v>20924</v>
      </c>
      <c r="D11045" s="2">
        <v>35400</v>
      </c>
      <c r="E11045" s="1" t="s">
        <v>21908</v>
      </c>
      <c r="F11045" s="1" t="s">
        <v>30</v>
      </c>
    </row>
    <row r="11046" spans="1:6" ht="30" customHeight="1" x14ac:dyDescent="0.25">
      <c r="A11046" s="1" t="s">
        <v>21909</v>
      </c>
      <c r="B11046" s="1" t="str">
        <f>"9780309569798"</f>
        <v>9780309569798</v>
      </c>
      <c r="C11046" s="1" t="s">
        <v>20924</v>
      </c>
      <c r="D11046" s="2">
        <v>36861</v>
      </c>
      <c r="E11046" s="1" t="s">
        <v>21910</v>
      </c>
      <c r="F11046" s="1" t="s">
        <v>650</v>
      </c>
    </row>
    <row r="11047" spans="1:6" ht="30" customHeight="1" x14ac:dyDescent="0.25">
      <c r="A11047" s="1" t="s">
        <v>21911</v>
      </c>
      <c r="B11047" s="1" t="str">
        <f>"9780309569330"</f>
        <v>9780309569330</v>
      </c>
      <c r="C11047" s="1" t="s">
        <v>20924</v>
      </c>
      <c r="D11047" s="2">
        <v>36495</v>
      </c>
      <c r="E11047" s="1" t="s">
        <v>21912</v>
      </c>
      <c r="F11047" s="1" t="s">
        <v>780</v>
      </c>
    </row>
    <row r="11048" spans="1:6" ht="30" customHeight="1" x14ac:dyDescent="0.25">
      <c r="A11048" s="1" t="s">
        <v>21913</v>
      </c>
      <c r="B11048" s="1" t="str">
        <f>"9780309568142"</f>
        <v>9780309568142</v>
      </c>
      <c r="C11048" s="1" t="s">
        <v>20924</v>
      </c>
      <c r="D11048" s="2">
        <v>32509</v>
      </c>
      <c r="E11048" s="1" t="s">
        <v>21543</v>
      </c>
      <c r="F11048" s="1" t="s">
        <v>158</v>
      </c>
    </row>
    <row r="11049" spans="1:6" ht="30" customHeight="1" x14ac:dyDescent="0.25">
      <c r="A11049" s="1" t="s">
        <v>21914</v>
      </c>
      <c r="B11049" s="1" t="str">
        <f>"9780309571524"</f>
        <v>9780309571524</v>
      </c>
      <c r="C11049" s="1" t="s">
        <v>20924</v>
      </c>
      <c r="D11049" s="2">
        <v>35400</v>
      </c>
      <c r="E11049" s="1" t="s">
        <v>21915</v>
      </c>
      <c r="F11049" s="1" t="s">
        <v>13</v>
      </c>
    </row>
    <row r="11050" spans="1:6" ht="30" customHeight="1" x14ac:dyDescent="0.25">
      <c r="A11050" s="1" t="s">
        <v>21916</v>
      </c>
      <c r="B11050" s="1" t="str">
        <f>"9780309577687"</f>
        <v>9780309577687</v>
      </c>
      <c r="C11050" s="1" t="s">
        <v>20924</v>
      </c>
      <c r="D11050" s="2">
        <v>31017</v>
      </c>
      <c r="E11050" s="1" t="s">
        <v>21121</v>
      </c>
      <c r="F11050" s="1" t="s">
        <v>6806</v>
      </c>
    </row>
    <row r="11051" spans="1:6" ht="30" customHeight="1" x14ac:dyDescent="0.25">
      <c r="A11051" s="1" t="s">
        <v>21917</v>
      </c>
      <c r="B11051" s="1" t="str">
        <f>"9780309572378"</f>
        <v>9780309572378</v>
      </c>
      <c r="C11051" s="1" t="s">
        <v>20924</v>
      </c>
      <c r="D11051" s="2">
        <v>34669</v>
      </c>
      <c r="E11051" s="1" t="s">
        <v>21918</v>
      </c>
      <c r="F11051" s="1" t="s">
        <v>395</v>
      </c>
    </row>
    <row r="11052" spans="1:6" ht="30" customHeight="1" x14ac:dyDescent="0.25">
      <c r="A11052" s="1" t="s">
        <v>21919</v>
      </c>
      <c r="B11052" s="1" t="str">
        <f>"9780309532754"</f>
        <v>9780309532754</v>
      </c>
      <c r="C11052" s="1" t="s">
        <v>20924</v>
      </c>
      <c r="D11052" s="2">
        <v>38125</v>
      </c>
      <c r="E11052" s="1" t="s">
        <v>21920</v>
      </c>
      <c r="F11052" s="1" t="s">
        <v>114</v>
      </c>
    </row>
    <row r="11053" spans="1:6" ht="30" customHeight="1" x14ac:dyDescent="0.25">
      <c r="A11053" s="1" t="s">
        <v>21921</v>
      </c>
      <c r="B11053" s="1" t="str">
        <f>"9780309573894"</f>
        <v>9780309573894</v>
      </c>
      <c r="C11053" s="1" t="s">
        <v>20924</v>
      </c>
      <c r="D11053" s="2">
        <v>35828</v>
      </c>
      <c r="E11053" s="1" t="s">
        <v>21922</v>
      </c>
      <c r="F11053" s="1" t="s">
        <v>95</v>
      </c>
    </row>
    <row r="11054" spans="1:6" ht="30" customHeight="1" x14ac:dyDescent="0.25">
      <c r="A11054" s="1" t="s">
        <v>21923</v>
      </c>
      <c r="B11054" s="1" t="str">
        <f>"9780309571487"</f>
        <v>9780309571487</v>
      </c>
      <c r="C11054" s="1" t="s">
        <v>20924</v>
      </c>
      <c r="D11054" s="2">
        <v>35400</v>
      </c>
      <c r="E11054" s="1" t="s">
        <v>21924</v>
      </c>
      <c r="F11054" s="1" t="s">
        <v>304</v>
      </c>
    </row>
    <row r="11055" spans="1:6" ht="30" customHeight="1" x14ac:dyDescent="0.25">
      <c r="A11055" s="1" t="s">
        <v>21925</v>
      </c>
      <c r="B11055" s="1" t="str">
        <f>"9780309576734"</f>
        <v>9780309576734</v>
      </c>
      <c r="C11055" s="1" t="s">
        <v>20924</v>
      </c>
      <c r="D11055" s="2">
        <v>32843</v>
      </c>
      <c r="E11055" s="1" t="s">
        <v>21926</v>
      </c>
      <c r="F11055" s="1" t="s">
        <v>158</v>
      </c>
    </row>
    <row r="11056" spans="1:6" ht="30" customHeight="1" x14ac:dyDescent="0.25">
      <c r="A11056" s="1" t="s">
        <v>21927</v>
      </c>
      <c r="B11056" s="1" t="str">
        <f>"9780309576796"</f>
        <v>9780309576796</v>
      </c>
      <c r="C11056" s="1" t="s">
        <v>20924</v>
      </c>
      <c r="D11056" s="2">
        <v>28825</v>
      </c>
      <c r="E11056" s="1" t="s">
        <v>21928</v>
      </c>
      <c r="F11056" s="1" t="s">
        <v>5288</v>
      </c>
    </row>
    <row r="11057" spans="1:6" ht="30" customHeight="1" x14ac:dyDescent="0.25">
      <c r="A11057" s="1" t="s">
        <v>21929</v>
      </c>
      <c r="B11057" s="1" t="str">
        <f>"9780309567923"</f>
        <v>9780309567923</v>
      </c>
      <c r="C11057" s="1" t="s">
        <v>20924</v>
      </c>
      <c r="D11057" s="2">
        <v>29952</v>
      </c>
      <c r="E11057" s="1" t="s">
        <v>21100</v>
      </c>
      <c r="F11057" s="1" t="s">
        <v>13</v>
      </c>
    </row>
    <row r="11058" spans="1:6" ht="30" customHeight="1" x14ac:dyDescent="0.25">
      <c r="A11058" s="1" t="s">
        <v>21930</v>
      </c>
      <c r="B11058" s="1" t="str">
        <f>"9780309544870"</f>
        <v>9780309544870</v>
      </c>
      <c r="C11058" s="1" t="s">
        <v>20924</v>
      </c>
      <c r="D11058" s="2">
        <v>38287</v>
      </c>
      <c r="E11058" s="1" t="s">
        <v>21931</v>
      </c>
      <c r="F11058" s="1" t="s">
        <v>148</v>
      </c>
    </row>
    <row r="11059" spans="1:6" ht="30" customHeight="1" x14ac:dyDescent="0.25">
      <c r="A11059" s="1" t="s">
        <v>21932</v>
      </c>
      <c r="B11059" s="1" t="str">
        <f>"9780309576970"</f>
        <v>9780309576970</v>
      </c>
      <c r="C11059" s="1" t="s">
        <v>20924</v>
      </c>
      <c r="D11059" s="2">
        <v>29556</v>
      </c>
      <c r="E11059" s="1" t="s">
        <v>21928</v>
      </c>
      <c r="F11059" s="1" t="s">
        <v>2285</v>
      </c>
    </row>
    <row r="11060" spans="1:6" ht="30" customHeight="1" x14ac:dyDescent="0.25">
      <c r="A11060" s="1" t="s">
        <v>21933</v>
      </c>
      <c r="B11060" s="1" t="str">
        <f>"9780309294157"</f>
        <v>9780309294157</v>
      </c>
      <c r="C11060" s="1" t="s">
        <v>20924</v>
      </c>
      <c r="D11060" s="2">
        <v>31413</v>
      </c>
      <c r="E11060" s="1" t="s">
        <v>21934</v>
      </c>
      <c r="F11060" s="1" t="s">
        <v>200</v>
      </c>
    </row>
    <row r="11061" spans="1:6" ht="30" customHeight="1" x14ac:dyDescent="0.25">
      <c r="A11061" s="1" t="s">
        <v>21935</v>
      </c>
      <c r="B11061" s="1" t="str">
        <f>"9780309576567"</f>
        <v>9780309576567</v>
      </c>
      <c r="C11061" s="1" t="s">
        <v>20924</v>
      </c>
      <c r="D11061" s="2">
        <v>28460</v>
      </c>
      <c r="E11061" s="1" t="s">
        <v>21936</v>
      </c>
      <c r="F11061" s="1" t="s">
        <v>20857</v>
      </c>
    </row>
    <row r="11062" spans="1:6" ht="30" customHeight="1" x14ac:dyDescent="0.25">
      <c r="A11062" s="1" t="s">
        <v>21937</v>
      </c>
      <c r="B11062" s="1" t="str">
        <f>"9780309576918"</f>
        <v>9780309576918</v>
      </c>
      <c r="C11062" s="1" t="s">
        <v>20924</v>
      </c>
      <c r="D11062" s="2">
        <v>32843</v>
      </c>
      <c r="E11062" s="1" t="s">
        <v>21926</v>
      </c>
      <c r="F11062" s="1" t="s">
        <v>158</v>
      </c>
    </row>
    <row r="11063" spans="1:6" ht="30" customHeight="1" x14ac:dyDescent="0.25">
      <c r="A11063" s="1" t="s">
        <v>21938</v>
      </c>
      <c r="B11063" s="1" t="str">
        <f>"9780309575812"</f>
        <v>9780309575812</v>
      </c>
      <c r="C11063" s="1" t="s">
        <v>20924</v>
      </c>
      <c r="D11063" s="2">
        <v>36861</v>
      </c>
      <c r="E11063" s="1" t="s">
        <v>21939</v>
      </c>
      <c r="F11063" s="1" t="s">
        <v>599</v>
      </c>
    </row>
    <row r="11064" spans="1:6" ht="30" customHeight="1" x14ac:dyDescent="0.25">
      <c r="A11064" s="1" t="s">
        <v>21940</v>
      </c>
      <c r="B11064" s="1" t="str">
        <f>"9780309568203"</f>
        <v>9780309568203</v>
      </c>
      <c r="C11064" s="1" t="s">
        <v>20924</v>
      </c>
      <c r="D11064" s="2">
        <v>31413</v>
      </c>
      <c r="E11064" s="1" t="s">
        <v>21941</v>
      </c>
      <c r="F11064" s="1" t="s">
        <v>158</v>
      </c>
    </row>
    <row r="11065" spans="1:6" ht="30" customHeight="1" x14ac:dyDescent="0.25">
      <c r="A11065" s="1" t="s">
        <v>21942</v>
      </c>
      <c r="B11065" s="1" t="str">
        <f>"9780309570114"</f>
        <v>9780309570114</v>
      </c>
      <c r="C11065" s="1" t="s">
        <v>20924</v>
      </c>
      <c r="D11065" s="2">
        <v>37035</v>
      </c>
      <c r="E11065" s="1" t="s">
        <v>21943</v>
      </c>
      <c r="F11065" s="1" t="s">
        <v>30</v>
      </c>
    </row>
    <row r="11066" spans="1:6" ht="30" customHeight="1" x14ac:dyDescent="0.25">
      <c r="A11066" s="1" t="s">
        <v>21944</v>
      </c>
      <c r="B11066" s="1" t="str">
        <f>"9780309569736"</f>
        <v>9780309569736</v>
      </c>
      <c r="C11066" s="1" t="s">
        <v>20924</v>
      </c>
      <c r="D11066" s="2">
        <v>36557</v>
      </c>
      <c r="E11066" s="1" t="s">
        <v>21945</v>
      </c>
      <c r="F11066" s="1" t="s">
        <v>95</v>
      </c>
    </row>
    <row r="11067" spans="1:6" ht="30" customHeight="1" x14ac:dyDescent="0.25">
      <c r="A11067" s="1" t="s">
        <v>21946</v>
      </c>
      <c r="B11067" s="1" t="str">
        <f>"9780309567794"</f>
        <v>9780309567794</v>
      </c>
      <c r="C11067" s="1" t="s">
        <v>20924</v>
      </c>
      <c r="D11067" s="2">
        <v>30317</v>
      </c>
      <c r="E11067" s="1" t="s">
        <v>21947</v>
      </c>
      <c r="F11067" s="1" t="s">
        <v>650</v>
      </c>
    </row>
    <row r="11068" spans="1:6" ht="30" customHeight="1" x14ac:dyDescent="0.25">
      <c r="A11068" s="1" t="s">
        <v>21948</v>
      </c>
      <c r="B11068" s="1" t="str">
        <f>"9780309572347"</f>
        <v>9780309572347</v>
      </c>
      <c r="C11068" s="1" t="s">
        <v>20924</v>
      </c>
      <c r="D11068" s="2">
        <v>35034</v>
      </c>
      <c r="E11068" s="1" t="s">
        <v>21949</v>
      </c>
      <c r="F11068" s="1" t="s">
        <v>356</v>
      </c>
    </row>
    <row r="11069" spans="1:6" ht="30" customHeight="1" x14ac:dyDescent="0.25">
      <c r="A11069" s="1" t="s">
        <v>21950</v>
      </c>
      <c r="B11069" s="1" t="str">
        <f>"9780309570046"</f>
        <v>9780309570046</v>
      </c>
      <c r="C11069" s="1" t="s">
        <v>20924</v>
      </c>
      <c r="D11069" s="2">
        <v>37226</v>
      </c>
      <c r="E11069" s="1" t="s">
        <v>21951</v>
      </c>
      <c r="F11069" s="1" t="s">
        <v>221</v>
      </c>
    </row>
    <row r="11070" spans="1:6" ht="30" customHeight="1" x14ac:dyDescent="0.25">
      <c r="A11070" s="1" t="s">
        <v>21952</v>
      </c>
      <c r="B11070" s="1" t="str">
        <f>"9780309570428"</f>
        <v>9780309570428</v>
      </c>
      <c r="C11070" s="1" t="s">
        <v>20924</v>
      </c>
      <c r="D11070" s="2">
        <v>37690</v>
      </c>
      <c r="E11070" s="1" t="s">
        <v>21953</v>
      </c>
      <c r="F11070" s="1" t="s">
        <v>95</v>
      </c>
    </row>
    <row r="11071" spans="1:6" ht="30" customHeight="1" x14ac:dyDescent="0.25">
      <c r="A11071" s="1" t="s">
        <v>21954</v>
      </c>
      <c r="B11071" s="1" t="str">
        <f>"9780309570084"</f>
        <v>9780309570084</v>
      </c>
      <c r="C11071" s="1" t="s">
        <v>20924</v>
      </c>
      <c r="D11071" s="2">
        <v>36892</v>
      </c>
      <c r="E11071" s="1" t="s">
        <v>21955</v>
      </c>
      <c r="F11071" s="1" t="s">
        <v>30</v>
      </c>
    </row>
    <row r="11072" spans="1:6" ht="30" customHeight="1" x14ac:dyDescent="0.25">
      <c r="A11072" s="1" t="s">
        <v>21956</v>
      </c>
      <c r="B11072" s="1" t="str">
        <f>"9780309568661"</f>
        <v>9780309568661</v>
      </c>
      <c r="C11072" s="1" t="s">
        <v>20924</v>
      </c>
      <c r="D11072" s="2">
        <v>34669</v>
      </c>
      <c r="E11072" s="1" t="s">
        <v>21957</v>
      </c>
      <c r="F11072" s="1" t="s">
        <v>30</v>
      </c>
    </row>
    <row r="11073" spans="1:6" ht="30" customHeight="1" x14ac:dyDescent="0.25">
      <c r="A11073" s="1" t="s">
        <v>21958</v>
      </c>
      <c r="B11073" s="1" t="str">
        <f>"9780309572163"</f>
        <v>9780309572163</v>
      </c>
      <c r="C11073" s="1" t="s">
        <v>20924</v>
      </c>
      <c r="D11073" s="2">
        <v>35034</v>
      </c>
      <c r="E11073" s="1" t="s">
        <v>21121</v>
      </c>
      <c r="F11073" s="1" t="s">
        <v>30</v>
      </c>
    </row>
    <row r="11074" spans="1:6" ht="30" customHeight="1" x14ac:dyDescent="0.25">
      <c r="A11074" s="1" t="s">
        <v>21959</v>
      </c>
      <c r="B11074" s="1" t="str">
        <f>"9780309570398"</f>
        <v>9780309570398</v>
      </c>
      <c r="C11074" s="1" t="s">
        <v>20924</v>
      </c>
      <c r="D11074" s="2">
        <v>37579</v>
      </c>
      <c r="E11074" s="1" t="s">
        <v>21960</v>
      </c>
      <c r="F11074" s="1" t="s">
        <v>30</v>
      </c>
    </row>
    <row r="11075" spans="1:6" ht="30" customHeight="1" x14ac:dyDescent="0.25">
      <c r="A11075" s="1" t="s">
        <v>21961</v>
      </c>
      <c r="B11075" s="1" t="str">
        <f>"9780309568265"</f>
        <v>9780309568265</v>
      </c>
      <c r="C11075" s="1" t="s">
        <v>20924</v>
      </c>
      <c r="D11075" s="2">
        <v>32112</v>
      </c>
      <c r="E11075" s="1" t="s">
        <v>21962</v>
      </c>
      <c r="F11075" s="1" t="s">
        <v>15281</v>
      </c>
    </row>
    <row r="11076" spans="1:6" ht="30" customHeight="1" x14ac:dyDescent="0.25">
      <c r="A11076" s="1" t="s">
        <v>21963</v>
      </c>
      <c r="B11076" s="1" t="str">
        <f>"9780309573153"</f>
        <v>9780309573153</v>
      </c>
      <c r="C11076" s="1" t="s">
        <v>20924</v>
      </c>
      <c r="D11076" s="2">
        <v>35034</v>
      </c>
      <c r="E11076" s="1" t="s">
        <v>21964</v>
      </c>
      <c r="F11076" s="1" t="s">
        <v>15611</v>
      </c>
    </row>
    <row r="11077" spans="1:6" ht="30" customHeight="1" x14ac:dyDescent="0.25">
      <c r="A11077" s="1" t="s">
        <v>21965</v>
      </c>
      <c r="B11077" s="1" t="str">
        <f>"9780309569644"</f>
        <v>9780309569644</v>
      </c>
      <c r="C11077" s="1" t="s">
        <v>20924</v>
      </c>
      <c r="D11077" s="2">
        <v>36495</v>
      </c>
      <c r="E11077" s="1" t="s">
        <v>21966</v>
      </c>
      <c r="F11077" s="1" t="s">
        <v>137</v>
      </c>
    </row>
    <row r="11078" spans="1:6" ht="30" customHeight="1" x14ac:dyDescent="0.25">
      <c r="A11078" s="1" t="s">
        <v>21967</v>
      </c>
      <c r="B11078" s="1" t="str">
        <f>"9780309574891"</f>
        <v>9780309574891</v>
      </c>
      <c r="C11078" s="1" t="s">
        <v>20924</v>
      </c>
      <c r="D11078" s="2">
        <v>36495</v>
      </c>
      <c r="E11078" s="1" t="s">
        <v>21968</v>
      </c>
      <c r="F11078" s="1" t="s">
        <v>132</v>
      </c>
    </row>
    <row r="11079" spans="1:6" ht="30" customHeight="1" x14ac:dyDescent="0.25">
      <c r="A11079" s="1" t="s">
        <v>21969</v>
      </c>
      <c r="B11079" s="1" t="str">
        <f>"9780309577151"</f>
        <v>9780309577151</v>
      </c>
      <c r="C11079" s="1" t="s">
        <v>20924</v>
      </c>
      <c r="D11079" s="2">
        <v>30651</v>
      </c>
      <c r="E11079" s="1" t="s">
        <v>21970</v>
      </c>
      <c r="F11079" s="1" t="s">
        <v>13</v>
      </c>
    </row>
    <row r="11080" spans="1:6" ht="30" customHeight="1" x14ac:dyDescent="0.25">
      <c r="A11080" s="1" t="s">
        <v>21971</v>
      </c>
      <c r="B11080" s="1" t="str">
        <f>"9780309577328"</f>
        <v>9780309577328</v>
      </c>
      <c r="C11080" s="1" t="s">
        <v>20924</v>
      </c>
      <c r="D11080" s="2">
        <v>31747</v>
      </c>
      <c r="E11080" s="1" t="s">
        <v>21121</v>
      </c>
      <c r="F11080" s="1" t="s">
        <v>95</v>
      </c>
    </row>
    <row r="11081" spans="1:6" ht="30" customHeight="1" x14ac:dyDescent="0.25">
      <c r="A11081" s="1" t="s">
        <v>21972</v>
      </c>
      <c r="B11081" s="1" t="str">
        <f>"9780309571500"</f>
        <v>9780309571500</v>
      </c>
      <c r="C11081" s="1" t="s">
        <v>20924</v>
      </c>
      <c r="D11081" s="2">
        <v>35400</v>
      </c>
      <c r="E11081" s="1" t="s">
        <v>21973</v>
      </c>
      <c r="F11081" s="1" t="s">
        <v>1948</v>
      </c>
    </row>
    <row r="11082" spans="1:6" ht="30" customHeight="1" x14ac:dyDescent="0.25">
      <c r="A11082" s="1" t="s">
        <v>21974</v>
      </c>
      <c r="B11082" s="1" t="str">
        <f>"9780309577038"</f>
        <v>9780309577038</v>
      </c>
      <c r="C11082" s="1" t="s">
        <v>20924</v>
      </c>
      <c r="D11082" s="2">
        <v>29921</v>
      </c>
      <c r="E11082" s="1" t="s">
        <v>21928</v>
      </c>
      <c r="F11082" s="1" t="s">
        <v>13</v>
      </c>
    </row>
    <row r="11083" spans="1:6" ht="30" customHeight="1" x14ac:dyDescent="0.25">
      <c r="A11083" s="1" t="s">
        <v>21975</v>
      </c>
      <c r="B11083" s="1" t="str">
        <f>"9780309573450"</f>
        <v>9780309573450</v>
      </c>
      <c r="C11083" s="1" t="s">
        <v>20924</v>
      </c>
      <c r="D11083" s="2">
        <v>34669</v>
      </c>
      <c r="E11083" s="1" t="s">
        <v>21976</v>
      </c>
      <c r="F11083" s="1" t="s">
        <v>13</v>
      </c>
    </row>
    <row r="11084" spans="1:6" ht="30" customHeight="1" x14ac:dyDescent="0.25">
      <c r="A11084" s="1" t="s">
        <v>21977</v>
      </c>
      <c r="B11084" s="1" t="str">
        <f>"9780309571562"</f>
        <v>9780309571562</v>
      </c>
      <c r="C11084" s="1" t="s">
        <v>20924</v>
      </c>
      <c r="D11084" s="2">
        <v>34669</v>
      </c>
      <c r="E11084" s="1" t="s">
        <v>21121</v>
      </c>
      <c r="F11084" s="1" t="s">
        <v>95</v>
      </c>
    </row>
    <row r="11085" spans="1:6" ht="30" customHeight="1" x14ac:dyDescent="0.25">
      <c r="A11085" s="1" t="s">
        <v>21978</v>
      </c>
      <c r="B11085" s="1" t="str">
        <f>"9780309573009"</f>
        <v>9780309573009</v>
      </c>
      <c r="C11085" s="1" t="s">
        <v>20924</v>
      </c>
      <c r="D11085" s="2">
        <v>34669</v>
      </c>
      <c r="E11085" s="1" t="s">
        <v>21979</v>
      </c>
      <c r="F11085" s="1" t="s">
        <v>176</v>
      </c>
    </row>
    <row r="11086" spans="1:6" ht="30" customHeight="1" x14ac:dyDescent="0.25">
      <c r="A11086" s="1" t="s">
        <v>21980</v>
      </c>
      <c r="B11086" s="1" t="str">
        <f>"9780309572491"</f>
        <v>9780309572491</v>
      </c>
      <c r="C11086" s="1" t="s">
        <v>20924</v>
      </c>
      <c r="D11086" s="2">
        <v>35400</v>
      </c>
      <c r="E11086" s="1" t="s">
        <v>21981</v>
      </c>
      <c r="F11086" s="1" t="s">
        <v>95</v>
      </c>
    </row>
    <row r="11087" spans="1:6" ht="30" customHeight="1" x14ac:dyDescent="0.25">
      <c r="A11087" s="1" t="s">
        <v>21982</v>
      </c>
      <c r="B11087" s="1" t="str">
        <f>"9780309571586"</f>
        <v>9780309571586</v>
      </c>
      <c r="C11087" s="1" t="s">
        <v>20924</v>
      </c>
      <c r="D11087" s="2">
        <v>35034</v>
      </c>
      <c r="E11087" s="1" t="s">
        <v>21983</v>
      </c>
      <c r="F11087" s="1" t="s">
        <v>95</v>
      </c>
    </row>
    <row r="11088" spans="1:6" ht="30" customHeight="1" x14ac:dyDescent="0.25">
      <c r="A11088" s="1" t="s">
        <v>21984</v>
      </c>
      <c r="B11088" s="1" t="str">
        <f>"9780309572316"</f>
        <v>9780309572316</v>
      </c>
      <c r="C11088" s="1" t="s">
        <v>20924</v>
      </c>
      <c r="D11088" s="2">
        <v>35400</v>
      </c>
      <c r="E11088" s="1" t="s">
        <v>21985</v>
      </c>
      <c r="F11088" s="1" t="s">
        <v>114</v>
      </c>
    </row>
    <row r="11089" spans="1:6" ht="30" customHeight="1" x14ac:dyDescent="0.25">
      <c r="A11089" s="1" t="s">
        <v>21986</v>
      </c>
      <c r="B11089" s="1" t="str">
        <f>"9780309577267"</f>
        <v>9780309577267</v>
      </c>
      <c r="C11089" s="1" t="s">
        <v>20924</v>
      </c>
      <c r="D11089" s="2">
        <v>29556</v>
      </c>
      <c r="E11089" s="1" t="s">
        <v>21987</v>
      </c>
      <c r="F11089" s="1" t="s">
        <v>214</v>
      </c>
    </row>
    <row r="11090" spans="1:6" ht="30" customHeight="1" x14ac:dyDescent="0.25">
      <c r="A11090" s="1" t="s">
        <v>21988</v>
      </c>
      <c r="B11090" s="1" t="str">
        <f>"9780309576628"</f>
        <v>9780309576628</v>
      </c>
      <c r="C11090" s="1" t="s">
        <v>20924</v>
      </c>
      <c r="D11090" s="2">
        <v>28095</v>
      </c>
      <c r="E11090" s="1" t="s">
        <v>21928</v>
      </c>
      <c r="F11090" s="1" t="s">
        <v>5288</v>
      </c>
    </row>
    <row r="11091" spans="1:6" ht="30" customHeight="1" x14ac:dyDescent="0.25">
      <c r="A11091" s="1" t="s">
        <v>21989</v>
      </c>
      <c r="B11091" s="1" t="str">
        <f>"9780309577205"</f>
        <v>9780309577205</v>
      </c>
      <c r="C11091" s="1" t="s">
        <v>20924</v>
      </c>
      <c r="D11091" s="2">
        <v>31382</v>
      </c>
      <c r="E11091" s="1" t="s">
        <v>21990</v>
      </c>
      <c r="F11091" s="1" t="s">
        <v>13</v>
      </c>
    </row>
    <row r="11092" spans="1:6" ht="30" customHeight="1" x14ac:dyDescent="0.25">
      <c r="A11092" s="1" t="s">
        <v>21991</v>
      </c>
      <c r="B11092" s="1" t="str">
        <f>"9780309580137"</f>
        <v>9780309580137</v>
      </c>
      <c r="C11092" s="1" t="s">
        <v>20924</v>
      </c>
      <c r="D11092" s="2">
        <v>37226</v>
      </c>
      <c r="E11092" s="1" t="s">
        <v>21992</v>
      </c>
      <c r="F11092" s="1" t="s">
        <v>95</v>
      </c>
    </row>
    <row r="11093" spans="1:6" ht="30" customHeight="1" x14ac:dyDescent="0.25">
      <c r="A11093" s="1" t="s">
        <v>21993</v>
      </c>
      <c r="B11093" s="1" t="str">
        <f>"9780309579186"</f>
        <v>9780309579186</v>
      </c>
      <c r="C11093" s="1" t="s">
        <v>20924</v>
      </c>
      <c r="D11093" s="2">
        <v>36861</v>
      </c>
      <c r="E11093" s="1" t="s">
        <v>21994</v>
      </c>
      <c r="F11093" s="1" t="s">
        <v>13</v>
      </c>
    </row>
    <row r="11094" spans="1:6" ht="30" customHeight="1" x14ac:dyDescent="0.25">
      <c r="A11094" s="1" t="s">
        <v>21995</v>
      </c>
      <c r="B11094" s="1" t="str">
        <f>"9780309583220"</f>
        <v>9780309583220</v>
      </c>
      <c r="C11094" s="1" t="s">
        <v>20924</v>
      </c>
      <c r="D11094" s="2">
        <v>36495</v>
      </c>
      <c r="E11094" s="1" t="s">
        <v>21996</v>
      </c>
      <c r="F11094" s="1" t="s">
        <v>268</v>
      </c>
    </row>
    <row r="11095" spans="1:6" ht="30" customHeight="1" x14ac:dyDescent="0.25">
      <c r="A11095" s="1" t="s">
        <v>21997</v>
      </c>
      <c r="B11095" s="1" t="str">
        <f>"9780309577830"</f>
        <v>9780309577830</v>
      </c>
      <c r="C11095" s="1" t="s">
        <v>20924</v>
      </c>
      <c r="D11095" s="2">
        <v>28460</v>
      </c>
      <c r="E11095" s="1" t="s">
        <v>21121</v>
      </c>
      <c r="F11095" s="1" t="s">
        <v>95</v>
      </c>
    </row>
    <row r="11096" spans="1:6" ht="30" customHeight="1" x14ac:dyDescent="0.25">
      <c r="A11096" s="1" t="s">
        <v>21998</v>
      </c>
      <c r="B11096" s="1" t="str">
        <f>"9780309578318"</f>
        <v>9780309578318</v>
      </c>
      <c r="C11096" s="1" t="s">
        <v>20924</v>
      </c>
      <c r="D11096" s="2">
        <v>29190</v>
      </c>
      <c r="E11096" s="1" t="s">
        <v>21999</v>
      </c>
      <c r="F11096" s="1" t="s">
        <v>95</v>
      </c>
    </row>
    <row r="11097" spans="1:6" ht="30" customHeight="1" x14ac:dyDescent="0.25">
      <c r="A11097" s="1" t="s">
        <v>22000</v>
      </c>
      <c r="B11097" s="1" t="str">
        <f>"9780309582834"</f>
        <v>9780309582834</v>
      </c>
      <c r="C11097" s="1" t="s">
        <v>20924</v>
      </c>
      <c r="D11097" s="2">
        <v>36495</v>
      </c>
      <c r="E11097" s="1" t="s">
        <v>21121</v>
      </c>
      <c r="F11097" s="1" t="s">
        <v>70</v>
      </c>
    </row>
    <row r="11098" spans="1:6" ht="30" customHeight="1" x14ac:dyDescent="0.25">
      <c r="A11098" s="1" t="s">
        <v>22001</v>
      </c>
      <c r="B11098" s="1" t="str">
        <f>"9780309579872"</f>
        <v>9780309579872</v>
      </c>
      <c r="C11098" s="1" t="s">
        <v>20924</v>
      </c>
      <c r="D11098" s="2">
        <v>37226</v>
      </c>
      <c r="E11098" s="1" t="s">
        <v>22002</v>
      </c>
      <c r="F11098" s="1" t="s">
        <v>70</v>
      </c>
    </row>
    <row r="11099" spans="1:6" ht="30" customHeight="1" x14ac:dyDescent="0.25">
      <c r="A11099" s="1" t="s">
        <v>22003</v>
      </c>
      <c r="B11099" s="1" t="str">
        <f>"9780309578554"</f>
        <v>9780309578554</v>
      </c>
      <c r="C11099" s="1" t="s">
        <v>20924</v>
      </c>
      <c r="D11099" s="2">
        <v>29556</v>
      </c>
      <c r="E11099" s="1" t="s">
        <v>21121</v>
      </c>
      <c r="F11099" s="1" t="s">
        <v>30</v>
      </c>
    </row>
    <row r="11100" spans="1:6" ht="30" customHeight="1" x14ac:dyDescent="0.25">
      <c r="A11100" s="1" t="s">
        <v>22004</v>
      </c>
      <c r="B11100" s="1" t="str">
        <f>"9780309578103"</f>
        <v>9780309578103</v>
      </c>
      <c r="C11100" s="1" t="s">
        <v>20924</v>
      </c>
      <c r="D11100" s="2">
        <v>2</v>
      </c>
      <c r="E11100" s="1" t="s">
        <v>21121</v>
      </c>
      <c r="F11100" s="1" t="s">
        <v>13165</v>
      </c>
    </row>
    <row r="11101" spans="1:6" ht="30" customHeight="1" x14ac:dyDescent="0.25">
      <c r="A11101" s="1" t="s">
        <v>22005</v>
      </c>
      <c r="B11101" s="1" t="str">
        <f>"9780309583107"</f>
        <v>9780309583107</v>
      </c>
      <c r="C11101" s="1" t="s">
        <v>20924</v>
      </c>
      <c r="D11101" s="2">
        <v>35400</v>
      </c>
      <c r="E11101" s="1" t="s">
        <v>22006</v>
      </c>
      <c r="F11101" s="1" t="s">
        <v>176</v>
      </c>
    </row>
    <row r="11102" spans="1:6" ht="30" customHeight="1" x14ac:dyDescent="0.25">
      <c r="A11102" s="1" t="s">
        <v>22007</v>
      </c>
      <c r="B11102" s="1" t="str">
        <f>"9780309582711"</f>
        <v>9780309582711</v>
      </c>
      <c r="C11102" s="1" t="s">
        <v>20924</v>
      </c>
      <c r="D11102" s="2">
        <v>37956</v>
      </c>
      <c r="E11102" s="1" t="s">
        <v>21213</v>
      </c>
      <c r="F11102" s="1" t="s">
        <v>30</v>
      </c>
    </row>
    <row r="11103" spans="1:6" ht="30" customHeight="1" x14ac:dyDescent="0.25">
      <c r="A11103" s="1" t="s">
        <v>22008</v>
      </c>
      <c r="B11103" s="1" t="str">
        <f>"9780309571289"</f>
        <v>9780309571289</v>
      </c>
      <c r="C11103" s="1" t="s">
        <v>20924</v>
      </c>
      <c r="D11103" s="2">
        <v>34669</v>
      </c>
      <c r="E11103" s="1" t="s">
        <v>22009</v>
      </c>
      <c r="F11103" s="1" t="s">
        <v>356</v>
      </c>
    </row>
    <row r="11104" spans="1:6" ht="30" customHeight="1" x14ac:dyDescent="0.25">
      <c r="A11104" s="1" t="s">
        <v>22010</v>
      </c>
      <c r="B11104" s="1" t="str">
        <f>"9780309578400"</f>
        <v>9780309578400</v>
      </c>
      <c r="C11104" s="1" t="s">
        <v>20924</v>
      </c>
      <c r="D11104" s="2">
        <v>29190</v>
      </c>
      <c r="E11104" s="1" t="s">
        <v>21121</v>
      </c>
      <c r="F11104" s="1" t="s">
        <v>95</v>
      </c>
    </row>
    <row r="11105" spans="1:6" ht="30" customHeight="1" x14ac:dyDescent="0.25">
      <c r="A11105" s="1" t="s">
        <v>22011</v>
      </c>
      <c r="B11105" s="1" t="str">
        <f>"9780309577953"</f>
        <v>9780309577953</v>
      </c>
      <c r="C11105" s="1" t="s">
        <v>20924</v>
      </c>
      <c r="D11105" s="2">
        <v>28825</v>
      </c>
      <c r="E11105" s="1" t="s">
        <v>21121</v>
      </c>
      <c r="F11105" s="1" t="s">
        <v>8581</v>
      </c>
    </row>
    <row r="11106" spans="1:6" ht="30" customHeight="1" x14ac:dyDescent="0.25">
      <c r="A11106" s="1" t="s">
        <v>22012</v>
      </c>
      <c r="B11106" s="1" t="str">
        <f>"9780309579360"</f>
        <v>9780309579360</v>
      </c>
      <c r="C11106" s="1" t="s">
        <v>20924</v>
      </c>
      <c r="D11106" s="2">
        <v>36861</v>
      </c>
      <c r="E11106" s="1" t="s">
        <v>22013</v>
      </c>
      <c r="F11106" s="1" t="s">
        <v>7849</v>
      </c>
    </row>
    <row r="11107" spans="1:6" ht="30" customHeight="1" x14ac:dyDescent="0.25">
      <c r="A11107" s="1" t="s">
        <v>22014</v>
      </c>
      <c r="B11107" s="1" t="str">
        <f>"9780309582599"</f>
        <v>9780309582599</v>
      </c>
      <c r="C11107" s="1" t="s">
        <v>20924</v>
      </c>
      <c r="D11107" s="2">
        <v>37956</v>
      </c>
      <c r="E11107" s="1" t="s">
        <v>22015</v>
      </c>
      <c r="F11107" s="1" t="s">
        <v>70</v>
      </c>
    </row>
    <row r="11108" spans="1:6" ht="30" customHeight="1" x14ac:dyDescent="0.25">
      <c r="A11108" s="1" t="s">
        <v>22016</v>
      </c>
      <c r="B11108" s="1" t="str">
        <f>"9780309583589"</f>
        <v>9780309583589</v>
      </c>
      <c r="C11108" s="1" t="s">
        <v>20924</v>
      </c>
      <c r="D11108" s="2">
        <v>37591</v>
      </c>
      <c r="E11108" s="1" t="s">
        <v>22017</v>
      </c>
      <c r="F11108" s="1" t="s">
        <v>2073</v>
      </c>
    </row>
    <row r="11109" spans="1:6" ht="30" customHeight="1" x14ac:dyDescent="0.25">
      <c r="A11109" s="1" t="s">
        <v>22018</v>
      </c>
      <c r="B11109" s="1" t="str">
        <f>"9780309578646"</f>
        <v>9780309578646</v>
      </c>
      <c r="C11109" s="1" t="s">
        <v>20924</v>
      </c>
      <c r="D11109" s="2">
        <v>29921</v>
      </c>
      <c r="E11109" s="1" t="s">
        <v>21121</v>
      </c>
      <c r="F11109" s="1" t="s">
        <v>30</v>
      </c>
    </row>
    <row r="11110" spans="1:6" ht="30" customHeight="1" x14ac:dyDescent="0.25">
      <c r="A11110" s="1" t="s">
        <v>22019</v>
      </c>
      <c r="B11110" s="1" t="str">
        <f>"9780309591881"</f>
        <v>9780309591881</v>
      </c>
      <c r="C11110" s="1" t="s">
        <v>20924</v>
      </c>
      <c r="D11110" s="2">
        <v>20424</v>
      </c>
      <c r="E11110" s="1" t="s">
        <v>22020</v>
      </c>
      <c r="F11110" s="1" t="s">
        <v>13</v>
      </c>
    </row>
    <row r="11111" spans="1:6" ht="30" customHeight="1" x14ac:dyDescent="0.25">
      <c r="A11111" s="1" t="s">
        <v>22021</v>
      </c>
      <c r="B11111" s="1" t="str">
        <f>"9780309586177"</f>
        <v>9780309586177</v>
      </c>
      <c r="C11111" s="1" t="s">
        <v>20924</v>
      </c>
      <c r="D11111" s="2">
        <v>35034</v>
      </c>
      <c r="E11111" s="1" t="s">
        <v>22022</v>
      </c>
      <c r="F11111" s="1" t="s">
        <v>87</v>
      </c>
    </row>
    <row r="11112" spans="1:6" ht="30" customHeight="1" x14ac:dyDescent="0.25">
      <c r="A11112" s="1" t="s">
        <v>22023</v>
      </c>
      <c r="B11112" s="1" t="str">
        <f>"9780309591997"</f>
        <v>9780309591997</v>
      </c>
      <c r="C11112" s="1" t="s">
        <v>20924</v>
      </c>
      <c r="D11112" s="2">
        <v>28095</v>
      </c>
      <c r="E11112" s="1" t="s">
        <v>21928</v>
      </c>
      <c r="F11112" s="1" t="s">
        <v>13</v>
      </c>
    </row>
    <row r="11113" spans="1:6" ht="30" customHeight="1" x14ac:dyDescent="0.25">
      <c r="A11113" s="1" t="s">
        <v>22024</v>
      </c>
      <c r="B11113" s="1" t="str">
        <f>"9780309545501"</f>
        <v>9780309545501</v>
      </c>
      <c r="C11113" s="1" t="s">
        <v>20924</v>
      </c>
      <c r="D11113" s="2">
        <v>38314</v>
      </c>
      <c r="E11113" s="1" t="s">
        <v>22025</v>
      </c>
      <c r="F11113" s="1" t="s">
        <v>70</v>
      </c>
    </row>
    <row r="11114" spans="1:6" ht="30" customHeight="1" x14ac:dyDescent="0.25">
      <c r="A11114" s="1" t="s">
        <v>22026</v>
      </c>
      <c r="B11114" s="1" t="str">
        <f>"9780309584791"</f>
        <v>9780309584791</v>
      </c>
      <c r="C11114" s="1" t="s">
        <v>20924</v>
      </c>
      <c r="D11114" s="2">
        <v>35034</v>
      </c>
      <c r="E11114" s="1" t="s">
        <v>21121</v>
      </c>
      <c r="F11114" s="1" t="s">
        <v>21024</v>
      </c>
    </row>
    <row r="11115" spans="1:6" ht="30" customHeight="1" x14ac:dyDescent="0.25">
      <c r="A11115" s="1" t="s">
        <v>22027</v>
      </c>
      <c r="B11115" s="1" t="str">
        <f>"9780309591553"</f>
        <v>9780309591553</v>
      </c>
      <c r="C11115" s="1" t="s">
        <v>20924</v>
      </c>
      <c r="D11115" s="2">
        <v>28095</v>
      </c>
      <c r="E11115" s="1" t="s">
        <v>22028</v>
      </c>
      <c r="F11115" s="1" t="s">
        <v>95</v>
      </c>
    </row>
    <row r="11116" spans="1:6" ht="30" customHeight="1" x14ac:dyDescent="0.25">
      <c r="A11116" s="1" t="s">
        <v>22029</v>
      </c>
      <c r="B11116" s="1" t="str">
        <f>"9780309546430"</f>
        <v>9780309546430</v>
      </c>
      <c r="C11116" s="1" t="s">
        <v>20924</v>
      </c>
      <c r="D11116" s="2">
        <v>38308</v>
      </c>
      <c r="E11116" s="1" t="s">
        <v>22030</v>
      </c>
      <c r="F11116" s="1" t="s">
        <v>126</v>
      </c>
    </row>
    <row r="11117" spans="1:6" ht="30" customHeight="1" x14ac:dyDescent="0.25">
      <c r="A11117" s="1" t="s">
        <v>22031</v>
      </c>
      <c r="B11117" s="1" t="str">
        <f>"9780309584432"</f>
        <v>9780309584432</v>
      </c>
      <c r="C11117" s="1" t="s">
        <v>20924</v>
      </c>
      <c r="D11117" s="2">
        <v>36495</v>
      </c>
      <c r="E11117" s="1" t="s">
        <v>22032</v>
      </c>
      <c r="F11117" s="1" t="s">
        <v>359</v>
      </c>
    </row>
    <row r="11118" spans="1:6" ht="30" customHeight="1" x14ac:dyDescent="0.25">
      <c r="A11118" s="1" t="s">
        <v>22033</v>
      </c>
      <c r="B11118" s="1" t="str">
        <f>"9780309546317"</f>
        <v>9780309546317</v>
      </c>
      <c r="C11118" s="1" t="s">
        <v>20924</v>
      </c>
      <c r="D11118" s="2">
        <v>38309</v>
      </c>
      <c r="E11118" s="1" t="s">
        <v>22034</v>
      </c>
      <c r="F11118" s="1" t="s">
        <v>13</v>
      </c>
    </row>
    <row r="11119" spans="1:6" ht="30" customHeight="1" x14ac:dyDescent="0.25">
      <c r="A11119" s="1" t="s">
        <v>22035</v>
      </c>
      <c r="B11119" s="1" t="str">
        <f>"9780309544511"</f>
        <v>9780309544511</v>
      </c>
      <c r="C11119" s="1" t="s">
        <v>20924</v>
      </c>
      <c r="D11119" s="2">
        <v>38315</v>
      </c>
      <c r="E11119" s="1" t="s">
        <v>22036</v>
      </c>
      <c r="F11119" s="1" t="s">
        <v>95</v>
      </c>
    </row>
    <row r="11120" spans="1:6" ht="30" customHeight="1" x14ac:dyDescent="0.25">
      <c r="A11120" s="1" t="s">
        <v>22037</v>
      </c>
      <c r="B11120" s="1" t="str">
        <f>"9780309544542"</f>
        <v>9780309544542</v>
      </c>
      <c r="C11120" s="1" t="s">
        <v>20924</v>
      </c>
      <c r="D11120" s="2">
        <v>38287</v>
      </c>
      <c r="E11120" s="1" t="s">
        <v>22038</v>
      </c>
      <c r="F11120" s="1" t="s">
        <v>15281</v>
      </c>
    </row>
    <row r="11121" spans="1:6" ht="30" customHeight="1" x14ac:dyDescent="0.25">
      <c r="A11121" s="1" t="s">
        <v>22039</v>
      </c>
      <c r="B11121" s="1" t="str">
        <f>"9780309583947"</f>
        <v>9780309583947</v>
      </c>
      <c r="C11121" s="1" t="s">
        <v>20924</v>
      </c>
      <c r="D11121" s="2">
        <v>36130</v>
      </c>
      <c r="E11121" s="1" t="s">
        <v>22040</v>
      </c>
      <c r="F11121" s="1" t="s">
        <v>30</v>
      </c>
    </row>
    <row r="11122" spans="1:6" ht="30" customHeight="1" x14ac:dyDescent="0.25">
      <c r="A11122" s="1" t="s">
        <v>22041</v>
      </c>
      <c r="B11122" s="1" t="str">
        <f>"9780309589642"</f>
        <v>9780309589642</v>
      </c>
      <c r="C11122" s="1" t="s">
        <v>20924</v>
      </c>
      <c r="D11122" s="2">
        <v>36861</v>
      </c>
      <c r="E11122" s="1" t="s">
        <v>22042</v>
      </c>
      <c r="F11122" s="1" t="s">
        <v>30</v>
      </c>
    </row>
    <row r="11123" spans="1:6" ht="30" customHeight="1" x14ac:dyDescent="0.25">
      <c r="A11123" s="1" t="s">
        <v>22043</v>
      </c>
      <c r="B11123" s="1" t="str">
        <f>"9780309593144"</f>
        <v>9780309593144</v>
      </c>
      <c r="C11123" s="1" t="s">
        <v>20924</v>
      </c>
      <c r="D11123" s="2">
        <v>34304</v>
      </c>
      <c r="E11123" s="1" t="s">
        <v>22044</v>
      </c>
      <c r="F11123" s="1" t="s">
        <v>30</v>
      </c>
    </row>
    <row r="11124" spans="1:6" ht="30" customHeight="1" x14ac:dyDescent="0.25">
      <c r="A11124" s="1" t="s">
        <v>22045</v>
      </c>
      <c r="B11124" s="1" t="str">
        <f>"9780309593304"</f>
        <v>9780309593304</v>
      </c>
      <c r="C11124" s="1" t="s">
        <v>20924</v>
      </c>
      <c r="D11124" s="2">
        <v>31017</v>
      </c>
      <c r="E11124" s="1" t="s">
        <v>21794</v>
      </c>
      <c r="F11124" s="1" t="s">
        <v>19548</v>
      </c>
    </row>
    <row r="11125" spans="1:6" ht="30" customHeight="1" x14ac:dyDescent="0.25">
      <c r="A11125" s="1" t="s">
        <v>22046</v>
      </c>
      <c r="B11125" s="1" t="str">
        <f>"9780309592840"</f>
        <v>9780309592840</v>
      </c>
      <c r="C11125" s="1" t="s">
        <v>20924</v>
      </c>
      <c r="D11125" s="2">
        <v>38322</v>
      </c>
      <c r="E11125" s="1" t="s">
        <v>21620</v>
      </c>
      <c r="F11125" s="1" t="s">
        <v>22047</v>
      </c>
    </row>
    <row r="11126" spans="1:6" ht="30" customHeight="1" x14ac:dyDescent="0.25">
      <c r="A11126" s="1" t="s">
        <v>22048</v>
      </c>
      <c r="B11126" s="1" t="str">
        <f>"9780309592321"</f>
        <v>9780309592321</v>
      </c>
      <c r="C11126" s="1" t="s">
        <v>20924</v>
      </c>
      <c r="D11126" s="2">
        <v>36495</v>
      </c>
      <c r="E11126" s="1" t="s">
        <v>21794</v>
      </c>
      <c r="F11126" s="1" t="s">
        <v>176</v>
      </c>
    </row>
    <row r="11127" spans="1:6" ht="30" customHeight="1" x14ac:dyDescent="0.25">
      <c r="A11127" s="1" t="s">
        <v>22049</v>
      </c>
      <c r="B11127" s="1" t="str">
        <f>"9780309593182"</f>
        <v>9780309593182</v>
      </c>
      <c r="C11127" s="1" t="s">
        <v>20924</v>
      </c>
      <c r="D11127" s="2">
        <v>33208</v>
      </c>
      <c r="E11127" s="1" t="s">
        <v>22050</v>
      </c>
      <c r="F11127" s="1" t="s">
        <v>70</v>
      </c>
    </row>
    <row r="11128" spans="1:6" ht="30" customHeight="1" x14ac:dyDescent="0.25">
      <c r="A11128" s="1" t="s">
        <v>22051</v>
      </c>
      <c r="B11128" s="1" t="str">
        <f>"9780309592369"</f>
        <v>9780309592369</v>
      </c>
      <c r="C11128" s="1" t="s">
        <v>20924</v>
      </c>
      <c r="D11128" s="2">
        <v>36623</v>
      </c>
      <c r="E11128" s="1" t="s">
        <v>22052</v>
      </c>
      <c r="F11128" s="1" t="s">
        <v>95</v>
      </c>
    </row>
    <row r="11129" spans="1:6" ht="30" customHeight="1" x14ac:dyDescent="0.25">
      <c r="A11129" s="1" t="s">
        <v>22053</v>
      </c>
      <c r="B11129" s="1" t="str">
        <f>"9780309547031"</f>
        <v>9780309547031</v>
      </c>
      <c r="C11129" s="1" t="s">
        <v>20924</v>
      </c>
      <c r="D11129" s="2">
        <v>38371</v>
      </c>
      <c r="E11129" s="1" t="s">
        <v>22054</v>
      </c>
      <c r="F11129" s="1" t="s">
        <v>70</v>
      </c>
    </row>
    <row r="11130" spans="1:6" ht="30" customHeight="1" x14ac:dyDescent="0.25">
      <c r="A11130" s="1" t="s">
        <v>22055</v>
      </c>
      <c r="B11130" s="1" t="str">
        <f>"9780309531887"</f>
        <v>9780309531887</v>
      </c>
      <c r="C11130" s="1" t="s">
        <v>20924</v>
      </c>
      <c r="D11130" s="2">
        <v>37987</v>
      </c>
      <c r="E11130" s="1" t="s">
        <v>22056</v>
      </c>
      <c r="F11130" s="1" t="s">
        <v>8901</v>
      </c>
    </row>
    <row r="11131" spans="1:6" ht="30" customHeight="1" x14ac:dyDescent="0.25">
      <c r="A11131" s="1" t="s">
        <v>22057</v>
      </c>
      <c r="B11131" s="1" t="str">
        <f>"9780309593274"</f>
        <v>9780309593274</v>
      </c>
      <c r="C11131" s="1" t="s">
        <v>20924</v>
      </c>
      <c r="D11131" s="2">
        <v>29190</v>
      </c>
      <c r="E11131" s="1" t="s">
        <v>20956</v>
      </c>
      <c r="F11131" s="1" t="s">
        <v>3916</v>
      </c>
    </row>
    <row r="11132" spans="1:6" ht="30" customHeight="1" x14ac:dyDescent="0.25">
      <c r="A11132" s="1" t="s">
        <v>22058</v>
      </c>
      <c r="B11132" s="1" t="str">
        <f>"9780309546461"</f>
        <v>9780309546461</v>
      </c>
      <c r="C11132" s="1" t="s">
        <v>20924</v>
      </c>
      <c r="D11132" s="2">
        <v>38379</v>
      </c>
      <c r="E11132" s="1" t="s">
        <v>22059</v>
      </c>
      <c r="F11132" s="1" t="s">
        <v>1344</v>
      </c>
    </row>
    <row r="11133" spans="1:6" ht="30" customHeight="1" x14ac:dyDescent="0.25">
      <c r="A11133" s="1" t="s">
        <v>22060</v>
      </c>
      <c r="B11133" s="1" t="str">
        <f>"9780309547697"</f>
        <v>9780309547697</v>
      </c>
      <c r="C11133" s="1" t="s">
        <v>20924</v>
      </c>
      <c r="D11133" s="2">
        <v>38422</v>
      </c>
      <c r="E11133" s="1" t="s">
        <v>22061</v>
      </c>
      <c r="F11133" s="1" t="s">
        <v>13</v>
      </c>
    </row>
    <row r="11134" spans="1:6" ht="30" customHeight="1" x14ac:dyDescent="0.25">
      <c r="A11134" s="1" t="s">
        <v>22062</v>
      </c>
      <c r="B11134" s="1" t="str">
        <f>"9780309593397"</f>
        <v>9780309593397</v>
      </c>
      <c r="C11134" s="1" t="s">
        <v>20924</v>
      </c>
      <c r="D11134" s="2">
        <v>32874</v>
      </c>
      <c r="E11134" s="1" t="s">
        <v>22063</v>
      </c>
      <c r="F11134" s="1" t="s">
        <v>30</v>
      </c>
    </row>
    <row r="11135" spans="1:6" ht="30" customHeight="1" x14ac:dyDescent="0.25">
      <c r="A11135" s="1" t="s">
        <v>22064</v>
      </c>
      <c r="B11135" s="1" t="str">
        <f>"9780309531641"</f>
        <v>9780309531641</v>
      </c>
      <c r="C11135" s="1" t="s">
        <v>20924</v>
      </c>
      <c r="D11135" s="2">
        <v>38383</v>
      </c>
      <c r="E11135" s="1" t="s">
        <v>22065</v>
      </c>
      <c r="F11135" s="1" t="s">
        <v>13</v>
      </c>
    </row>
    <row r="11136" spans="1:6" ht="30" customHeight="1" x14ac:dyDescent="0.25">
      <c r="A11136" s="1" t="s">
        <v>22066</v>
      </c>
      <c r="B11136" s="1" t="str">
        <f>"9780309592819"</f>
        <v>9780309592819</v>
      </c>
      <c r="C11136" s="1" t="s">
        <v>20924</v>
      </c>
      <c r="D11136" s="2">
        <v>37956</v>
      </c>
      <c r="E11136" s="1" t="s">
        <v>22067</v>
      </c>
      <c r="F11136" s="1" t="s">
        <v>95</v>
      </c>
    </row>
    <row r="11137" spans="1:6" ht="30" customHeight="1" x14ac:dyDescent="0.25">
      <c r="A11137" s="1" t="s">
        <v>22068</v>
      </c>
      <c r="B11137" s="1" t="str">
        <f>"9780309546850"</f>
        <v>9780309546850</v>
      </c>
      <c r="C11137" s="1" t="s">
        <v>20924</v>
      </c>
      <c r="D11137" s="2">
        <v>38420</v>
      </c>
      <c r="E11137" s="1" t="s">
        <v>22069</v>
      </c>
      <c r="F11137" s="1" t="s">
        <v>70</v>
      </c>
    </row>
    <row r="11138" spans="1:6" ht="30" customHeight="1" x14ac:dyDescent="0.25">
      <c r="A11138" s="1" t="s">
        <v>22070</v>
      </c>
      <c r="B11138" s="1" t="str">
        <f>"9780309532099"</f>
        <v>9780309532099</v>
      </c>
      <c r="C11138" s="1" t="s">
        <v>20924</v>
      </c>
      <c r="D11138" s="2">
        <v>38429</v>
      </c>
      <c r="E11138" s="1" t="s">
        <v>22071</v>
      </c>
      <c r="F11138" s="1" t="s">
        <v>13</v>
      </c>
    </row>
    <row r="11139" spans="1:6" ht="30" customHeight="1" x14ac:dyDescent="0.25">
      <c r="A11139" s="1" t="s">
        <v>22072</v>
      </c>
      <c r="B11139" s="1" t="str">
        <f>"9780309590655"</f>
        <v>9780309590655</v>
      </c>
      <c r="C11139" s="1" t="s">
        <v>20924</v>
      </c>
      <c r="D11139" s="2">
        <v>34151</v>
      </c>
      <c r="E11139" s="1" t="s">
        <v>22073</v>
      </c>
      <c r="F11139" s="1" t="s">
        <v>214</v>
      </c>
    </row>
    <row r="11140" spans="1:6" ht="30" customHeight="1" x14ac:dyDescent="0.25">
      <c r="A11140" s="1" t="s">
        <v>22074</v>
      </c>
      <c r="B11140" s="1" t="str">
        <f>"9780309548656"</f>
        <v>9780309548656</v>
      </c>
      <c r="C11140" s="1" t="s">
        <v>20924</v>
      </c>
      <c r="D11140" s="2">
        <v>38386</v>
      </c>
      <c r="E11140" s="1" t="s">
        <v>22075</v>
      </c>
      <c r="F11140" s="1" t="s">
        <v>19548</v>
      </c>
    </row>
    <row r="11141" spans="1:6" ht="30" customHeight="1" x14ac:dyDescent="0.25">
      <c r="A11141" s="1" t="s">
        <v>22076</v>
      </c>
      <c r="B11141" s="1" t="str">
        <f>"9780309549769"</f>
        <v>9780309549769</v>
      </c>
      <c r="C11141" s="1" t="s">
        <v>20924</v>
      </c>
      <c r="D11141" s="2">
        <v>38322</v>
      </c>
      <c r="E11141" s="1" t="s">
        <v>22077</v>
      </c>
      <c r="F11141" s="1" t="s">
        <v>13</v>
      </c>
    </row>
    <row r="11142" spans="1:6" ht="30" customHeight="1" x14ac:dyDescent="0.25">
      <c r="A11142" s="1" t="s">
        <v>22078</v>
      </c>
      <c r="B11142" s="1" t="str">
        <f>"9780309588775"</f>
        <v>9780309588775</v>
      </c>
      <c r="C11142" s="1" t="s">
        <v>20924</v>
      </c>
      <c r="D11142" s="2">
        <v>38435</v>
      </c>
      <c r="E11142" s="1" t="s">
        <v>22079</v>
      </c>
      <c r="F11142" s="1" t="s">
        <v>30</v>
      </c>
    </row>
    <row r="11143" spans="1:6" ht="30" customHeight="1" x14ac:dyDescent="0.25">
      <c r="A11143" s="1" t="s">
        <v>22080</v>
      </c>
      <c r="B11143" s="1" t="str">
        <f>"9780309547666"</f>
        <v>9780309547666</v>
      </c>
      <c r="C11143" s="1" t="s">
        <v>20924</v>
      </c>
      <c r="D11143" s="2">
        <v>38456</v>
      </c>
      <c r="E11143" s="1" t="s">
        <v>22081</v>
      </c>
      <c r="F11143" s="1" t="s">
        <v>70</v>
      </c>
    </row>
    <row r="11144" spans="1:6" ht="30" customHeight="1" x14ac:dyDescent="0.25">
      <c r="A11144" s="1" t="s">
        <v>22082</v>
      </c>
      <c r="B11144" s="1" t="str">
        <f>"9780309549257"</f>
        <v>9780309549257</v>
      </c>
      <c r="C11144" s="1" t="s">
        <v>20924</v>
      </c>
      <c r="D11144" s="2">
        <v>38442</v>
      </c>
      <c r="E11144" s="1" t="s">
        <v>22083</v>
      </c>
      <c r="F11144" s="1" t="s">
        <v>268</v>
      </c>
    </row>
    <row r="11145" spans="1:6" ht="30" customHeight="1" x14ac:dyDescent="0.25">
      <c r="A11145" s="1" t="s">
        <v>22084</v>
      </c>
      <c r="B11145" s="1" t="str">
        <f>"9780309547338"</f>
        <v>9780309547338</v>
      </c>
      <c r="C11145" s="1" t="s">
        <v>20924</v>
      </c>
      <c r="D11145" s="2">
        <v>38455</v>
      </c>
      <c r="E11145" s="1" t="s">
        <v>22085</v>
      </c>
      <c r="F11145" s="1" t="s">
        <v>13</v>
      </c>
    </row>
    <row r="11146" spans="1:6" ht="30" customHeight="1" x14ac:dyDescent="0.25">
      <c r="A11146" s="1" t="s">
        <v>22086</v>
      </c>
      <c r="B11146" s="1" t="str">
        <f>"9780309530491"</f>
        <v>9780309530491</v>
      </c>
      <c r="C11146" s="1" t="s">
        <v>20924</v>
      </c>
      <c r="D11146" s="2">
        <v>38231</v>
      </c>
      <c r="E11146" s="1" t="s">
        <v>22087</v>
      </c>
      <c r="F11146" s="1" t="s">
        <v>200</v>
      </c>
    </row>
    <row r="11147" spans="1:6" ht="30" customHeight="1" x14ac:dyDescent="0.25">
      <c r="A11147" s="1" t="s">
        <v>22088</v>
      </c>
      <c r="B11147" s="1" t="str">
        <f>"9780309548144"</f>
        <v>9780309548144</v>
      </c>
      <c r="C11147" s="1" t="s">
        <v>20924</v>
      </c>
      <c r="D11147" s="2">
        <v>38490</v>
      </c>
      <c r="E11147" s="1" t="s">
        <v>22089</v>
      </c>
      <c r="F11147" s="1" t="s">
        <v>70</v>
      </c>
    </row>
    <row r="11148" spans="1:6" ht="30" customHeight="1" x14ac:dyDescent="0.25">
      <c r="A11148" s="1" t="s">
        <v>22090</v>
      </c>
      <c r="B11148" s="1" t="str">
        <f>"9780309531191"</f>
        <v>9780309531191</v>
      </c>
      <c r="C11148" s="1" t="s">
        <v>20924</v>
      </c>
      <c r="D11148" s="2">
        <v>38488</v>
      </c>
      <c r="E11148" s="1" t="s">
        <v>22091</v>
      </c>
      <c r="F11148" s="1" t="s">
        <v>30</v>
      </c>
    </row>
    <row r="11149" spans="1:6" ht="30" customHeight="1" x14ac:dyDescent="0.25">
      <c r="A11149" s="1" t="s">
        <v>22092</v>
      </c>
      <c r="B11149" s="1" t="str">
        <f>"9780309551601"</f>
        <v>9780309551601</v>
      </c>
      <c r="C11149" s="1" t="s">
        <v>20924</v>
      </c>
      <c r="D11149" s="2">
        <v>38505</v>
      </c>
      <c r="E11149" s="1" t="s">
        <v>22093</v>
      </c>
      <c r="F11149" s="1" t="s">
        <v>95</v>
      </c>
    </row>
    <row r="11150" spans="1:6" ht="30" customHeight="1" x14ac:dyDescent="0.25">
      <c r="A11150" s="1" t="s">
        <v>22094</v>
      </c>
      <c r="B11150" s="1" t="str">
        <f>"9780309549523"</f>
        <v>9780309549523</v>
      </c>
      <c r="C11150" s="1" t="s">
        <v>20924</v>
      </c>
      <c r="D11150" s="2">
        <v>38530</v>
      </c>
      <c r="E11150" s="1" t="s">
        <v>22095</v>
      </c>
      <c r="F11150" s="1" t="s">
        <v>95</v>
      </c>
    </row>
    <row r="11151" spans="1:6" ht="30" customHeight="1" x14ac:dyDescent="0.25">
      <c r="A11151" s="1" t="s">
        <v>22096</v>
      </c>
      <c r="B11151" s="1" t="str">
        <f>"9780309591843"</f>
        <v>9780309591843</v>
      </c>
      <c r="C11151" s="1" t="s">
        <v>20924</v>
      </c>
      <c r="D11151" s="2">
        <v>31382</v>
      </c>
      <c r="E11151" s="1" t="s">
        <v>22097</v>
      </c>
      <c r="F11151" s="1" t="s">
        <v>1344</v>
      </c>
    </row>
    <row r="11152" spans="1:6" ht="30" customHeight="1" x14ac:dyDescent="0.25">
      <c r="A11152" s="1" t="s">
        <v>22098</v>
      </c>
      <c r="B11152" s="1" t="str">
        <f>"9780309593786"</f>
        <v>9780309593786</v>
      </c>
      <c r="C11152" s="1" t="s">
        <v>20924</v>
      </c>
      <c r="D11152" s="2">
        <v>29921</v>
      </c>
      <c r="E11152" s="1" t="s">
        <v>22099</v>
      </c>
      <c r="F11152" s="1" t="s">
        <v>137</v>
      </c>
    </row>
    <row r="11153" spans="1:6" ht="30" customHeight="1" x14ac:dyDescent="0.25">
      <c r="A11153" s="1" t="s">
        <v>22100</v>
      </c>
      <c r="B11153" s="1" t="str">
        <f>"9780309547215"</f>
        <v>9780309547215</v>
      </c>
      <c r="C11153" s="1" t="s">
        <v>20924</v>
      </c>
      <c r="D11153" s="2">
        <v>38349</v>
      </c>
      <c r="E11153" s="1" t="s">
        <v>22101</v>
      </c>
      <c r="F11153" s="1" t="s">
        <v>1948</v>
      </c>
    </row>
    <row r="11154" spans="1:6" ht="30" customHeight="1" x14ac:dyDescent="0.25">
      <c r="A11154" s="1" t="s">
        <v>22102</v>
      </c>
      <c r="B11154" s="1" t="str">
        <f>"9780309548939"</f>
        <v>9780309548939</v>
      </c>
      <c r="C11154" s="1" t="s">
        <v>20924</v>
      </c>
      <c r="D11154" s="2">
        <v>38547</v>
      </c>
      <c r="E11154" s="1" t="s">
        <v>22103</v>
      </c>
      <c r="F11154" s="1" t="s">
        <v>148</v>
      </c>
    </row>
    <row r="11155" spans="1:6" ht="30" customHeight="1" x14ac:dyDescent="0.25">
      <c r="A11155" s="1" t="s">
        <v>22104</v>
      </c>
      <c r="B11155" s="1" t="str">
        <f>"9780309549554"</f>
        <v>9780309549554</v>
      </c>
      <c r="C11155" s="1" t="s">
        <v>20924</v>
      </c>
      <c r="D11155" s="2">
        <v>38593</v>
      </c>
      <c r="E11155" s="1" t="s">
        <v>22105</v>
      </c>
      <c r="F11155" s="1" t="s">
        <v>1469</v>
      </c>
    </row>
    <row r="11156" spans="1:6" ht="30" customHeight="1" x14ac:dyDescent="0.25">
      <c r="A11156" s="1" t="s">
        <v>22106</v>
      </c>
      <c r="B11156" s="1" t="str">
        <f>"9780309550123"</f>
        <v>9780309550123</v>
      </c>
      <c r="C11156" s="1" t="s">
        <v>20924</v>
      </c>
      <c r="D11156" s="2">
        <v>38569</v>
      </c>
      <c r="E11156" s="1" t="s">
        <v>22107</v>
      </c>
      <c r="F11156" s="1" t="s">
        <v>176</v>
      </c>
    </row>
    <row r="11157" spans="1:6" ht="30" customHeight="1" x14ac:dyDescent="0.25">
      <c r="A11157" s="1" t="s">
        <v>22108</v>
      </c>
      <c r="B11157" s="1" t="str">
        <f>"9780309550246"</f>
        <v>9780309550246</v>
      </c>
      <c r="C11157" s="1" t="s">
        <v>20924</v>
      </c>
      <c r="D11157" s="2">
        <v>38579</v>
      </c>
      <c r="E11157" s="1" t="s">
        <v>22109</v>
      </c>
      <c r="F11157" s="1" t="s">
        <v>349</v>
      </c>
    </row>
    <row r="11158" spans="1:6" ht="30" customHeight="1" x14ac:dyDescent="0.25">
      <c r="A11158" s="1" t="s">
        <v>22110</v>
      </c>
      <c r="B11158" s="1" t="str">
        <f>"9780309552141"</f>
        <v>9780309552141</v>
      </c>
      <c r="C11158" s="1" t="s">
        <v>20924</v>
      </c>
      <c r="D11158" s="2">
        <v>38534</v>
      </c>
      <c r="E11158" s="1" t="s">
        <v>22111</v>
      </c>
      <c r="F11158" s="1" t="s">
        <v>22112</v>
      </c>
    </row>
    <row r="11159" spans="1:6" ht="30" customHeight="1" x14ac:dyDescent="0.25">
      <c r="A11159" s="1" t="s">
        <v>22113</v>
      </c>
      <c r="B11159" s="1" t="str">
        <f>"9780309548779"</f>
        <v>9780309548779</v>
      </c>
      <c r="C11159" s="1" t="s">
        <v>20924</v>
      </c>
      <c r="D11159" s="2">
        <v>38601</v>
      </c>
      <c r="E11159" s="1" t="s">
        <v>22114</v>
      </c>
      <c r="F11159" s="1" t="s">
        <v>158</v>
      </c>
    </row>
    <row r="11160" spans="1:6" ht="30" customHeight="1" x14ac:dyDescent="0.25">
      <c r="A11160" s="1" t="s">
        <v>22115</v>
      </c>
      <c r="B11160" s="1" t="str">
        <f>"9780309653763"</f>
        <v>9780309653763</v>
      </c>
      <c r="C11160" s="1" t="s">
        <v>20924</v>
      </c>
      <c r="D11160" s="2">
        <v>38607</v>
      </c>
      <c r="E11160" s="1" t="s">
        <v>22116</v>
      </c>
      <c r="F11160" s="1" t="s">
        <v>95</v>
      </c>
    </row>
    <row r="11161" spans="1:6" ht="30" customHeight="1" x14ac:dyDescent="0.25">
      <c r="A11161" s="1" t="s">
        <v>22117</v>
      </c>
      <c r="B11161" s="1" t="str">
        <f>"9780309653190"</f>
        <v>9780309653190</v>
      </c>
      <c r="C11161" s="1" t="s">
        <v>20924</v>
      </c>
      <c r="D11161" s="2">
        <v>38643</v>
      </c>
      <c r="E11161" s="1" t="s">
        <v>22118</v>
      </c>
      <c r="F11161" s="1" t="s">
        <v>95</v>
      </c>
    </row>
    <row r="11162" spans="1:6" ht="30" customHeight="1" x14ac:dyDescent="0.25">
      <c r="A11162" s="1" t="s">
        <v>22119</v>
      </c>
      <c r="B11162" s="1" t="str">
        <f>"9780309551939"</f>
        <v>9780309551939</v>
      </c>
      <c r="C11162" s="1" t="s">
        <v>20924</v>
      </c>
      <c r="D11162" s="2">
        <v>38642</v>
      </c>
      <c r="E11162" s="1" t="s">
        <v>22120</v>
      </c>
      <c r="F11162" s="1" t="s">
        <v>4861</v>
      </c>
    </row>
    <row r="11163" spans="1:6" ht="30" customHeight="1" x14ac:dyDescent="0.25">
      <c r="A11163" s="1" t="s">
        <v>22121</v>
      </c>
      <c r="B11163" s="1" t="str">
        <f>"9780309653640"</f>
        <v>9780309653640</v>
      </c>
      <c r="C11163" s="1" t="s">
        <v>20924</v>
      </c>
      <c r="D11163" s="2">
        <v>38322</v>
      </c>
      <c r="E11163" s="1" t="s">
        <v>21121</v>
      </c>
      <c r="F11163" s="1" t="s">
        <v>30</v>
      </c>
    </row>
    <row r="11164" spans="1:6" ht="30" customHeight="1" x14ac:dyDescent="0.25">
      <c r="A11164" s="1" t="s">
        <v>22122</v>
      </c>
      <c r="B11164" s="1" t="str">
        <f>"9780309654456"</f>
        <v>9780309654456</v>
      </c>
      <c r="C11164" s="1" t="s">
        <v>20924</v>
      </c>
      <c r="D11164" s="2">
        <v>38638</v>
      </c>
      <c r="E11164" s="1" t="s">
        <v>22123</v>
      </c>
      <c r="F11164" s="1" t="s">
        <v>13</v>
      </c>
    </row>
    <row r="11165" spans="1:6" ht="30" customHeight="1" x14ac:dyDescent="0.25">
      <c r="A11165" s="1" t="s">
        <v>22124</v>
      </c>
      <c r="B11165" s="1" t="str">
        <f>"9780309655446"</f>
        <v>9780309655446</v>
      </c>
      <c r="C11165" s="1" t="s">
        <v>20924</v>
      </c>
      <c r="D11165" s="2">
        <v>38671</v>
      </c>
      <c r="E11165" s="1" t="s">
        <v>20995</v>
      </c>
      <c r="F11165" s="1" t="s">
        <v>70</v>
      </c>
    </row>
    <row r="11166" spans="1:6" ht="30" customHeight="1" x14ac:dyDescent="0.25">
      <c r="A11166" s="1" t="s">
        <v>22125</v>
      </c>
      <c r="B11166" s="1" t="str">
        <f>"9780309548830"</f>
        <v>9780309548830</v>
      </c>
      <c r="C11166" s="1" t="s">
        <v>20924</v>
      </c>
      <c r="D11166" s="2">
        <v>38656</v>
      </c>
      <c r="E11166" s="1" t="s">
        <v>22126</v>
      </c>
      <c r="F11166" s="1" t="s">
        <v>176</v>
      </c>
    </row>
    <row r="11167" spans="1:6" ht="30" customHeight="1" x14ac:dyDescent="0.25">
      <c r="A11167" s="1" t="s">
        <v>22127</v>
      </c>
      <c r="B11167" s="1" t="str">
        <f>"9780309655415"</f>
        <v>9780309655415</v>
      </c>
      <c r="C11167" s="1" t="s">
        <v>20924</v>
      </c>
      <c r="D11167" s="2">
        <v>38322</v>
      </c>
      <c r="E11167" s="1" t="s">
        <v>22128</v>
      </c>
      <c r="F11167" s="1" t="s">
        <v>95</v>
      </c>
    </row>
    <row r="11168" spans="1:6" ht="30" customHeight="1" x14ac:dyDescent="0.25">
      <c r="A11168" s="1" t="s">
        <v>22129</v>
      </c>
      <c r="B11168" s="1" t="str">
        <f>"9780309654395"</f>
        <v>9780309654395</v>
      </c>
      <c r="C11168" s="1" t="s">
        <v>20924</v>
      </c>
      <c r="D11168" s="2">
        <v>38679</v>
      </c>
      <c r="E11168" s="1" t="s">
        <v>22130</v>
      </c>
      <c r="F11168" s="1" t="s">
        <v>95</v>
      </c>
    </row>
    <row r="11169" spans="1:6" ht="30" customHeight="1" x14ac:dyDescent="0.25">
      <c r="A11169" s="1" t="s">
        <v>22131</v>
      </c>
      <c r="B11169" s="1" t="str">
        <f>"9780309653077"</f>
        <v>9780309653077</v>
      </c>
      <c r="C11169" s="1" t="s">
        <v>20924</v>
      </c>
      <c r="D11169" s="2">
        <v>38706</v>
      </c>
      <c r="E11169" s="1" t="s">
        <v>22132</v>
      </c>
      <c r="F11169" s="1" t="s">
        <v>13</v>
      </c>
    </row>
    <row r="11170" spans="1:6" ht="30" customHeight="1" x14ac:dyDescent="0.25">
      <c r="A11170" s="1" t="s">
        <v>22133</v>
      </c>
      <c r="B11170" s="1" t="str">
        <f>"9780309653671"</f>
        <v>9780309653671</v>
      </c>
      <c r="C11170" s="1" t="s">
        <v>20924</v>
      </c>
      <c r="D11170" s="2">
        <v>38694</v>
      </c>
      <c r="E11170" s="1" t="s">
        <v>22134</v>
      </c>
      <c r="F11170" s="1" t="s">
        <v>22135</v>
      </c>
    </row>
    <row r="11171" spans="1:6" ht="30" customHeight="1" x14ac:dyDescent="0.25">
      <c r="A11171" s="1" t="s">
        <v>22136</v>
      </c>
      <c r="B11171" s="1" t="str">
        <f>"9780309552387"</f>
        <v>9780309552387</v>
      </c>
      <c r="C11171" s="1" t="s">
        <v>20924</v>
      </c>
      <c r="D11171" s="2">
        <v>38706</v>
      </c>
      <c r="E11171" s="1" t="s">
        <v>22137</v>
      </c>
      <c r="F11171" s="1" t="s">
        <v>158</v>
      </c>
    </row>
    <row r="11172" spans="1:6" ht="30" customHeight="1" x14ac:dyDescent="0.25">
      <c r="A11172" s="1" t="s">
        <v>22138</v>
      </c>
      <c r="B11172" s="1" t="str">
        <f>"9780309655057"</f>
        <v>9780309655057</v>
      </c>
      <c r="C11172" s="1" t="s">
        <v>20924</v>
      </c>
      <c r="D11172" s="2">
        <v>38694</v>
      </c>
      <c r="E11172" s="1" t="s">
        <v>22139</v>
      </c>
      <c r="F11172" s="1" t="s">
        <v>176</v>
      </c>
    </row>
    <row r="11173" spans="1:6" ht="30" customHeight="1" x14ac:dyDescent="0.25">
      <c r="A11173" s="1" t="s">
        <v>22140</v>
      </c>
      <c r="B11173" s="1" t="str">
        <f>"9780309654906"</f>
        <v>9780309654906</v>
      </c>
      <c r="C11173" s="1" t="s">
        <v>20924</v>
      </c>
      <c r="D11173" s="2">
        <v>38720</v>
      </c>
      <c r="E11173" s="1" t="s">
        <v>22141</v>
      </c>
      <c r="F11173" s="1" t="s">
        <v>137</v>
      </c>
    </row>
    <row r="11174" spans="1:6" ht="30" customHeight="1" x14ac:dyDescent="0.25">
      <c r="A11174" s="1" t="s">
        <v>22142</v>
      </c>
      <c r="B11174" s="1" t="str">
        <f>"9780309550093"</f>
        <v>9780309550093</v>
      </c>
      <c r="C11174" s="1" t="s">
        <v>20924</v>
      </c>
      <c r="D11174" s="2">
        <v>38714</v>
      </c>
      <c r="E11174" s="1" t="s">
        <v>22143</v>
      </c>
      <c r="F11174" s="1" t="s">
        <v>30</v>
      </c>
    </row>
    <row r="11175" spans="1:6" ht="30" customHeight="1" x14ac:dyDescent="0.25">
      <c r="A11175" s="1" t="s">
        <v>22144</v>
      </c>
      <c r="B11175" s="1" t="str">
        <f>"9780309657457"</f>
        <v>9780309657457</v>
      </c>
      <c r="C11175" s="1" t="s">
        <v>20924</v>
      </c>
      <c r="D11175" s="2">
        <v>38387</v>
      </c>
      <c r="E11175" s="1" t="s">
        <v>22145</v>
      </c>
      <c r="F11175" s="1" t="s">
        <v>21</v>
      </c>
    </row>
    <row r="11176" spans="1:6" ht="30" customHeight="1" x14ac:dyDescent="0.25">
      <c r="A11176" s="1" t="s">
        <v>22146</v>
      </c>
      <c r="B11176" s="1" t="str">
        <f>"9780309653138"</f>
        <v>9780309653138</v>
      </c>
      <c r="C11176" s="1" t="s">
        <v>20924</v>
      </c>
      <c r="D11176" s="2">
        <v>38414</v>
      </c>
      <c r="E11176" s="1" t="s">
        <v>22147</v>
      </c>
      <c r="F11176" s="1" t="s">
        <v>30</v>
      </c>
    </row>
    <row r="11177" spans="1:6" ht="30" customHeight="1" x14ac:dyDescent="0.25">
      <c r="A11177" s="1" t="s">
        <v>22148</v>
      </c>
      <c r="B11177" s="1" t="str">
        <f>"9780309658324"</f>
        <v>9780309658324</v>
      </c>
      <c r="C11177" s="1" t="s">
        <v>20924</v>
      </c>
      <c r="D11177" s="2">
        <v>38776</v>
      </c>
      <c r="E11177" s="1" t="s">
        <v>22149</v>
      </c>
      <c r="F11177" s="1" t="s">
        <v>13</v>
      </c>
    </row>
    <row r="11178" spans="1:6" ht="30" customHeight="1" x14ac:dyDescent="0.25">
      <c r="A11178" s="1" t="s">
        <v>22150</v>
      </c>
      <c r="B11178" s="1" t="str">
        <f>"9780309653343"</f>
        <v>9780309653343</v>
      </c>
      <c r="C11178" s="1" t="s">
        <v>20924</v>
      </c>
      <c r="D11178" s="2">
        <v>38763</v>
      </c>
      <c r="E11178" s="1" t="s">
        <v>22151</v>
      </c>
      <c r="F11178" s="1" t="s">
        <v>176</v>
      </c>
    </row>
    <row r="11179" spans="1:6" ht="30" customHeight="1" x14ac:dyDescent="0.25">
      <c r="A11179" s="1" t="s">
        <v>22152</v>
      </c>
      <c r="B11179" s="1" t="str">
        <f>"9780309530408"</f>
        <v>9780309530408</v>
      </c>
      <c r="C11179" s="1" t="s">
        <v>20924</v>
      </c>
      <c r="D11179" s="2">
        <v>38797</v>
      </c>
      <c r="E11179" s="1" t="s">
        <v>22153</v>
      </c>
      <c r="F11179" s="1" t="s">
        <v>30</v>
      </c>
    </row>
    <row r="11180" spans="1:6" ht="30" customHeight="1" x14ac:dyDescent="0.25">
      <c r="A11180" s="1" t="s">
        <v>22154</v>
      </c>
      <c r="B11180" s="1" t="str">
        <f>"9780309653046"</f>
        <v>9780309653046</v>
      </c>
      <c r="C11180" s="1" t="s">
        <v>20924</v>
      </c>
      <c r="D11180" s="2">
        <v>38645</v>
      </c>
      <c r="E11180" s="1" t="s">
        <v>22155</v>
      </c>
      <c r="F11180" s="1" t="s">
        <v>13</v>
      </c>
    </row>
    <row r="11181" spans="1:6" ht="30" customHeight="1" x14ac:dyDescent="0.25">
      <c r="A11181" s="1" t="s">
        <v>22156</v>
      </c>
      <c r="B11181" s="1" t="str">
        <f>"9780309654609"</f>
        <v>9780309654609</v>
      </c>
      <c r="C11181" s="1" t="s">
        <v>20924</v>
      </c>
      <c r="D11181" s="2">
        <v>38805</v>
      </c>
      <c r="E11181" s="1" t="s">
        <v>22157</v>
      </c>
      <c r="F11181" s="1" t="s">
        <v>70</v>
      </c>
    </row>
    <row r="11182" spans="1:6" ht="30" customHeight="1" x14ac:dyDescent="0.25">
      <c r="A11182" s="1" t="s">
        <v>22158</v>
      </c>
      <c r="B11182" s="1" t="str">
        <f>"9780309654661"</f>
        <v>9780309654661</v>
      </c>
      <c r="C11182" s="1" t="s">
        <v>20924</v>
      </c>
      <c r="D11182" s="2">
        <v>38776</v>
      </c>
      <c r="E11182" s="1" t="s">
        <v>22159</v>
      </c>
      <c r="F11182" s="1" t="s">
        <v>176</v>
      </c>
    </row>
    <row r="11183" spans="1:6" ht="30" customHeight="1" x14ac:dyDescent="0.25">
      <c r="A11183" s="1" t="s">
        <v>22160</v>
      </c>
      <c r="B11183" s="1" t="str">
        <f>"9780309654241"</f>
        <v>9780309654241</v>
      </c>
      <c r="C11183" s="1" t="s">
        <v>20924</v>
      </c>
      <c r="D11183" s="2">
        <v>38806</v>
      </c>
      <c r="E11183" s="1" t="s">
        <v>22161</v>
      </c>
      <c r="F11183" s="1" t="s">
        <v>158</v>
      </c>
    </row>
    <row r="11184" spans="1:6" ht="30" customHeight="1" x14ac:dyDescent="0.25">
      <c r="A11184" s="1" t="s">
        <v>22162</v>
      </c>
      <c r="B11184" s="1" t="str">
        <f>"9780309656764"</f>
        <v>9780309656764</v>
      </c>
      <c r="C11184" s="1" t="s">
        <v>20924</v>
      </c>
      <c r="D11184" s="2">
        <v>38777</v>
      </c>
      <c r="E11184" s="1" t="s">
        <v>22163</v>
      </c>
      <c r="F11184" s="1" t="s">
        <v>95</v>
      </c>
    </row>
    <row r="11185" spans="1:6" ht="30" customHeight="1" x14ac:dyDescent="0.25">
      <c r="A11185" s="1" t="s">
        <v>22164</v>
      </c>
      <c r="B11185" s="1" t="str">
        <f>"9780309657150"</f>
        <v>9780309657150</v>
      </c>
      <c r="C11185" s="1" t="s">
        <v>20924</v>
      </c>
      <c r="D11185" s="2">
        <v>38810</v>
      </c>
      <c r="E11185" s="1" t="s">
        <v>22165</v>
      </c>
      <c r="F11185" s="1" t="s">
        <v>70</v>
      </c>
    </row>
    <row r="11186" spans="1:6" ht="30" customHeight="1" x14ac:dyDescent="0.25">
      <c r="A11186" s="1" t="s">
        <v>22166</v>
      </c>
      <c r="B11186" s="1" t="str">
        <f>"9780309659376"</f>
        <v>9780309659376</v>
      </c>
      <c r="C11186" s="1" t="s">
        <v>20924</v>
      </c>
      <c r="D11186" s="2">
        <v>38832</v>
      </c>
      <c r="E11186" s="1" t="s">
        <v>22167</v>
      </c>
      <c r="F11186" s="1" t="s">
        <v>599</v>
      </c>
    </row>
    <row r="11187" spans="1:6" ht="30" customHeight="1" x14ac:dyDescent="0.25">
      <c r="A11187" s="1" t="s">
        <v>22168</v>
      </c>
      <c r="B11187" s="1" t="str">
        <f>"9780309656139"</f>
        <v>9780309656139</v>
      </c>
      <c r="C11187" s="1" t="s">
        <v>20924</v>
      </c>
      <c r="D11187" s="2">
        <v>38677</v>
      </c>
      <c r="E11187" s="1" t="s">
        <v>22169</v>
      </c>
      <c r="F11187" s="1" t="s">
        <v>158</v>
      </c>
    </row>
    <row r="11188" spans="1:6" ht="30" customHeight="1" x14ac:dyDescent="0.25">
      <c r="A11188" s="1" t="s">
        <v>22170</v>
      </c>
      <c r="B11188" s="1" t="str">
        <f>"9780309660242"</f>
        <v>9780309660242</v>
      </c>
      <c r="C11188" s="1" t="s">
        <v>20924</v>
      </c>
      <c r="D11188" s="2">
        <v>38811</v>
      </c>
      <c r="E11188" s="1" t="s">
        <v>22171</v>
      </c>
      <c r="F11188" s="1" t="s">
        <v>13</v>
      </c>
    </row>
    <row r="11189" spans="1:6" ht="30" customHeight="1" x14ac:dyDescent="0.25">
      <c r="A11189" s="1" t="s">
        <v>22172</v>
      </c>
      <c r="B11189" s="1" t="str">
        <f>"9780309657006"</f>
        <v>9780309657006</v>
      </c>
      <c r="C11189" s="1" t="s">
        <v>20924</v>
      </c>
      <c r="D11189" s="2">
        <v>38835</v>
      </c>
      <c r="E11189" s="1" t="s">
        <v>22173</v>
      </c>
      <c r="F11189" s="1" t="s">
        <v>95</v>
      </c>
    </row>
    <row r="11190" spans="1:6" ht="30" customHeight="1" x14ac:dyDescent="0.25">
      <c r="A11190" s="1" t="s">
        <v>22174</v>
      </c>
      <c r="B11190" s="1" t="str">
        <f>"9780309657815"</f>
        <v>9780309657815</v>
      </c>
      <c r="C11190" s="1" t="s">
        <v>20924</v>
      </c>
      <c r="D11190" s="2">
        <v>38803</v>
      </c>
      <c r="E11190" s="1" t="s">
        <v>22175</v>
      </c>
      <c r="F11190" s="1" t="s">
        <v>214</v>
      </c>
    </row>
    <row r="11191" spans="1:6" ht="30" customHeight="1" x14ac:dyDescent="0.25">
      <c r="A11191" s="1" t="s">
        <v>22176</v>
      </c>
      <c r="B11191" s="1" t="str">
        <f>"9780309656856"</f>
        <v>9780309656856</v>
      </c>
      <c r="C11191" s="1" t="s">
        <v>20924</v>
      </c>
      <c r="D11191" s="2">
        <v>38832</v>
      </c>
      <c r="E11191" s="1" t="s">
        <v>22177</v>
      </c>
      <c r="F11191" s="1" t="s">
        <v>176</v>
      </c>
    </row>
    <row r="11192" spans="1:6" ht="30" customHeight="1" x14ac:dyDescent="0.25">
      <c r="A11192" s="1" t="s">
        <v>22178</v>
      </c>
      <c r="B11192" s="1" t="str">
        <f>"9780309552295"</f>
        <v>9780309552295</v>
      </c>
      <c r="C11192" s="1" t="s">
        <v>20924</v>
      </c>
      <c r="D11192" s="2">
        <v>38818</v>
      </c>
      <c r="E11192" s="1" t="s">
        <v>22179</v>
      </c>
      <c r="F11192" s="1" t="s">
        <v>13</v>
      </c>
    </row>
    <row r="11193" spans="1:6" ht="30" customHeight="1" x14ac:dyDescent="0.25">
      <c r="A11193" s="1" t="s">
        <v>22180</v>
      </c>
      <c r="B11193" s="1" t="str">
        <f>"9780309658058"</f>
        <v>9780309658058</v>
      </c>
      <c r="C11193" s="1" t="s">
        <v>20924</v>
      </c>
      <c r="D11193" s="2">
        <v>38839</v>
      </c>
      <c r="E11193" s="1" t="s">
        <v>22181</v>
      </c>
      <c r="F11193" s="1" t="s">
        <v>95</v>
      </c>
    </row>
    <row r="11194" spans="1:6" ht="30" customHeight="1" x14ac:dyDescent="0.25">
      <c r="A11194" s="1" t="s">
        <v>22182</v>
      </c>
      <c r="B11194" s="1" t="str">
        <f>"9780309656733"</f>
        <v>9780309656733</v>
      </c>
      <c r="C11194" s="1" t="s">
        <v>20924</v>
      </c>
      <c r="D11194" s="2">
        <v>38842</v>
      </c>
      <c r="E11194" s="1" t="s">
        <v>22183</v>
      </c>
      <c r="F11194" s="1" t="s">
        <v>13</v>
      </c>
    </row>
    <row r="11195" spans="1:6" ht="30" customHeight="1" x14ac:dyDescent="0.25">
      <c r="A11195" s="1" t="s">
        <v>22184</v>
      </c>
      <c r="B11195" s="1" t="str">
        <f>"9780309657907"</f>
        <v>9780309657907</v>
      </c>
      <c r="C11195" s="1" t="s">
        <v>20924</v>
      </c>
      <c r="D11195" s="2">
        <v>38919</v>
      </c>
      <c r="E11195" s="1" t="s">
        <v>22185</v>
      </c>
      <c r="F11195" s="1" t="s">
        <v>22186</v>
      </c>
    </row>
    <row r="11196" spans="1:6" ht="30" customHeight="1" x14ac:dyDescent="0.25">
      <c r="A11196" s="1" t="s">
        <v>22187</v>
      </c>
      <c r="B11196" s="1" t="str">
        <f>"9780309660006"</f>
        <v>9780309660006</v>
      </c>
      <c r="C11196" s="1" t="s">
        <v>20924</v>
      </c>
      <c r="D11196" s="2">
        <v>38922</v>
      </c>
      <c r="E11196" s="1" t="s">
        <v>22188</v>
      </c>
      <c r="F11196" s="1" t="s">
        <v>214</v>
      </c>
    </row>
    <row r="11197" spans="1:6" ht="30" customHeight="1" x14ac:dyDescent="0.25">
      <c r="A11197" s="1" t="s">
        <v>22189</v>
      </c>
      <c r="B11197" s="1" t="str">
        <f>"9780309655774"</f>
        <v>9780309655774</v>
      </c>
      <c r="C11197" s="1" t="s">
        <v>20924</v>
      </c>
      <c r="D11197" s="2">
        <v>38880</v>
      </c>
      <c r="E11197" s="1" t="s">
        <v>22190</v>
      </c>
      <c r="F11197" s="1" t="s">
        <v>13</v>
      </c>
    </row>
    <row r="11198" spans="1:6" ht="30" customHeight="1" x14ac:dyDescent="0.25">
      <c r="A11198" s="1" t="s">
        <v>22191</v>
      </c>
      <c r="B11198" s="1" t="str">
        <f>"9780309653251"</f>
        <v>9780309653251</v>
      </c>
      <c r="C11198" s="1" t="s">
        <v>20924</v>
      </c>
      <c r="D11198" s="2">
        <v>38877</v>
      </c>
      <c r="E11198" s="1" t="s">
        <v>22120</v>
      </c>
      <c r="F11198" s="1" t="s">
        <v>95</v>
      </c>
    </row>
    <row r="11199" spans="1:6" ht="30" customHeight="1" x14ac:dyDescent="0.25">
      <c r="A11199" s="1" t="s">
        <v>22192</v>
      </c>
      <c r="B11199" s="1" t="str">
        <f>"9780309549042"</f>
        <v>9780309549042</v>
      </c>
      <c r="C11199" s="1" t="s">
        <v>20924</v>
      </c>
      <c r="D11199" s="2">
        <v>38877</v>
      </c>
      <c r="E11199" s="1" t="s">
        <v>22193</v>
      </c>
      <c r="F11199" s="1" t="s">
        <v>13</v>
      </c>
    </row>
    <row r="11200" spans="1:6" ht="30" customHeight="1" x14ac:dyDescent="0.25">
      <c r="A11200" s="1" t="s">
        <v>22194</v>
      </c>
      <c r="B11200" s="1" t="str">
        <f>"9780309657129"</f>
        <v>9780309657129</v>
      </c>
      <c r="C11200" s="1" t="s">
        <v>20924</v>
      </c>
      <c r="D11200" s="2">
        <v>38946</v>
      </c>
      <c r="E11200" s="1" t="s">
        <v>22120</v>
      </c>
      <c r="F11200" s="1" t="s">
        <v>95</v>
      </c>
    </row>
    <row r="11201" spans="1:6" ht="30" customHeight="1" x14ac:dyDescent="0.25">
      <c r="A11201" s="1" t="s">
        <v>22195</v>
      </c>
      <c r="B11201" s="1" t="str">
        <f>"9780309661058"</f>
        <v>9780309661058</v>
      </c>
      <c r="C11201" s="1" t="s">
        <v>20924</v>
      </c>
      <c r="D11201" s="2">
        <v>38923</v>
      </c>
      <c r="E11201" s="1" t="s">
        <v>20995</v>
      </c>
      <c r="F11201" s="1" t="s">
        <v>30</v>
      </c>
    </row>
    <row r="11202" spans="1:6" ht="30" customHeight="1" x14ac:dyDescent="0.25">
      <c r="A11202" s="1" t="s">
        <v>22196</v>
      </c>
      <c r="B11202" s="1" t="str">
        <f>"9780309657334"</f>
        <v>9780309657334</v>
      </c>
      <c r="C11202" s="1" t="s">
        <v>20924</v>
      </c>
      <c r="D11202" s="2">
        <v>38839</v>
      </c>
      <c r="E11202" s="1" t="s">
        <v>22197</v>
      </c>
      <c r="F11202" s="1" t="s">
        <v>148</v>
      </c>
    </row>
    <row r="11203" spans="1:6" ht="30" customHeight="1" x14ac:dyDescent="0.25">
      <c r="A11203" s="1" t="s">
        <v>22198</v>
      </c>
      <c r="B11203" s="1" t="str">
        <f>"9780309660938"</f>
        <v>9780309660938</v>
      </c>
      <c r="C11203" s="1" t="s">
        <v>20924</v>
      </c>
      <c r="D11203" s="2">
        <v>38827</v>
      </c>
      <c r="E11203" s="1" t="s">
        <v>22199</v>
      </c>
      <c r="F11203" s="1" t="s">
        <v>87</v>
      </c>
    </row>
    <row r="11204" spans="1:6" ht="30" customHeight="1" x14ac:dyDescent="0.25">
      <c r="A11204" s="1" t="s">
        <v>22200</v>
      </c>
      <c r="B11204" s="1" t="str">
        <f>"9780309533058"</f>
        <v>9780309533058</v>
      </c>
      <c r="C11204" s="1" t="s">
        <v>20924</v>
      </c>
      <c r="D11204" s="2">
        <v>38889</v>
      </c>
      <c r="E11204" s="1" t="s">
        <v>22201</v>
      </c>
      <c r="F11204" s="1" t="s">
        <v>13</v>
      </c>
    </row>
    <row r="11205" spans="1:6" ht="30" customHeight="1" x14ac:dyDescent="0.25">
      <c r="A11205" s="1" t="s">
        <v>22202</v>
      </c>
      <c r="B11205" s="1" t="str">
        <f>"9780309660785"</f>
        <v>9780309660785</v>
      </c>
      <c r="C11205" s="1" t="s">
        <v>20924</v>
      </c>
      <c r="D11205" s="2">
        <v>38932</v>
      </c>
      <c r="E11205" s="1" t="s">
        <v>22203</v>
      </c>
      <c r="F11205" s="1" t="s">
        <v>13</v>
      </c>
    </row>
    <row r="11206" spans="1:6" ht="30" customHeight="1" x14ac:dyDescent="0.25">
      <c r="A11206" s="1" t="s">
        <v>22204</v>
      </c>
      <c r="B11206" s="1" t="str">
        <f>"9780309659499"</f>
        <v>9780309659499</v>
      </c>
      <c r="C11206" s="1" t="s">
        <v>20924</v>
      </c>
      <c r="D11206" s="2">
        <v>38924</v>
      </c>
      <c r="E11206" s="1" t="s">
        <v>22205</v>
      </c>
      <c r="F11206" s="1" t="s">
        <v>13</v>
      </c>
    </row>
    <row r="11207" spans="1:6" ht="30" customHeight="1" x14ac:dyDescent="0.25">
      <c r="A11207" s="1" t="s">
        <v>22206</v>
      </c>
      <c r="B11207" s="1" t="str">
        <f>"9780309657273"</f>
        <v>9780309657273</v>
      </c>
      <c r="C11207" s="1" t="s">
        <v>20924</v>
      </c>
      <c r="D11207" s="2">
        <v>38973</v>
      </c>
      <c r="E11207" s="1" t="s">
        <v>22207</v>
      </c>
      <c r="F11207" s="1" t="s">
        <v>70</v>
      </c>
    </row>
    <row r="11208" spans="1:6" ht="30" customHeight="1" x14ac:dyDescent="0.25">
      <c r="A11208" s="1" t="s">
        <v>22208</v>
      </c>
      <c r="B11208" s="1" t="str">
        <f>"9780309654579"</f>
        <v>9780309654579</v>
      </c>
      <c r="C11208" s="1" t="s">
        <v>20924</v>
      </c>
      <c r="D11208" s="2">
        <v>38978</v>
      </c>
      <c r="E11208" s="1" t="s">
        <v>22193</v>
      </c>
      <c r="F11208" s="1" t="s">
        <v>158</v>
      </c>
    </row>
    <row r="11209" spans="1:6" ht="30" customHeight="1" x14ac:dyDescent="0.25">
      <c r="A11209" s="1" t="s">
        <v>22209</v>
      </c>
      <c r="B11209" s="1" t="str">
        <f>"9780309663878"</f>
        <v>9780309663878</v>
      </c>
      <c r="C11209" s="1" t="s">
        <v>20924</v>
      </c>
      <c r="D11209" s="2">
        <v>38980</v>
      </c>
      <c r="E11209" s="1" t="s">
        <v>22210</v>
      </c>
      <c r="F11209" s="1" t="s">
        <v>1469</v>
      </c>
    </row>
    <row r="11210" spans="1:6" ht="30" customHeight="1" x14ac:dyDescent="0.25">
      <c r="A11210" s="1" t="s">
        <v>22211</v>
      </c>
      <c r="B11210" s="1" t="str">
        <f>"9780309663151"</f>
        <v>9780309663151</v>
      </c>
      <c r="C11210" s="1" t="s">
        <v>20924</v>
      </c>
      <c r="D11210" s="2">
        <v>38922</v>
      </c>
      <c r="E11210" s="1" t="s">
        <v>22212</v>
      </c>
      <c r="F11210" s="1" t="s">
        <v>214</v>
      </c>
    </row>
    <row r="11211" spans="1:6" ht="30" customHeight="1" x14ac:dyDescent="0.25">
      <c r="A11211" s="1" t="s">
        <v>22213</v>
      </c>
      <c r="B11211" s="1" t="str">
        <f>"9780309662918"</f>
        <v>9780309662918</v>
      </c>
      <c r="C11211" s="1" t="s">
        <v>20924</v>
      </c>
      <c r="D11211" s="2">
        <v>39000</v>
      </c>
      <c r="E11211" s="1" t="s">
        <v>22214</v>
      </c>
      <c r="F11211" s="1" t="s">
        <v>13</v>
      </c>
    </row>
    <row r="11212" spans="1:6" ht="30" customHeight="1" x14ac:dyDescent="0.25">
      <c r="A11212" s="1" t="s">
        <v>22215</v>
      </c>
      <c r="B11212" s="1" t="str">
        <f>"9780309658140"</f>
        <v>9780309658140</v>
      </c>
      <c r="C11212" s="1" t="s">
        <v>20924</v>
      </c>
      <c r="D11212" s="2">
        <v>39008</v>
      </c>
      <c r="E11212" s="1" t="s">
        <v>22216</v>
      </c>
      <c r="F11212" s="1" t="s">
        <v>13</v>
      </c>
    </row>
    <row r="11213" spans="1:6" ht="30" customHeight="1" x14ac:dyDescent="0.25">
      <c r="A11213" s="1" t="s">
        <v>22217</v>
      </c>
      <c r="B11213" s="1" t="str">
        <f>"9780309663335"</f>
        <v>9780309663335</v>
      </c>
      <c r="C11213" s="1" t="s">
        <v>20924</v>
      </c>
      <c r="D11213" s="2">
        <v>38919</v>
      </c>
      <c r="E11213" s="1" t="s">
        <v>22218</v>
      </c>
      <c r="F11213" s="1" t="s">
        <v>13349</v>
      </c>
    </row>
    <row r="11214" spans="1:6" ht="30" customHeight="1" x14ac:dyDescent="0.25">
      <c r="A11214" s="1" t="s">
        <v>22219</v>
      </c>
      <c r="B11214" s="1" t="str">
        <f>"9780309663601"</f>
        <v>9780309663601</v>
      </c>
      <c r="C11214" s="1" t="s">
        <v>20924</v>
      </c>
      <c r="D11214" s="2">
        <v>38925</v>
      </c>
      <c r="E11214" s="1" t="s">
        <v>22220</v>
      </c>
      <c r="F11214" s="1" t="s">
        <v>148</v>
      </c>
    </row>
    <row r="11215" spans="1:6" ht="30" customHeight="1" x14ac:dyDescent="0.25">
      <c r="A11215" s="1" t="s">
        <v>22221</v>
      </c>
      <c r="B11215" s="1" t="str">
        <f>"9780309658560"</f>
        <v>9780309658560</v>
      </c>
      <c r="C11215" s="1" t="s">
        <v>20924</v>
      </c>
      <c r="D11215" s="2">
        <v>38918</v>
      </c>
      <c r="E11215" s="1" t="s">
        <v>22222</v>
      </c>
      <c r="F11215" s="1" t="s">
        <v>268</v>
      </c>
    </row>
    <row r="11216" spans="1:6" ht="30" customHeight="1" x14ac:dyDescent="0.25">
      <c r="A11216" s="1" t="s">
        <v>22223</v>
      </c>
      <c r="B11216" s="1" t="str">
        <f>"9780309662581"</f>
        <v>9780309662581</v>
      </c>
      <c r="C11216" s="1" t="s">
        <v>20924</v>
      </c>
      <c r="D11216" s="2">
        <v>39017</v>
      </c>
      <c r="E11216" s="1" t="s">
        <v>22224</v>
      </c>
      <c r="F11216" s="1" t="s">
        <v>13</v>
      </c>
    </row>
    <row r="11217" spans="1:6" ht="30" customHeight="1" x14ac:dyDescent="0.25">
      <c r="A11217" s="1" t="s">
        <v>22225</v>
      </c>
      <c r="B11217" s="1" t="str">
        <f>"9780309657068"</f>
        <v>9780309657068</v>
      </c>
      <c r="C11217" s="1" t="s">
        <v>20924</v>
      </c>
      <c r="D11217" s="2">
        <v>39073</v>
      </c>
      <c r="E11217" s="1" t="s">
        <v>22226</v>
      </c>
      <c r="F11217" s="1" t="s">
        <v>286</v>
      </c>
    </row>
    <row r="11218" spans="1:6" ht="30" customHeight="1" x14ac:dyDescent="0.25">
      <c r="A11218" s="1" t="s">
        <v>22227</v>
      </c>
      <c r="B11218" s="1" t="str">
        <f>"9780309663458"</f>
        <v>9780309663458</v>
      </c>
      <c r="C11218" s="1" t="s">
        <v>20924</v>
      </c>
      <c r="D11218" s="2">
        <v>39041</v>
      </c>
      <c r="E11218" s="1" t="s">
        <v>22228</v>
      </c>
      <c r="F11218" s="1" t="s">
        <v>33</v>
      </c>
    </row>
    <row r="11219" spans="1:6" ht="30" customHeight="1" x14ac:dyDescent="0.25">
      <c r="A11219" s="1" t="s">
        <v>22229</v>
      </c>
      <c r="B11219" s="1" t="str">
        <f>"9780309663212"</f>
        <v>9780309663212</v>
      </c>
      <c r="C11219" s="1" t="s">
        <v>20924</v>
      </c>
      <c r="D11219" s="2">
        <v>39035</v>
      </c>
      <c r="E11219" s="1" t="s">
        <v>22230</v>
      </c>
      <c r="F11219" s="1" t="s">
        <v>13</v>
      </c>
    </row>
    <row r="11220" spans="1:6" ht="30" customHeight="1" x14ac:dyDescent="0.25">
      <c r="A11220" s="1" t="s">
        <v>22231</v>
      </c>
      <c r="B11220" s="1" t="str">
        <f>"9780309666275"</f>
        <v>9780309666275</v>
      </c>
      <c r="C11220" s="1" t="s">
        <v>20924</v>
      </c>
      <c r="D11220" s="2">
        <v>39087</v>
      </c>
      <c r="E11220" s="1" t="s">
        <v>22232</v>
      </c>
      <c r="F11220" s="1" t="s">
        <v>200</v>
      </c>
    </row>
    <row r="11221" spans="1:6" ht="30" customHeight="1" x14ac:dyDescent="0.25">
      <c r="A11221" s="1" t="s">
        <v>22233</v>
      </c>
      <c r="B11221" s="1" t="str">
        <f>"9780309657969"</f>
        <v>9780309657969</v>
      </c>
      <c r="C11221" s="1" t="s">
        <v>20924</v>
      </c>
      <c r="D11221" s="2">
        <v>39073</v>
      </c>
      <c r="E11221" s="1" t="s">
        <v>22234</v>
      </c>
      <c r="F11221" s="1" t="s">
        <v>30</v>
      </c>
    </row>
    <row r="11222" spans="1:6" ht="30" customHeight="1" x14ac:dyDescent="0.25">
      <c r="A11222" s="1" t="s">
        <v>22235</v>
      </c>
      <c r="B11222" s="1" t="str">
        <f>"9780309663519"</f>
        <v>9780309663519</v>
      </c>
      <c r="C11222" s="1" t="s">
        <v>20924</v>
      </c>
      <c r="D11222" s="2">
        <v>38924</v>
      </c>
      <c r="E11222" s="1" t="s">
        <v>22236</v>
      </c>
      <c r="F11222" s="1" t="s">
        <v>95</v>
      </c>
    </row>
    <row r="11223" spans="1:6" ht="30" customHeight="1" x14ac:dyDescent="0.25">
      <c r="A11223" s="1" t="s">
        <v>22237</v>
      </c>
      <c r="B11223" s="1" t="str">
        <f>"9780309549646"</f>
        <v>9780309549646</v>
      </c>
      <c r="C11223" s="1" t="s">
        <v>20924</v>
      </c>
      <c r="D11223" s="2">
        <v>38558</v>
      </c>
      <c r="E11223" s="1" t="s">
        <v>22238</v>
      </c>
      <c r="F11223" s="1" t="s">
        <v>13</v>
      </c>
    </row>
    <row r="11224" spans="1:6" ht="30" customHeight="1" x14ac:dyDescent="0.25">
      <c r="A11224" s="1" t="s">
        <v>22239</v>
      </c>
      <c r="B11224" s="1" t="str">
        <f>"9780309667081"</f>
        <v>9780309667081</v>
      </c>
      <c r="C11224" s="1" t="s">
        <v>20924</v>
      </c>
      <c r="D11224" s="2">
        <v>38476</v>
      </c>
      <c r="E11224" s="1" t="s">
        <v>22240</v>
      </c>
      <c r="F11224" s="1" t="s">
        <v>30</v>
      </c>
    </row>
    <row r="11225" spans="1:6" ht="30" customHeight="1" x14ac:dyDescent="0.25">
      <c r="A11225" s="1" t="s">
        <v>22241</v>
      </c>
      <c r="B11225" s="1" t="str">
        <f>"9780309654067"</f>
        <v>9780309654067</v>
      </c>
      <c r="C11225" s="1" t="s">
        <v>20924</v>
      </c>
      <c r="D11225" s="2">
        <v>38615</v>
      </c>
      <c r="E11225" s="1" t="s">
        <v>22242</v>
      </c>
      <c r="F11225" s="1" t="s">
        <v>30</v>
      </c>
    </row>
    <row r="11226" spans="1:6" ht="30" customHeight="1" x14ac:dyDescent="0.25">
      <c r="A11226" s="1" t="s">
        <v>22243</v>
      </c>
      <c r="B11226" s="1" t="str">
        <f>"9780309550031"</f>
        <v>9780309550031</v>
      </c>
      <c r="C11226" s="1" t="s">
        <v>20924</v>
      </c>
      <c r="D11226" s="2">
        <v>38622</v>
      </c>
      <c r="E11226" s="1" t="s">
        <v>22244</v>
      </c>
      <c r="F11226" s="1" t="s">
        <v>13</v>
      </c>
    </row>
    <row r="11227" spans="1:6" ht="30" customHeight="1" x14ac:dyDescent="0.25">
      <c r="A11227" s="1" t="s">
        <v>22245</v>
      </c>
      <c r="B11227" s="1" t="str">
        <f>"9780309657303"</f>
        <v>9780309657303</v>
      </c>
      <c r="C11227" s="1" t="s">
        <v>20924</v>
      </c>
      <c r="D11227" s="2">
        <v>38855</v>
      </c>
      <c r="E11227" s="1" t="s">
        <v>22246</v>
      </c>
      <c r="F11227" s="1" t="s">
        <v>33</v>
      </c>
    </row>
    <row r="11228" spans="1:6" ht="30" customHeight="1" x14ac:dyDescent="0.25">
      <c r="A11228" s="1" t="s">
        <v>22247</v>
      </c>
      <c r="B11228" s="1" t="str">
        <f>"9780309665469"</f>
        <v>9780309665469</v>
      </c>
      <c r="C11228" s="1" t="s">
        <v>20924</v>
      </c>
      <c r="D11228" s="2">
        <v>39091</v>
      </c>
      <c r="E11228" s="1" t="s">
        <v>22248</v>
      </c>
      <c r="F11228" s="1" t="s">
        <v>33</v>
      </c>
    </row>
    <row r="11229" spans="1:6" ht="30" customHeight="1" x14ac:dyDescent="0.25">
      <c r="A11229" s="1" t="s">
        <v>22249</v>
      </c>
      <c r="B11229" s="1" t="str">
        <f>"9780309548625"</f>
        <v>9780309548625</v>
      </c>
      <c r="C11229" s="1" t="s">
        <v>20924</v>
      </c>
      <c r="D11229" s="2">
        <v>38651</v>
      </c>
      <c r="E11229" s="1" t="s">
        <v>22250</v>
      </c>
      <c r="F11229" s="1" t="s">
        <v>13165</v>
      </c>
    </row>
    <row r="11230" spans="1:6" ht="30" customHeight="1" x14ac:dyDescent="0.25">
      <c r="A11230" s="1" t="s">
        <v>22251</v>
      </c>
      <c r="B11230" s="1" t="str">
        <f>"9780309546133"</f>
        <v>9780309546133</v>
      </c>
      <c r="C11230" s="1" t="s">
        <v>20924</v>
      </c>
      <c r="D11230" s="2">
        <v>38546</v>
      </c>
      <c r="E11230" s="1" t="s">
        <v>22252</v>
      </c>
      <c r="F11230" s="1" t="s">
        <v>13</v>
      </c>
    </row>
    <row r="11231" spans="1:6" ht="30" customHeight="1" x14ac:dyDescent="0.25">
      <c r="A11231" s="1" t="s">
        <v>22253</v>
      </c>
      <c r="B11231" s="1" t="str">
        <f>"9780309548595"</f>
        <v>9780309548595</v>
      </c>
      <c r="C11231" s="1" t="s">
        <v>20924</v>
      </c>
      <c r="D11231" s="2">
        <v>38560</v>
      </c>
      <c r="E11231" s="1" t="s">
        <v>22254</v>
      </c>
      <c r="F11231" s="1" t="s">
        <v>13</v>
      </c>
    </row>
    <row r="11232" spans="1:6" ht="30" customHeight="1" x14ac:dyDescent="0.25">
      <c r="A11232" s="1" t="s">
        <v>22255</v>
      </c>
      <c r="B11232" s="1" t="str">
        <f>"9780309667029"</f>
        <v>9780309667029</v>
      </c>
      <c r="C11232" s="1" t="s">
        <v>20924</v>
      </c>
      <c r="D11232" s="2">
        <v>39121</v>
      </c>
      <c r="E11232" s="1" t="s">
        <v>22256</v>
      </c>
      <c r="F11232" s="1" t="s">
        <v>30</v>
      </c>
    </row>
    <row r="11233" spans="1:6" ht="30" customHeight="1" x14ac:dyDescent="0.25">
      <c r="A11233" s="1" t="s">
        <v>22257</v>
      </c>
      <c r="B11233" s="1" t="str">
        <f>"9780309660815"</f>
        <v>9780309660815</v>
      </c>
      <c r="C11233" s="1" t="s">
        <v>20924</v>
      </c>
      <c r="D11233" s="2">
        <v>38973</v>
      </c>
      <c r="E11233" s="1" t="s">
        <v>22258</v>
      </c>
      <c r="F11233" s="1" t="s">
        <v>13</v>
      </c>
    </row>
    <row r="11234" spans="1:6" ht="30" customHeight="1" x14ac:dyDescent="0.25">
      <c r="A11234" s="1" t="s">
        <v>22259</v>
      </c>
      <c r="B11234" s="1" t="str">
        <f>"9780309667111"</f>
        <v>9780309667111</v>
      </c>
      <c r="C11234" s="1" t="s">
        <v>20924</v>
      </c>
      <c r="D11234" s="2">
        <v>39168</v>
      </c>
      <c r="E11234" s="1" t="s">
        <v>22260</v>
      </c>
      <c r="F11234" s="1" t="s">
        <v>13</v>
      </c>
    </row>
    <row r="11235" spans="1:6" ht="30" customHeight="1" x14ac:dyDescent="0.25">
      <c r="A11235" s="1" t="s">
        <v>22261</v>
      </c>
      <c r="B11235" s="1" t="str">
        <f>"9780309661201"</f>
        <v>9780309661201</v>
      </c>
      <c r="C11235" s="1" t="s">
        <v>20924</v>
      </c>
      <c r="D11235" s="2">
        <v>39150</v>
      </c>
      <c r="E11235" s="1" t="s">
        <v>22262</v>
      </c>
      <c r="F11235" s="1" t="s">
        <v>30</v>
      </c>
    </row>
    <row r="11236" spans="1:6" ht="30" customHeight="1" x14ac:dyDescent="0.25">
      <c r="A11236" s="1" t="s">
        <v>22263</v>
      </c>
      <c r="B11236" s="1" t="str">
        <f>"9780309668255"</f>
        <v>9780309668255</v>
      </c>
      <c r="C11236" s="1" t="s">
        <v>20924</v>
      </c>
      <c r="D11236" s="2">
        <v>39169</v>
      </c>
      <c r="E11236" s="1" t="s">
        <v>22264</v>
      </c>
      <c r="F11236" s="1" t="s">
        <v>176</v>
      </c>
    </row>
    <row r="11237" spans="1:6" ht="30" customHeight="1" x14ac:dyDescent="0.25">
      <c r="A11237" s="1" t="s">
        <v>22265</v>
      </c>
      <c r="B11237" s="1" t="str">
        <f>"9780309665971"</f>
        <v>9780309665971</v>
      </c>
      <c r="C11237" s="1" t="s">
        <v>20924</v>
      </c>
      <c r="D11237" s="2">
        <v>39140</v>
      </c>
      <c r="E11237" s="1" t="s">
        <v>22266</v>
      </c>
      <c r="F11237" s="1" t="s">
        <v>95</v>
      </c>
    </row>
    <row r="11238" spans="1:6" ht="30" customHeight="1" x14ac:dyDescent="0.25">
      <c r="A11238" s="1" t="s">
        <v>22267</v>
      </c>
      <c r="B11238" s="1" t="str">
        <f>"9780309106009"</f>
        <v>9780309106009</v>
      </c>
      <c r="C11238" s="1" t="s">
        <v>20924</v>
      </c>
      <c r="D11238" s="2">
        <v>39112</v>
      </c>
      <c r="E11238" s="1" t="s">
        <v>22268</v>
      </c>
      <c r="F11238" s="1" t="s">
        <v>13</v>
      </c>
    </row>
    <row r="11239" spans="1:6" ht="30" customHeight="1" x14ac:dyDescent="0.25">
      <c r="A11239" s="1" t="s">
        <v>22269</v>
      </c>
      <c r="B11239" s="1" t="str">
        <f>"9780309668736"</f>
        <v>9780309668736</v>
      </c>
      <c r="C11239" s="1" t="s">
        <v>20924</v>
      </c>
      <c r="D11239" s="2">
        <v>39161</v>
      </c>
      <c r="E11239" s="1" t="s">
        <v>22270</v>
      </c>
      <c r="F11239" s="1" t="s">
        <v>13</v>
      </c>
    </row>
    <row r="11240" spans="1:6" ht="30" customHeight="1" x14ac:dyDescent="0.25">
      <c r="A11240" s="1" t="s">
        <v>22271</v>
      </c>
      <c r="B11240" s="1" t="str">
        <f>"9780309668378"</f>
        <v>9780309668378</v>
      </c>
      <c r="C11240" s="1" t="s">
        <v>20924</v>
      </c>
      <c r="D11240" s="2">
        <v>39149</v>
      </c>
      <c r="E11240" s="1" t="s">
        <v>22272</v>
      </c>
      <c r="F11240" s="1" t="s">
        <v>20160</v>
      </c>
    </row>
    <row r="11241" spans="1:6" ht="30" customHeight="1" x14ac:dyDescent="0.25">
      <c r="A11241" s="1" t="s">
        <v>22273</v>
      </c>
      <c r="B11241" s="1" t="str">
        <f>"9780309667777"</f>
        <v>9780309667777</v>
      </c>
      <c r="C11241" s="1" t="s">
        <v>20924</v>
      </c>
      <c r="D11241" s="2">
        <v>39155</v>
      </c>
      <c r="E11241" s="1" t="s">
        <v>22274</v>
      </c>
      <c r="F11241" s="1" t="s">
        <v>95</v>
      </c>
    </row>
    <row r="11242" spans="1:6" ht="30" customHeight="1" x14ac:dyDescent="0.25">
      <c r="A11242" s="1" t="s">
        <v>22275</v>
      </c>
      <c r="B11242" s="1" t="str">
        <f>"9780309667593"</f>
        <v>9780309667593</v>
      </c>
      <c r="C11242" s="1" t="s">
        <v>20924</v>
      </c>
      <c r="D11242" s="2">
        <v>39134</v>
      </c>
      <c r="E11242" s="1" t="s">
        <v>22276</v>
      </c>
      <c r="F11242" s="1" t="s">
        <v>87</v>
      </c>
    </row>
    <row r="11243" spans="1:6" ht="30" customHeight="1" x14ac:dyDescent="0.25">
      <c r="A11243" s="1" t="s">
        <v>21433</v>
      </c>
      <c r="B11243" s="1" t="str">
        <f>"9780309666879"</f>
        <v>9780309666879</v>
      </c>
      <c r="C11243" s="1" t="s">
        <v>20924</v>
      </c>
      <c r="D11243" s="2">
        <v>38767</v>
      </c>
      <c r="E11243" s="1" t="s">
        <v>22277</v>
      </c>
      <c r="F11243" s="1" t="s">
        <v>70</v>
      </c>
    </row>
    <row r="11244" spans="1:6" ht="30" customHeight="1" x14ac:dyDescent="0.25">
      <c r="A11244" s="1" t="s">
        <v>22278</v>
      </c>
      <c r="B11244" s="1" t="str">
        <f>"9780309658980"</f>
        <v>9780309658980</v>
      </c>
      <c r="C11244" s="1" t="s">
        <v>20924</v>
      </c>
      <c r="D11244" s="2">
        <v>38911</v>
      </c>
      <c r="E11244" s="1" t="s">
        <v>22279</v>
      </c>
      <c r="F11244" s="1" t="s">
        <v>13</v>
      </c>
    </row>
    <row r="11245" spans="1:6" ht="30" customHeight="1" x14ac:dyDescent="0.25">
      <c r="A11245" s="1" t="s">
        <v>22280</v>
      </c>
      <c r="B11245" s="1" t="str">
        <f>"9780309107884"</f>
        <v>9780309107884</v>
      </c>
      <c r="C11245" s="1" t="s">
        <v>20924</v>
      </c>
      <c r="D11245" s="2">
        <v>39181</v>
      </c>
      <c r="E11245" s="1" t="s">
        <v>22281</v>
      </c>
      <c r="F11245" s="1" t="s">
        <v>95</v>
      </c>
    </row>
    <row r="11246" spans="1:6" ht="30" customHeight="1" x14ac:dyDescent="0.25">
      <c r="A11246" s="1" t="s">
        <v>22282</v>
      </c>
      <c r="B11246" s="1" t="str">
        <f>"9780309668460"</f>
        <v>9780309668460</v>
      </c>
      <c r="C11246" s="1" t="s">
        <v>20924</v>
      </c>
      <c r="D11246" s="2">
        <v>39211</v>
      </c>
      <c r="E11246" s="1" t="s">
        <v>22283</v>
      </c>
      <c r="F11246" s="1" t="s">
        <v>30</v>
      </c>
    </row>
    <row r="11247" spans="1:6" ht="30" customHeight="1" x14ac:dyDescent="0.25">
      <c r="A11247" s="1" t="s">
        <v>22284</v>
      </c>
      <c r="B11247" s="1" t="str">
        <f>"9780309667449"</f>
        <v>9780309667449</v>
      </c>
      <c r="C11247" s="1" t="s">
        <v>20924</v>
      </c>
      <c r="D11247" s="2">
        <v>39203</v>
      </c>
      <c r="E11247" s="1" t="s">
        <v>22285</v>
      </c>
      <c r="F11247" s="1" t="s">
        <v>4434</v>
      </c>
    </row>
    <row r="11248" spans="1:6" ht="30" customHeight="1" x14ac:dyDescent="0.25">
      <c r="A11248" s="1" t="s">
        <v>22286</v>
      </c>
      <c r="B11248" s="1" t="str">
        <f>"9780309659642"</f>
        <v>9780309659642</v>
      </c>
      <c r="C11248" s="1" t="s">
        <v>20924</v>
      </c>
      <c r="D11248" s="2">
        <v>38882</v>
      </c>
      <c r="E11248" s="1" t="s">
        <v>22287</v>
      </c>
      <c r="F11248" s="1" t="s">
        <v>13</v>
      </c>
    </row>
    <row r="11249" spans="1:6" ht="30" customHeight="1" x14ac:dyDescent="0.25">
      <c r="A11249" s="1" t="s">
        <v>22288</v>
      </c>
      <c r="B11249" s="1" t="str">
        <f>"9780309659703"</f>
        <v>9780309659703</v>
      </c>
      <c r="C11249" s="1" t="s">
        <v>20924</v>
      </c>
      <c r="D11249" s="2">
        <v>38882</v>
      </c>
      <c r="E11249" s="1" t="s">
        <v>22287</v>
      </c>
      <c r="F11249" s="1" t="s">
        <v>95</v>
      </c>
    </row>
    <row r="11250" spans="1:6" ht="30" customHeight="1" x14ac:dyDescent="0.25">
      <c r="A11250" s="1" t="s">
        <v>22289</v>
      </c>
      <c r="B11250" s="1" t="str">
        <f>"9780309667050"</f>
        <v>9780309667050</v>
      </c>
      <c r="C11250" s="1" t="s">
        <v>20924</v>
      </c>
      <c r="D11250" s="2">
        <v>39216</v>
      </c>
      <c r="E11250" s="1" t="s">
        <v>22290</v>
      </c>
      <c r="F11250" s="1" t="s">
        <v>95</v>
      </c>
    </row>
    <row r="11251" spans="1:6" ht="30" customHeight="1" x14ac:dyDescent="0.25">
      <c r="A11251" s="1" t="s">
        <v>22291</v>
      </c>
      <c r="B11251" s="1" t="str">
        <f>"9780309663304"</f>
        <v>9780309663304</v>
      </c>
      <c r="C11251" s="1" t="s">
        <v>20924</v>
      </c>
      <c r="D11251" s="2">
        <v>39182</v>
      </c>
      <c r="E11251" s="1" t="s">
        <v>22292</v>
      </c>
      <c r="F11251" s="1" t="s">
        <v>11995</v>
      </c>
    </row>
    <row r="11252" spans="1:6" ht="30" customHeight="1" x14ac:dyDescent="0.25">
      <c r="A11252" s="1" t="s">
        <v>22293</v>
      </c>
      <c r="B11252" s="1" t="str">
        <f>"9780309106870"</f>
        <v>9780309106870</v>
      </c>
      <c r="C11252" s="1" t="s">
        <v>20924</v>
      </c>
      <c r="D11252" s="2">
        <v>39234</v>
      </c>
      <c r="E11252" s="1" t="s">
        <v>22294</v>
      </c>
      <c r="F11252" s="1" t="s">
        <v>13</v>
      </c>
    </row>
    <row r="11253" spans="1:6" ht="30" customHeight="1" x14ac:dyDescent="0.25">
      <c r="A11253" s="1" t="s">
        <v>22295</v>
      </c>
      <c r="B11253" s="1" t="str">
        <f>"9780309105934"</f>
        <v>9780309105934</v>
      </c>
      <c r="C11253" s="1" t="s">
        <v>20924</v>
      </c>
      <c r="D11253" s="2">
        <v>39247</v>
      </c>
      <c r="E11253" s="1" t="s">
        <v>22296</v>
      </c>
      <c r="F11253" s="1" t="s">
        <v>16330</v>
      </c>
    </row>
    <row r="11254" spans="1:6" ht="30" customHeight="1" x14ac:dyDescent="0.25">
      <c r="A11254" s="1" t="s">
        <v>22297</v>
      </c>
      <c r="B11254" s="1" t="str">
        <f>"9780309107709"</f>
        <v>9780309107709</v>
      </c>
      <c r="C11254" s="1" t="s">
        <v>20924</v>
      </c>
      <c r="D11254" s="2">
        <v>39241</v>
      </c>
      <c r="E11254" s="1" t="s">
        <v>22298</v>
      </c>
      <c r="F11254" s="1" t="s">
        <v>75</v>
      </c>
    </row>
    <row r="11255" spans="1:6" ht="30" customHeight="1" x14ac:dyDescent="0.25">
      <c r="A11255" s="1" t="s">
        <v>22299</v>
      </c>
      <c r="B11255" s="1" t="str">
        <f>"9780309659673"</f>
        <v>9780309659673</v>
      </c>
      <c r="C11255" s="1" t="s">
        <v>20924</v>
      </c>
      <c r="D11255" s="2">
        <v>39052</v>
      </c>
      <c r="E11255" s="1" t="s">
        <v>22287</v>
      </c>
      <c r="F11255" s="1" t="s">
        <v>30</v>
      </c>
    </row>
    <row r="11256" spans="1:6" ht="30" customHeight="1" x14ac:dyDescent="0.25">
      <c r="A11256" s="1" t="s">
        <v>22300</v>
      </c>
      <c r="B11256" s="1" t="str">
        <f>"9780309669542"</f>
        <v>9780309669542</v>
      </c>
      <c r="C11256" s="1" t="s">
        <v>20924</v>
      </c>
      <c r="D11256" s="2">
        <v>39246</v>
      </c>
      <c r="E11256" s="1" t="s">
        <v>22301</v>
      </c>
      <c r="F11256" s="1" t="s">
        <v>95</v>
      </c>
    </row>
    <row r="11257" spans="1:6" ht="30" customHeight="1" x14ac:dyDescent="0.25">
      <c r="A11257" s="1" t="s">
        <v>22302</v>
      </c>
      <c r="B11257" s="1" t="str">
        <f>"9780309669214"</f>
        <v>9780309669214</v>
      </c>
      <c r="C11257" s="1" t="s">
        <v>20924</v>
      </c>
      <c r="D11257" s="2">
        <v>39261</v>
      </c>
      <c r="E11257" s="1" t="s">
        <v>22303</v>
      </c>
      <c r="F11257" s="1" t="s">
        <v>22304</v>
      </c>
    </row>
    <row r="11258" spans="1:6" ht="30" customHeight="1" x14ac:dyDescent="0.25">
      <c r="A11258" s="1" t="s">
        <v>22305</v>
      </c>
      <c r="B11258" s="1" t="str">
        <f>"9780309660907"</f>
        <v>9780309660907</v>
      </c>
      <c r="C11258" s="1" t="s">
        <v>20924</v>
      </c>
      <c r="D11258" s="2">
        <v>39232</v>
      </c>
      <c r="E11258" s="1" t="s">
        <v>22306</v>
      </c>
      <c r="F11258" s="1" t="s">
        <v>10335</v>
      </c>
    </row>
    <row r="11259" spans="1:6" ht="30" customHeight="1" x14ac:dyDescent="0.25">
      <c r="A11259" s="1" t="s">
        <v>22307</v>
      </c>
      <c r="B11259" s="1" t="str">
        <f>"9780309110686"</f>
        <v>9780309110686</v>
      </c>
      <c r="C11259" s="1" t="s">
        <v>20924</v>
      </c>
      <c r="D11259" s="2">
        <v>39336</v>
      </c>
      <c r="E11259" s="1" t="s">
        <v>22308</v>
      </c>
      <c r="F11259" s="1" t="s">
        <v>13</v>
      </c>
    </row>
    <row r="11260" spans="1:6" ht="30" customHeight="1" x14ac:dyDescent="0.25">
      <c r="A11260" s="1" t="s">
        <v>22309</v>
      </c>
      <c r="B11260" s="1" t="str">
        <f>"9780309107396"</f>
        <v>9780309107396</v>
      </c>
      <c r="C11260" s="1" t="s">
        <v>22310</v>
      </c>
      <c r="D11260" s="2">
        <v>39308</v>
      </c>
      <c r="E11260" s="1" t="s">
        <v>22311</v>
      </c>
      <c r="F11260" s="1" t="s">
        <v>137</v>
      </c>
    </row>
    <row r="11261" spans="1:6" ht="30" customHeight="1" x14ac:dyDescent="0.25">
      <c r="A11261" s="1" t="s">
        <v>22312</v>
      </c>
      <c r="B11261" s="1" t="str">
        <f>"9780309106320"</f>
        <v>9780309106320</v>
      </c>
      <c r="C11261" s="1" t="s">
        <v>20924</v>
      </c>
      <c r="D11261" s="2">
        <v>39263</v>
      </c>
      <c r="E11261" s="1" t="s">
        <v>22313</v>
      </c>
      <c r="F11261" s="1" t="s">
        <v>7829</v>
      </c>
    </row>
    <row r="11262" spans="1:6" ht="30" customHeight="1" x14ac:dyDescent="0.25">
      <c r="A11262" s="1" t="s">
        <v>22314</v>
      </c>
      <c r="B11262" s="1" t="str">
        <f>"9780309105538"</f>
        <v>9780309105538</v>
      </c>
      <c r="C11262" s="1" t="s">
        <v>22310</v>
      </c>
      <c r="D11262" s="2">
        <v>39288</v>
      </c>
      <c r="E11262" s="1" t="s">
        <v>22315</v>
      </c>
      <c r="F11262" s="1" t="s">
        <v>214</v>
      </c>
    </row>
    <row r="11263" spans="1:6" ht="30" customHeight="1" x14ac:dyDescent="0.25">
      <c r="A11263" s="1" t="s">
        <v>22316</v>
      </c>
      <c r="B11263" s="1" t="str">
        <f>"9780309108027"</f>
        <v>9780309108027</v>
      </c>
      <c r="C11263" s="1" t="s">
        <v>22310</v>
      </c>
      <c r="D11263" s="2">
        <v>39308</v>
      </c>
      <c r="E11263" s="1" t="s">
        <v>22317</v>
      </c>
      <c r="F11263" s="1" t="s">
        <v>395</v>
      </c>
    </row>
    <row r="11264" spans="1:6" ht="30" customHeight="1" x14ac:dyDescent="0.25">
      <c r="A11264" s="1" t="s">
        <v>22318</v>
      </c>
      <c r="B11264" s="1" t="str">
        <f>"9780309107617"</f>
        <v>9780309107617</v>
      </c>
      <c r="C11264" s="1" t="s">
        <v>22310</v>
      </c>
      <c r="D11264" s="2">
        <v>39303</v>
      </c>
      <c r="E11264" s="1" t="s">
        <v>22319</v>
      </c>
      <c r="F11264" s="1" t="s">
        <v>30</v>
      </c>
    </row>
    <row r="11265" spans="1:6" ht="30" customHeight="1" x14ac:dyDescent="0.25">
      <c r="A11265" s="1" t="s">
        <v>22320</v>
      </c>
      <c r="B11265" s="1" t="str">
        <f>"9780309109932"</f>
        <v>9780309109932</v>
      </c>
      <c r="C11265" s="1" t="s">
        <v>20924</v>
      </c>
      <c r="D11265" s="2">
        <v>39417</v>
      </c>
      <c r="E11265" s="1" t="s">
        <v>22321</v>
      </c>
      <c r="F11265" s="1" t="s">
        <v>148</v>
      </c>
    </row>
    <row r="11266" spans="1:6" ht="30" customHeight="1" x14ac:dyDescent="0.25">
      <c r="A11266" s="1" t="s">
        <v>22322</v>
      </c>
      <c r="B11266" s="1" t="str">
        <f>"9780309668767"</f>
        <v>9780309668767</v>
      </c>
      <c r="C11266" s="1" t="s">
        <v>20924</v>
      </c>
      <c r="D11266" s="2">
        <v>39188</v>
      </c>
      <c r="E11266" s="1" t="s">
        <v>22323</v>
      </c>
      <c r="F11266" s="1" t="s">
        <v>87</v>
      </c>
    </row>
    <row r="11267" spans="1:6" ht="30" customHeight="1" x14ac:dyDescent="0.25">
      <c r="A11267" s="1" t="s">
        <v>22324</v>
      </c>
      <c r="B11267" s="1" t="str">
        <f>"9780309111157"</f>
        <v>9780309111157</v>
      </c>
      <c r="C11267" s="1" t="s">
        <v>20924</v>
      </c>
      <c r="D11267" s="2">
        <v>39366</v>
      </c>
      <c r="E11267" s="1" t="s">
        <v>22325</v>
      </c>
      <c r="F11267" s="1" t="s">
        <v>95</v>
      </c>
    </row>
    <row r="11268" spans="1:6" ht="30" customHeight="1" x14ac:dyDescent="0.25">
      <c r="A11268" s="1" t="s">
        <v>22326</v>
      </c>
      <c r="B11268" s="1" t="str">
        <f>"9780309109871"</f>
        <v>9780309109871</v>
      </c>
      <c r="C11268" s="1" t="s">
        <v>20924</v>
      </c>
      <c r="D11268" s="2">
        <v>39357</v>
      </c>
      <c r="E11268" s="1" t="s">
        <v>22327</v>
      </c>
      <c r="F11268" s="1" t="s">
        <v>137</v>
      </c>
    </row>
    <row r="11269" spans="1:6" ht="30" customHeight="1" x14ac:dyDescent="0.25">
      <c r="A11269" s="1" t="s">
        <v>22328</v>
      </c>
      <c r="B11269" s="1" t="str">
        <f>"9780309111683"</f>
        <v>9780309111683</v>
      </c>
      <c r="C11269" s="1" t="s">
        <v>20924</v>
      </c>
      <c r="D11269" s="2">
        <v>39365</v>
      </c>
      <c r="E11269" s="1" t="s">
        <v>22329</v>
      </c>
      <c r="F11269" s="1" t="s">
        <v>158</v>
      </c>
    </row>
    <row r="11270" spans="1:6" ht="30" customHeight="1" x14ac:dyDescent="0.25">
      <c r="A11270" s="1" t="s">
        <v>22330</v>
      </c>
      <c r="B11270" s="1" t="str">
        <f>"9780309111591"</f>
        <v>9780309111591</v>
      </c>
      <c r="C11270" s="1" t="s">
        <v>20924</v>
      </c>
      <c r="D11270" s="2">
        <v>39357</v>
      </c>
      <c r="E11270" s="1" t="s">
        <v>22331</v>
      </c>
      <c r="F11270" s="1" t="s">
        <v>6734</v>
      </c>
    </row>
    <row r="11271" spans="1:6" ht="30" customHeight="1" x14ac:dyDescent="0.25">
      <c r="A11271" s="1" t="s">
        <v>22332</v>
      </c>
      <c r="B11271" s="1" t="str">
        <f>"9780309110471"</f>
        <v>9780309110471</v>
      </c>
      <c r="C11271" s="1" t="s">
        <v>20924</v>
      </c>
      <c r="D11271" s="2">
        <v>39414</v>
      </c>
      <c r="E11271" s="1" t="s">
        <v>22333</v>
      </c>
      <c r="F11271" s="1" t="s">
        <v>33</v>
      </c>
    </row>
    <row r="11272" spans="1:6" ht="30" customHeight="1" x14ac:dyDescent="0.25">
      <c r="A11272" s="1" t="s">
        <v>22334</v>
      </c>
      <c r="B11272" s="1" t="str">
        <f>"9780309110723"</f>
        <v>9780309110723</v>
      </c>
      <c r="C11272" s="1" t="s">
        <v>20924</v>
      </c>
      <c r="D11272" s="2">
        <v>39356</v>
      </c>
      <c r="E11272" s="1" t="s">
        <v>22335</v>
      </c>
      <c r="F11272" s="1" t="s">
        <v>95</v>
      </c>
    </row>
    <row r="11273" spans="1:6" ht="30" customHeight="1" x14ac:dyDescent="0.25">
      <c r="A11273" s="1" t="s">
        <v>22336</v>
      </c>
      <c r="B11273" s="1" t="str">
        <f>"9780309107099"</f>
        <v>9780309107099</v>
      </c>
      <c r="C11273" s="1" t="s">
        <v>20924</v>
      </c>
      <c r="D11273" s="2">
        <v>39052</v>
      </c>
      <c r="E11273" s="1" t="s">
        <v>22337</v>
      </c>
      <c r="F11273" s="1" t="s">
        <v>33</v>
      </c>
    </row>
    <row r="11274" spans="1:6" ht="30" customHeight="1" x14ac:dyDescent="0.25">
      <c r="A11274" s="1" t="s">
        <v>22338</v>
      </c>
      <c r="B11274" s="1" t="str">
        <f>"9780309108720"</f>
        <v>9780309108720</v>
      </c>
      <c r="C11274" s="1" t="s">
        <v>20924</v>
      </c>
      <c r="D11274" s="2">
        <v>39394</v>
      </c>
      <c r="E11274" s="1" t="s">
        <v>22339</v>
      </c>
      <c r="F11274" s="1" t="s">
        <v>30</v>
      </c>
    </row>
    <row r="11275" spans="1:6" ht="30" customHeight="1" x14ac:dyDescent="0.25">
      <c r="A11275" s="1" t="s">
        <v>22340</v>
      </c>
      <c r="B11275" s="1" t="str">
        <f>"9780309108829"</f>
        <v>9780309108829</v>
      </c>
      <c r="C11275" s="1" t="s">
        <v>22310</v>
      </c>
      <c r="D11275" s="2">
        <v>39490</v>
      </c>
      <c r="E11275" s="1" t="s">
        <v>22341</v>
      </c>
      <c r="F11275" s="1" t="s">
        <v>13</v>
      </c>
    </row>
    <row r="11276" spans="1:6" ht="30" customHeight="1" x14ac:dyDescent="0.25">
      <c r="A11276" s="1" t="s">
        <v>22342</v>
      </c>
      <c r="B11276" s="1" t="str">
        <f>"9780309116145"</f>
        <v>9780309116145</v>
      </c>
      <c r="C11276" s="1" t="s">
        <v>22310</v>
      </c>
      <c r="D11276" s="2">
        <v>39531</v>
      </c>
      <c r="E11276" s="1" t="s">
        <v>22343</v>
      </c>
      <c r="F11276" s="1" t="s">
        <v>95</v>
      </c>
    </row>
    <row r="11277" spans="1:6" ht="30" customHeight="1" x14ac:dyDescent="0.25">
      <c r="A11277" s="1" t="s">
        <v>22344</v>
      </c>
      <c r="B11277" s="1" t="str">
        <f>"9780309110136"</f>
        <v>9780309110136</v>
      </c>
      <c r="C11277" s="1" t="s">
        <v>22310</v>
      </c>
      <c r="D11277" s="2">
        <v>39546</v>
      </c>
      <c r="E11277" s="1" t="s">
        <v>22345</v>
      </c>
      <c r="F11277" s="1" t="s">
        <v>137</v>
      </c>
    </row>
    <row r="11278" spans="1:6" ht="30" customHeight="1" x14ac:dyDescent="0.25">
      <c r="A11278" s="1" t="s">
        <v>22346</v>
      </c>
      <c r="B11278" s="1" t="str">
        <f>"9780309115636"</f>
        <v>9780309115636</v>
      </c>
      <c r="C11278" s="1" t="s">
        <v>22310</v>
      </c>
      <c r="D11278" s="2">
        <v>39519</v>
      </c>
      <c r="E11278" s="1" t="s">
        <v>22347</v>
      </c>
      <c r="F11278" s="1" t="s">
        <v>1152</v>
      </c>
    </row>
    <row r="11279" spans="1:6" ht="30" customHeight="1" x14ac:dyDescent="0.25">
      <c r="A11279" s="1" t="s">
        <v>22348</v>
      </c>
      <c r="B11279" s="1" t="str">
        <f>"9780309108904"</f>
        <v>9780309108904</v>
      </c>
      <c r="C11279" s="1" t="s">
        <v>22310</v>
      </c>
      <c r="D11279" s="2">
        <v>39455</v>
      </c>
      <c r="E11279" s="1" t="s">
        <v>22349</v>
      </c>
      <c r="F11279" s="1" t="s">
        <v>13</v>
      </c>
    </row>
    <row r="11280" spans="1:6" ht="30" customHeight="1" x14ac:dyDescent="0.25">
      <c r="A11280" s="1" t="s">
        <v>22350</v>
      </c>
      <c r="B11280" s="1" t="str">
        <f>"9780309111089"</f>
        <v>9780309111089</v>
      </c>
      <c r="C11280" s="1" t="s">
        <v>22310</v>
      </c>
      <c r="D11280" s="2">
        <v>39526</v>
      </c>
      <c r="E11280" s="1" t="s">
        <v>22351</v>
      </c>
      <c r="F11280" s="1" t="s">
        <v>30</v>
      </c>
    </row>
    <row r="11281" spans="1:6" ht="30" customHeight="1" x14ac:dyDescent="0.25">
      <c r="A11281" s="1" t="s">
        <v>22352</v>
      </c>
      <c r="B11281" s="1" t="str">
        <f>"9780309114509"</f>
        <v>9780309114509</v>
      </c>
      <c r="C11281" s="1" t="s">
        <v>22310</v>
      </c>
      <c r="D11281" s="2">
        <v>39553</v>
      </c>
      <c r="E11281" s="1" t="s">
        <v>22353</v>
      </c>
      <c r="F11281" s="1" t="s">
        <v>70</v>
      </c>
    </row>
    <row r="11282" spans="1:6" ht="30" customHeight="1" x14ac:dyDescent="0.25">
      <c r="A11282" s="1" t="s">
        <v>22354</v>
      </c>
      <c r="B11282" s="1" t="str">
        <f>"9780309115759"</f>
        <v>9780309115759</v>
      </c>
      <c r="C11282" s="1" t="s">
        <v>20924</v>
      </c>
      <c r="D11282" s="2">
        <v>31017</v>
      </c>
      <c r="E11282" s="1" t="s">
        <v>22355</v>
      </c>
      <c r="F11282" s="1" t="s">
        <v>33</v>
      </c>
    </row>
    <row r="11283" spans="1:6" ht="30" customHeight="1" x14ac:dyDescent="0.25">
      <c r="A11283" s="1" t="s">
        <v>22356</v>
      </c>
      <c r="B11283" s="1" t="str">
        <f>"9780309115308"</f>
        <v>9780309115308</v>
      </c>
      <c r="C11283" s="1" t="s">
        <v>22310</v>
      </c>
      <c r="D11283" s="2">
        <v>39553</v>
      </c>
      <c r="E11283" s="1" t="s">
        <v>22357</v>
      </c>
      <c r="F11283" s="1" t="s">
        <v>137</v>
      </c>
    </row>
    <row r="11284" spans="1:6" ht="30" customHeight="1" x14ac:dyDescent="0.25">
      <c r="A11284" s="1" t="s">
        <v>22358</v>
      </c>
      <c r="B11284" s="1" t="str">
        <f>"9780309659796"</f>
        <v>9780309659796</v>
      </c>
      <c r="C11284" s="1" t="s">
        <v>22310</v>
      </c>
      <c r="D11284" s="2">
        <v>39503</v>
      </c>
      <c r="E11284" s="1" t="s">
        <v>22359</v>
      </c>
      <c r="F11284" s="1" t="s">
        <v>286</v>
      </c>
    </row>
    <row r="11285" spans="1:6" ht="30" customHeight="1" x14ac:dyDescent="0.25">
      <c r="A11285" s="1" t="s">
        <v>22360</v>
      </c>
      <c r="B11285" s="1" t="str">
        <f>"9780309108980"</f>
        <v>9780309108980</v>
      </c>
      <c r="C11285" s="1" t="s">
        <v>22310</v>
      </c>
      <c r="D11285" s="2">
        <v>39525</v>
      </c>
      <c r="E11285" s="1" t="s">
        <v>22361</v>
      </c>
      <c r="F11285" s="1" t="s">
        <v>95</v>
      </c>
    </row>
    <row r="11286" spans="1:6" ht="30" customHeight="1" x14ac:dyDescent="0.25">
      <c r="A11286" s="1" t="s">
        <v>22362</v>
      </c>
      <c r="B11286" s="1" t="str">
        <f>"9780309109277"</f>
        <v>9780309109277</v>
      </c>
      <c r="C11286" s="1" t="s">
        <v>22310</v>
      </c>
      <c r="D11286" s="2">
        <v>39434</v>
      </c>
      <c r="E11286" s="1" t="s">
        <v>22363</v>
      </c>
      <c r="F11286" s="1" t="s">
        <v>13</v>
      </c>
    </row>
    <row r="11287" spans="1:6" ht="30" customHeight="1" x14ac:dyDescent="0.25">
      <c r="A11287" s="1" t="s">
        <v>22364</v>
      </c>
      <c r="B11287" s="1" t="str">
        <f>"9780309116534"</f>
        <v>9780309116534</v>
      </c>
      <c r="C11287" s="1" t="s">
        <v>22310</v>
      </c>
      <c r="D11287" s="2">
        <v>39542</v>
      </c>
      <c r="E11287" s="1" t="s">
        <v>22365</v>
      </c>
      <c r="F11287" s="1" t="s">
        <v>2019</v>
      </c>
    </row>
    <row r="11288" spans="1:6" ht="30" customHeight="1" x14ac:dyDescent="0.25">
      <c r="A11288" s="1" t="s">
        <v>22366</v>
      </c>
      <c r="B11288" s="1" t="str">
        <f>"9780309109987"</f>
        <v>9780309109987</v>
      </c>
      <c r="C11288" s="1" t="s">
        <v>22310</v>
      </c>
      <c r="D11288" s="2">
        <v>39316</v>
      </c>
      <c r="E11288" s="1" t="s">
        <v>22367</v>
      </c>
      <c r="F11288" s="1" t="s">
        <v>13</v>
      </c>
    </row>
    <row r="11289" spans="1:6" ht="30" customHeight="1" x14ac:dyDescent="0.25">
      <c r="A11289" s="1" t="s">
        <v>22368</v>
      </c>
      <c r="B11289" s="1" t="str">
        <f>"9780309108188"</f>
        <v>9780309108188</v>
      </c>
      <c r="C11289" s="1" t="s">
        <v>22310</v>
      </c>
      <c r="D11289" s="2">
        <v>39517</v>
      </c>
      <c r="E11289" s="1" t="s">
        <v>22369</v>
      </c>
      <c r="F11289" s="1" t="s">
        <v>1400</v>
      </c>
    </row>
    <row r="11290" spans="1:6" ht="30" customHeight="1" x14ac:dyDescent="0.25">
      <c r="A11290" s="1" t="s">
        <v>22370</v>
      </c>
      <c r="B11290" s="1" t="str">
        <f>"9780309115407"</f>
        <v>9780309115407</v>
      </c>
      <c r="C11290" s="1" t="s">
        <v>22310</v>
      </c>
      <c r="D11290" s="2">
        <v>39524</v>
      </c>
      <c r="E11290" s="1" t="s">
        <v>21121</v>
      </c>
      <c r="F11290" s="1" t="s">
        <v>148</v>
      </c>
    </row>
    <row r="11291" spans="1:6" ht="30" customHeight="1" x14ac:dyDescent="0.25">
      <c r="A11291" s="1" t="s">
        <v>22371</v>
      </c>
      <c r="B11291" s="1" t="str">
        <f>"9780309113571"</f>
        <v>9780309113571</v>
      </c>
      <c r="C11291" s="1" t="s">
        <v>20924</v>
      </c>
      <c r="D11291" s="2">
        <v>39567</v>
      </c>
      <c r="E11291" s="1" t="s">
        <v>22372</v>
      </c>
      <c r="F11291" s="1" t="s">
        <v>30</v>
      </c>
    </row>
    <row r="11292" spans="1:6" ht="30" customHeight="1" x14ac:dyDescent="0.25">
      <c r="A11292" s="1" t="s">
        <v>22373</v>
      </c>
      <c r="B11292" s="1" t="str">
        <f>"9780309116695"</f>
        <v>9780309116695</v>
      </c>
      <c r="C11292" s="1" t="s">
        <v>20924</v>
      </c>
      <c r="D11292" s="2">
        <v>39580</v>
      </c>
      <c r="E11292" s="1" t="s">
        <v>22374</v>
      </c>
      <c r="F11292" s="1" t="s">
        <v>33</v>
      </c>
    </row>
    <row r="11293" spans="1:6" ht="30" customHeight="1" x14ac:dyDescent="0.25">
      <c r="A11293" s="1" t="s">
        <v>22375</v>
      </c>
      <c r="B11293" s="1" t="str">
        <f>"9780309115605"</f>
        <v>9780309115605</v>
      </c>
      <c r="C11293" s="1" t="s">
        <v>20924</v>
      </c>
      <c r="D11293" s="2">
        <v>39562</v>
      </c>
      <c r="E11293" s="1" t="s">
        <v>22376</v>
      </c>
      <c r="F11293" s="1" t="s">
        <v>95</v>
      </c>
    </row>
    <row r="11294" spans="1:6" ht="30" customHeight="1" x14ac:dyDescent="0.25">
      <c r="A11294" s="1" t="s">
        <v>22377</v>
      </c>
      <c r="B11294" s="1" t="str">
        <f>"9780309121996"</f>
        <v>9780309121996</v>
      </c>
      <c r="C11294" s="1" t="s">
        <v>20924</v>
      </c>
      <c r="D11294" s="2">
        <v>39610</v>
      </c>
      <c r="E11294" s="1" t="s">
        <v>22378</v>
      </c>
      <c r="F11294" s="1" t="s">
        <v>148</v>
      </c>
    </row>
    <row r="11295" spans="1:6" ht="30" customHeight="1" x14ac:dyDescent="0.25">
      <c r="A11295" s="1" t="s">
        <v>22379</v>
      </c>
      <c r="B11295" s="1" t="str">
        <f>"9780309118675"</f>
        <v>9780309118675</v>
      </c>
      <c r="C11295" s="1" t="s">
        <v>20924</v>
      </c>
      <c r="D11295" s="2">
        <v>39610</v>
      </c>
      <c r="E11295" s="1" t="s">
        <v>22380</v>
      </c>
      <c r="F11295" s="1" t="s">
        <v>158</v>
      </c>
    </row>
    <row r="11296" spans="1:6" ht="30" customHeight="1" x14ac:dyDescent="0.25">
      <c r="A11296" s="1" t="s">
        <v>22381</v>
      </c>
      <c r="B11296" s="1" t="str">
        <f>"9780309114318"</f>
        <v>9780309114318</v>
      </c>
      <c r="C11296" s="1" t="s">
        <v>20924</v>
      </c>
      <c r="D11296" s="2">
        <v>39581</v>
      </c>
      <c r="E11296" s="1" t="s">
        <v>22382</v>
      </c>
      <c r="F11296" s="1" t="s">
        <v>30</v>
      </c>
    </row>
    <row r="11297" spans="1:6" ht="30" customHeight="1" x14ac:dyDescent="0.25">
      <c r="A11297" s="1" t="s">
        <v>22383</v>
      </c>
      <c r="B11297" s="1" t="str">
        <f>"9780309107310"</f>
        <v>9780309107310</v>
      </c>
      <c r="C11297" s="1" t="s">
        <v>20924</v>
      </c>
      <c r="D11297" s="2">
        <v>39447</v>
      </c>
      <c r="E11297" s="1" t="s">
        <v>22384</v>
      </c>
      <c r="F11297" s="1" t="s">
        <v>176</v>
      </c>
    </row>
    <row r="11298" spans="1:6" ht="30" customHeight="1" x14ac:dyDescent="0.25">
      <c r="A11298" s="1" t="s">
        <v>22385</v>
      </c>
      <c r="B11298" s="1" t="str">
        <f>"9780309116770"</f>
        <v>9780309116770</v>
      </c>
      <c r="C11298" s="1" t="s">
        <v>20924</v>
      </c>
      <c r="D11298" s="2">
        <v>39617</v>
      </c>
      <c r="E11298" s="1" t="s">
        <v>22386</v>
      </c>
      <c r="F11298" s="1" t="s">
        <v>13</v>
      </c>
    </row>
    <row r="11299" spans="1:6" ht="30" customHeight="1" x14ac:dyDescent="0.25">
      <c r="A11299" s="1" t="s">
        <v>22387</v>
      </c>
      <c r="B11299" s="1" t="str">
        <f>"9780309120579"</f>
        <v>9780309120579</v>
      </c>
      <c r="C11299" s="1" t="s">
        <v>20924</v>
      </c>
      <c r="D11299" s="2">
        <v>39645</v>
      </c>
      <c r="E11299" s="1" t="s">
        <v>22388</v>
      </c>
      <c r="F11299" s="1" t="s">
        <v>356</v>
      </c>
    </row>
    <row r="11300" spans="1:6" ht="30" customHeight="1" x14ac:dyDescent="0.25">
      <c r="A11300" s="1" t="s">
        <v>22389</v>
      </c>
      <c r="B11300" s="1" t="str">
        <f>"9780309116916"</f>
        <v>9780309116916</v>
      </c>
      <c r="C11300" s="1" t="s">
        <v>20924</v>
      </c>
      <c r="D11300" s="2">
        <v>39612</v>
      </c>
      <c r="E11300" s="1" t="s">
        <v>22390</v>
      </c>
      <c r="F11300" s="1" t="s">
        <v>30</v>
      </c>
    </row>
    <row r="11301" spans="1:6" ht="30" customHeight="1" x14ac:dyDescent="0.25">
      <c r="A11301" s="1" t="s">
        <v>22391</v>
      </c>
      <c r="B11301" s="1" t="str">
        <f>"9780309118743"</f>
        <v>9780309118743</v>
      </c>
      <c r="C11301" s="1" t="s">
        <v>20924</v>
      </c>
      <c r="D11301" s="2">
        <v>39636</v>
      </c>
      <c r="E11301" s="1" t="s">
        <v>22392</v>
      </c>
      <c r="F11301" s="1" t="s">
        <v>13</v>
      </c>
    </row>
    <row r="11302" spans="1:6" ht="30" customHeight="1" x14ac:dyDescent="0.25">
      <c r="A11302" s="1" t="s">
        <v>22393</v>
      </c>
      <c r="B11302" s="1" t="str">
        <f>"9780309117050"</f>
        <v>9780309117050</v>
      </c>
      <c r="C11302" s="1" t="s">
        <v>20924</v>
      </c>
      <c r="D11302" s="2">
        <v>39616</v>
      </c>
      <c r="E11302" s="1" t="s">
        <v>22394</v>
      </c>
      <c r="F11302" s="1" t="s">
        <v>63</v>
      </c>
    </row>
    <row r="11303" spans="1:6" ht="30" customHeight="1" x14ac:dyDescent="0.25">
      <c r="A11303" s="1" t="s">
        <v>22395</v>
      </c>
      <c r="B11303" s="1" t="str">
        <f>"9780309113700"</f>
        <v>9780309113700</v>
      </c>
      <c r="C11303" s="1" t="s">
        <v>20924</v>
      </c>
      <c r="D11303" s="2">
        <v>39666</v>
      </c>
      <c r="E11303" s="1" t="s">
        <v>22396</v>
      </c>
      <c r="F11303" s="1" t="s">
        <v>13</v>
      </c>
    </row>
    <row r="11304" spans="1:6" ht="30" customHeight="1" x14ac:dyDescent="0.25">
      <c r="A11304" s="1" t="s">
        <v>22397</v>
      </c>
      <c r="B11304" s="1" t="str">
        <f>"9780309119207"</f>
        <v>9780309119207</v>
      </c>
      <c r="C11304" s="1" t="s">
        <v>20924</v>
      </c>
      <c r="D11304" s="2">
        <v>39720</v>
      </c>
      <c r="E11304" s="1" t="s">
        <v>22398</v>
      </c>
      <c r="F11304" s="1" t="s">
        <v>286</v>
      </c>
    </row>
    <row r="11305" spans="1:6" ht="30" customHeight="1" x14ac:dyDescent="0.25">
      <c r="A11305" s="1" t="s">
        <v>21433</v>
      </c>
      <c r="B11305" s="1" t="str">
        <f>"9780309112147"</f>
        <v>9780309112147</v>
      </c>
      <c r="C11305" s="1" t="s">
        <v>20924</v>
      </c>
      <c r="D11305" s="2">
        <v>39447</v>
      </c>
      <c r="E11305" s="1" t="s">
        <v>22399</v>
      </c>
      <c r="F11305" s="1" t="s">
        <v>33</v>
      </c>
    </row>
    <row r="11306" spans="1:6" ht="30" customHeight="1" x14ac:dyDescent="0.25">
      <c r="A11306" s="1" t="s">
        <v>22400</v>
      </c>
      <c r="B11306" s="1" t="str">
        <f>"9780309116732"</f>
        <v>9780309116732</v>
      </c>
      <c r="C11306" s="1" t="s">
        <v>20924</v>
      </c>
      <c r="D11306" s="2">
        <v>39696</v>
      </c>
      <c r="E11306" s="1" t="s">
        <v>22401</v>
      </c>
      <c r="F11306" s="1" t="s">
        <v>30</v>
      </c>
    </row>
    <row r="11307" spans="1:6" ht="30" customHeight="1" x14ac:dyDescent="0.25">
      <c r="A11307" s="1" t="s">
        <v>22402</v>
      </c>
      <c r="B11307" s="1" t="str">
        <f>"9780309125338"</f>
        <v>9780309125338</v>
      </c>
      <c r="C11307" s="1" t="s">
        <v>20924</v>
      </c>
      <c r="D11307" s="2">
        <v>39720</v>
      </c>
      <c r="E11307" s="1" t="s">
        <v>22403</v>
      </c>
      <c r="F11307" s="1" t="s">
        <v>214</v>
      </c>
    </row>
    <row r="11308" spans="1:6" ht="30" customHeight="1" x14ac:dyDescent="0.25">
      <c r="A11308" s="1" t="s">
        <v>22404</v>
      </c>
      <c r="B11308" s="1" t="str">
        <f>"9780309120074"</f>
        <v>9780309120074</v>
      </c>
      <c r="C11308" s="1" t="s">
        <v>20924</v>
      </c>
      <c r="D11308" s="2">
        <v>39702</v>
      </c>
      <c r="E11308" s="1" t="s">
        <v>22398</v>
      </c>
      <c r="F11308" s="1" t="s">
        <v>176</v>
      </c>
    </row>
    <row r="11309" spans="1:6" ht="30" customHeight="1" x14ac:dyDescent="0.25">
      <c r="A11309" s="1" t="s">
        <v>22405</v>
      </c>
      <c r="B11309" s="1" t="str">
        <f>"9780309107433"</f>
        <v>9780309107433</v>
      </c>
      <c r="C11309" s="1" t="s">
        <v>20924</v>
      </c>
      <c r="D11309" s="2">
        <v>39672</v>
      </c>
      <c r="E11309" s="1" t="s">
        <v>22406</v>
      </c>
      <c r="F11309" s="1" t="s">
        <v>137</v>
      </c>
    </row>
    <row r="11310" spans="1:6" ht="30" customHeight="1" x14ac:dyDescent="0.25">
      <c r="A11310" s="1" t="s">
        <v>22407</v>
      </c>
      <c r="B11310" s="1" t="str">
        <f>"9780309115889"</f>
        <v>9780309115889</v>
      </c>
      <c r="C11310" s="1" t="s">
        <v>20924</v>
      </c>
      <c r="D11310" s="2">
        <v>39687</v>
      </c>
      <c r="E11310" s="1" t="s">
        <v>22408</v>
      </c>
      <c r="F11310" s="1" t="s">
        <v>70</v>
      </c>
    </row>
    <row r="11311" spans="1:6" ht="30" customHeight="1" x14ac:dyDescent="0.25">
      <c r="A11311" s="1" t="s">
        <v>22409</v>
      </c>
      <c r="B11311" s="1" t="str">
        <f>"9780309120975"</f>
        <v>9780309120975</v>
      </c>
      <c r="C11311" s="1" t="s">
        <v>20924</v>
      </c>
      <c r="D11311" s="2">
        <v>39724</v>
      </c>
      <c r="E11311" s="1" t="s">
        <v>22410</v>
      </c>
      <c r="F11311" s="1" t="s">
        <v>95</v>
      </c>
    </row>
    <row r="11312" spans="1:6" ht="30" customHeight="1" x14ac:dyDescent="0.25">
      <c r="A11312" s="1" t="s">
        <v>22411</v>
      </c>
      <c r="B11312" s="1" t="str">
        <f>"9780309125611"</f>
        <v>9780309125611</v>
      </c>
      <c r="C11312" s="1" t="s">
        <v>20924</v>
      </c>
      <c r="D11312" s="2">
        <v>39736</v>
      </c>
      <c r="E11312" s="1" t="s">
        <v>22412</v>
      </c>
      <c r="F11312" s="1" t="s">
        <v>95</v>
      </c>
    </row>
    <row r="11313" spans="1:6" ht="30" customHeight="1" x14ac:dyDescent="0.25">
      <c r="A11313" s="1" t="s">
        <v>22413</v>
      </c>
      <c r="B11313" s="1" t="str">
        <f>"9780309111515"</f>
        <v>9780309111515</v>
      </c>
      <c r="C11313" s="1" t="s">
        <v>20924</v>
      </c>
      <c r="D11313" s="2">
        <v>39751</v>
      </c>
      <c r="E11313" s="1" t="s">
        <v>22414</v>
      </c>
      <c r="F11313" s="1" t="s">
        <v>21141</v>
      </c>
    </row>
    <row r="11314" spans="1:6" ht="30" customHeight="1" x14ac:dyDescent="0.25">
      <c r="A11314" s="1" t="s">
        <v>22415</v>
      </c>
      <c r="B11314" s="1" t="str">
        <f>"9780309114684"</f>
        <v>9780309114684</v>
      </c>
      <c r="C11314" s="1" t="s">
        <v>20924</v>
      </c>
      <c r="D11314" s="2">
        <v>39785</v>
      </c>
      <c r="E11314" s="1" t="s">
        <v>22416</v>
      </c>
      <c r="F11314" s="1" t="s">
        <v>214</v>
      </c>
    </row>
    <row r="11315" spans="1:6" ht="30" customHeight="1" x14ac:dyDescent="0.25">
      <c r="A11315" s="1" t="s">
        <v>22417</v>
      </c>
      <c r="B11315" s="1" t="str">
        <f>"9780309124553"</f>
        <v>9780309124553</v>
      </c>
      <c r="C11315" s="1" t="s">
        <v>20924</v>
      </c>
      <c r="D11315" s="2">
        <v>39821</v>
      </c>
      <c r="E11315" s="1" t="s">
        <v>22418</v>
      </c>
      <c r="F11315" s="1" t="s">
        <v>158</v>
      </c>
    </row>
    <row r="11316" spans="1:6" ht="30" customHeight="1" x14ac:dyDescent="0.25">
      <c r="A11316" s="1" t="s">
        <v>22419</v>
      </c>
      <c r="B11316" s="1" t="str">
        <f>"9780309127189"</f>
        <v>9780309127189</v>
      </c>
      <c r="C11316" s="1" t="s">
        <v>20924</v>
      </c>
      <c r="D11316" s="2">
        <v>39799</v>
      </c>
      <c r="E11316" s="1" t="s">
        <v>22420</v>
      </c>
      <c r="F11316" s="1" t="s">
        <v>2028</v>
      </c>
    </row>
    <row r="11317" spans="1:6" ht="30" customHeight="1" x14ac:dyDescent="0.25">
      <c r="A11317" s="1" t="s">
        <v>22421</v>
      </c>
      <c r="B11317" s="1" t="str">
        <f>"9780309128421"</f>
        <v>9780309128421</v>
      </c>
      <c r="C11317" s="1" t="s">
        <v>20924</v>
      </c>
      <c r="D11317" s="2">
        <v>39801</v>
      </c>
      <c r="E11317" s="1" t="s">
        <v>22422</v>
      </c>
      <c r="F11317" s="1" t="s">
        <v>6144</v>
      </c>
    </row>
    <row r="11318" spans="1:6" ht="30" customHeight="1" x14ac:dyDescent="0.25">
      <c r="A11318" s="1" t="s">
        <v>22423</v>
      </c>
      <c r="B11318" s="1" t="str">
        <f>"9780309121408"</f>
        <v>9780309121408</v>
      </c>
      <c r="C11318" s="1" t="s">
        <v>20924</v>
      </c>
      <c r="D11318" s="2">
        <v>39783</v>
      </c>
      <c r="E11318" s="1" t="s">
        <v>22424</v>
      </c>
      <c r="F11318" s="1" t="s">
        <v>13</v>
      </c>
    </row>
    <row r="11319" spans="1:6" ht="30" customHeight="1" x14ac:dyDescent="0.25">
      <c r="A11319" s="1" t="s">
        <v>22425</v>
      </c>
      <c r="B11319" s="1" t="str">
        <f>"9780309128193"</f>
        <v>9780309128193</v>
      </c>
      <c r="C11319" s="1" t="s">
        <v>20924</v>
      </c>
      <c r="D11319" s="2">
        <v>39804</v>
      </c>
      <c r="E11319" s="1" t="s">
        <v>22426</v>
      </c>
      <c r="F11319" s="1" t="s">
        <v>148</v>
      </c>
    </row>
    <row r="11320" spans="1:6" ht="30" customHeight="1" x14ac:dyDescent="0.25">
      <c r="A11320" s="1" t="s">
        <v>22427</v>
      </c>
      <c r="B11320" s="1" t="str">
        <f>"9780309128636"</f>
        <v>9780309128636</v>
      </c>
      <c r="C11320" s="1" t="s">
        <v>20924</v>
      </c>
      <c r="D11320" s="2">
        <v>39813</v>
      </c>
      <c r="E11320" s="1" t="s">
        <v>22428</v>
      </c>
      <c r="F11320" s="1" t="s">
        <v>148</v>
      </c>
    </row>
    <row r="11321" spans="1:6" ht="30" customHeight="1" x14ac:dyDescent="0.25">
      <c r="A11321" s="1" t="s">
        <v>22429</v>
      </c>
      <c r="B11321" s="1" t="str">
        <f>"9780309128681"</f>
        <v>9780309128681</v>
      </c>
      <c r="C11321" s="1" t="s">
        <v>20924</v>
      </c>
      <c r="D11321" s="2">
        <v>39843</v>
      </c>
      <c r="E11321" s="1" t="s">
        <v>22430</v>
      </c>
      <c r="F11321" s="1" t="s">
        <v>13</v>
      </c>
    </row>
    <row r="11322" spans="1:6" ht="30" customHeight="1" x14ac:dyDescent="0.25">
      <c r="A11322" s="1" t="s">
        <v>22431</v>
      </c>
      <c r="B11322" s="1" t="str">
        <f>"9780309127509"</f>
        <v>9780309127509</v>
      </c>
      <c r="C11322" s="1" t="s">
        <v>20924</v>
      </c>
      <c r="D11322" s="2">
        <v>39869</v>
      </c>
      <c r="E11322" s="1" t="s">
        <v>22432</v>
      </c>
      <c r="F11322" s="1" t="s">
        <v>148</v>
      </c>
    </row>
    <row r="11323" spans="1:6" ht="30" customHeight="1" x14ac:dyDescent="0.25">
      <c r="A11323" s="1" t="s">
        <v>22433</v>
      </c>
      <c r="B11323" s="1" t="str">
        <f>"9780309130486"</f>
        <v>9780309130486</v>
      </c>
      <c r="C11323" s="1" t="s">
        <v>20924</v>
      </c>
      <c r="D11323" s="2">
        <v>39890</v>
      </c>
      <c r="E11323" s="1" t="s">
        <v>21121</v>
      </c>
      <c r="F11323" s="1" t="s">
        <v>95</v>
      </c>
    </row>
    <row r="11324" spans="1:6" ht="30" customHeight="1" x14ac:dyDescent="0.25">
      <c r="A11324" s="1" t="s">
        <v>22434</v>
      </c>
      <c r="B11324" s="1" t="str">
        <f>"9780309125000"</f>
        <v>9780309125000</v>
      </c>
      <c r="C11324" s="1" t="s">
        <v>20924</v>
      </c>
      <c r="D11324" s="2">
        <v>39868</v>
      </c>
      <c r="E11324" s="1" t="s">
        <v>22435</v>
      </c>
      <c r="F11324" s="1" t="s">
        <v>1469</v>
      </c>
    </row>
    <row r="11325" spans="1:6" ht="30" customHeight="1" x14ac:dyDescent="0.25">
      <c r="A11325" s="1" t="s">
        <v>22436</v>
      </c>
      <c r="B11325" s="1" t="str">
        <f>"9780309127974"</f>
        <v>9780309127974</v>
      </c>
      <c r="C11325" s="1" t="s">
        <v>20924</v>
      </c>
      <c r="D11325" s="2">
        <v>39505</v>
      </c>
      <c r="E11325" s="1" t="s">
        <v>22437</v>
      </c>
      <c r="F11325" s="1" t="s">
        <v>95</v>
      </c>
    </row>
    <row r="11326" spans="1:6" ht="30" customHeight="1" x14ac:dyDescent="0.25">
      <c r="A11326" s="1" t="s">
        <v>22438</v>
      </c>
      <c r="B11326" s="1" t="str">
        <f>"9780309120890"</f>
        <v>9780309120890</v>
      </c>
      <c r="C11326" s="1" t="s">
        <v>20924</v>
      </c>
      <c r="D11326" s="2">
        <v>39813</v>
      </c>
      <c r="E11326" s="1" t="s">
        <v>22439</v>
      </c>
      <c r="F11326" s="1" t="s">
        <v>95</v>
      </c>
    </row>
    <row r="11327" spans="1:6" ht="30" customHeight="1" x14ac:dyDescent="0.25">
      <c r="A11327" s="1" t="s">
        <v>22440</v>
      </c>
      <c r="B11327" s="1" t="str">
        <f>"9780309120470"</f>
        <v>9780309120470</v>
      </c>
      <c r="C11327" s="1" t="s">
        <v>20924</v>
      </c>
      <c r="D11327" s="2">
        <v>39813</v>
      </c>
      <c r="E11327" s="1" t="s">
        <v>22441</v>
      </c>
      <c r="F11327" s="1" t="s">
        <v>22442</v>
      </c>
    </row>
    <row r="11328" spans="1:6" ht="30" customHeight="1" x14ac:dyDescent="0.25">
      <c r="A11328" s="1" t="s">
        <v>22443</v>
      </c>
      <c r="B11328" s="1" t="str">
        <f>"9780309130516"</f>
        <v>9780309130516</v>
      </c>
      <c r="C11328" s="1" t="s">
        <v>20924</v>
      </c>
      <c r="D11328" s="2">
        <v>39868</v>
      </c>
      <c r="E11328" s="1" t="s">
        <v>22444</v>
      </c>
      <c r="F11328" s="1" t="s">
        <v>2130</v>
      </c>
    </row>
    <row r="11329" spans="1:6" ht="30" customHeight="1" x14ac:dyDescent="0.25">
      <c r="A11329" s="1" t="s">
        <v>22445</v>
      </c>
      <c r="B11329" s="1" t="str">
        <f>"9780309127592"</f>
        <v>9780309127592</v>
      </c>
      <c r="C11329" s="1" t="s">
        <v>20924</v>
      </c>
      <c r="D11329" s="2">
        <v>39813</v>
      </c>
      <c r="E11329" s="1" t="s">
        <v>22446</v>
      </c>
      <c r="F11329" s="1" t="s">
        <v>13</v>
      </c>
    </row>
    <row r="11330" spans="1:6" ht="30" customHeight="1" x14ac:dyDescent="0.25">
      <c r="A11330" s="1" t="s">
        <v>22447</v>
      </c>
      <c r="B11330" s="1" t="str">
        <f>"9780309126434"</f>
        <v>9780309126434</v>
      </c>
      <c r="C11330" s="1" t="s">
        <v>20924</v>
      </c>
      <c r="D11330" s="2">
        <v>39896</v>
      </c>
      <c r="E11330" s="1" t="s">
        <v>22448</v>
      </c>
      <c r="F11330" s="1" t="s">
        <v>148</v>
      </c>
    </row>
    <row r="11331" spans="1:6" ht="30" customHeight="1" x14ac:dyDescent="0.25">
      <c r="A11331" s="1" t="s">
        <v>22449</v>
      </c>
      <c r="B11331" s="1" t="str">
        <f>"9780309116671"</f>
        <v>9780309116671</v>
      </c>
      <c r="C11331" s="1" t="s">
        <v>22310</v>
      </c>
      <c r="D11331" s="2">
        <v>39934</v>
      </c>
      <c r="E11331" s="1" t="s">
        <v>22450</v>
      </c>
      <c r="F11331" s="1" t="s">
        <v>13</v>
      </c>
    </row>
    <row r="11332" spans="1:6" ht="30" customHeight="1" x14ac:dyDescent="0.25">
      <c r="A11332" s="1" t="s">
        <v>22451</v>
      </c>
      <c r="B11332" s="1" t="str">
        <f>"9780309132152"</f>
        <v>9780309132152</v>
      </c>
      <c r="C11332" s="1" t="s">
        <v>22310</v>
      </c>
      <c r="D11332" s="2">
        <v>39944</v>
      </c>
      <c r="E11332" s="1" t="s">
        <v>22452</v>
      </c>
      <c r="F11332" s="1" t="s">
        <v>30</v>
      </c>
    </row>
    <row r="11333" spans="1:6" ht="30" customHeight="1" x14ac:dyDescent="0.25">
      <c r="A11333" s="1" t="s">
        <v>22453</v>
      </c>
      <c r="B11333" s="1" t="str">
        <f>"9780309136723"</f>
        <v>9780309136723</v>
      </c>
      <c r="C11333" s="1" t="s">
        <v>22310</v>
      </c>
      <c r="D11333" s="2">
        <v>39931</v>
      </c>
      <c r="E11333" s="1" t="s">
        <v>22454</v>
      </c>
      <c r="F11333" s="1" t="s">
        <v>13</v>
      </c>
    </row>
    <row r="11334" spans="1:6" ht="30" customHeight="1" x14ac:dyDescent="0.25">
      <c r="A11334" s="1" t="s">
        <v>22455</v>
      </c>
      <c r="B11334" s="1" t="str">
        <f>"9780309127776"</f>
        <v>9780309127776</v>
      </c>
      <c r="C11334" s="1" t="s">
        <v>22310</v>
      </c>
      <c r="D11334" s="2">
        <v>39813</v>
      </c>
      <c r="E11334" s="1" t="s">
        <v>22456</v>
      </c>
      <c r="F11334" s="1" t="s">
        <v>176</v>
      </c>
    </row>
    <row r="11335" spans="1:6" ht="30" customHeight="1" x14ac:dyDescent="0.25">
      <c r="A11335" s="1" t="s">
        <v>22457</v>
      </c>
      <c r="B11335" s="1" t="str">
        <f>"9780309127905"</f>
        <v>9780309127905</v>
      </c>
      <c r="C11335" s="1" t="s">
        <v>22310</v>
      </c>
      <c r="D11335" s="2">
        <v>39995</v>
      </c>
      <c r="E11335" s="1" t="s">
        <v>22458</v>
      </c>
      <c r="F11335" s="1" t="s">
        <v>30</v>
      </c>
    </row>
    <row r="11336" spans="1:6" ht="30" customHeight="1" x14ac:dyDescent="0.25">
      <c r="A11336" s="1" t="s">
        <v>22459</v>
      </c>
      <c r="B11336" s="1" t="str">
        <f>"9780309130400"</f>
        <v>9780309130400</v>
      </c>
      <c r="C11336" s="1" t="s">
        <v>22310</v>
      </c>
      <c r="D11336" s="2">
        <v>39960</v>
      </c>
      <c r="E11336" s="1" t="s">
        <v>22460</v>
      </c>
      <c r="F11336" s="1" t="s">
        <v>15031</v>
      </c>
    </row>
    <row r="11337" spans="1:6" ht="30" customHeight="1" x14ac:dyDescent="0.25">
      <c r="A11337" s="1" t="s">
        <v>22461</v>
      </c>
      <c r="B11337" s="1" t="str">
        <f>"9780309137294"</f>
        <v>9780309137294</v>
      </c>
      <c r="C11337" s="1" t="s">
        <v>22310</v>
      </c>
      <c r="D11337" s="2">
        <v>39966</v>
      </c>
      <c r="E11337" s="1" t="s">
        <v>22462</v>
      </c>
      <c r="F11337" s="1" t="s">
        <v>176</v>
      </c>
    </row>
    <row r="11338" spans="1:6" ht="30" customHeight="1" x14ac:dyDescent="0.25">
      <c r="A11338" s="1" t="s">
        <v>22463</v>
      </c>
      <c r="B11338" s="1" t="str">
        <f>"9780309131803"</f>
        <v>9780309131803</v>
      </c>
      <c r="C11338" s="1" t="s">
        <v>22310</v>
      </c>
      <c r="D11338" s="2">
        <v>40002</v>
      </c>
      <c r="E11338" s="1" t="s">
        <v>22464</v>
      </c>
      <c r="F11338" s="1" t="s">
        <v>30</v>
      </c>
    </row>
    <row r="11339" spans="1:6" ht="30" customHeight="1" x14ac:dyDescent="0.25">
      <c r="A11339" s="1" t="s">
        <v>22465</v>
      </c>
      <c r="B11339" s="1" t="str">
        <f>"9780309131254"</f>
        <v>9780309131254</v>
      </c>
      <c r="C11339" s="1" t="s">
        <v>22310</v>
      </c>
      <c r="D11339" s="2">
        <v>40014</v>
      </c>
      <c r="E11339" s="1" t="s">
        <v>22466</v>
      </c>
      <c r="F11339" s="1" t="s">
        <v>13</v>
      </c>
    </row>
    <row r="11340" spans="1:6" ht="30" customHeight="1" x14ac:dyDescent="0.25">
      <c r="A11340" s="1" t="s">
        <v>22467</v>
      </c>
      <c r="B11340" s="1" t="str">
        <f>"9780309130899"</f>
        <v>9780309130899</v>
      </c>
      <c r="C11340" s="1" t="s">
        <v>22310</v>
      </c>
      <c r="D11340" s="2">
        <v>40044</v>
      </c>
      <c r="E11340" s="1" t="s">
        <v>22468</v>
      </c>
      <c r="F11340" s="1" t="s">
        <v>95</v>
      </c>
    </row>
    <row r="11341" spans="1:6" ht="30" customHeight="1" x14ac:dyDescent="0.25">
      <c r="A11341" s="1" t="s">
        <v>22469</v>
      </c>
      <c r="B11341" s="1" t="str">
        <f>"9780309137003"</f>
        <v>9780309137003</v>
      </c>
      <c r="C11341" s="1" t="s">
        <v>22310</v>
      </c>
      <c r="D11341" s="2">
        <v>40031</v>
      </c>
      <c r="E11341" s="1" t="s">
        <v>22470</v>
      </c>
      <c r="F11341" s="1" t="s">
        <v>1349</v>
      </c>
    </row>
    <row r="11342" spans="1:6" ht="30" customHeight="1" x14ac:dyDescent="0.25">
      <c r="A11342" s="1" t="s">
        <v>22471</v>
      </c>
      <c r="B11342" s="1" t="str">
        <f>"9780309137867"</f>
        <v>9780309137867</v>
      </c>
      <c r="C11342" s="1" t="s">
        <v>20924</v>
      </c>
      <c r="D11342" s="2">
        <v>40049</v>
      </c>
      <c r="E11342" s="1" t="s">
        <v>22472</v>
      </c>
      <c r="F11342" s="1" t="s">
        <v>33</v>
      </c>
    </row>
    <row r="11343" spans="1:6" ht="30" customHeight="1" x14ac:dyDescent="0.25">
      <c r="A11343" s="1" t="s">
        <v>22473</v>
      </c>
      <c r="B11343" s="1" t="str">
        <f>"9780309138222"</f>
        <v>9780309138222</v>
      </c>
      <c r="C11343" s="1" t="s">
        <v>20924</v>
      </c>
      <c r="D11343" s="2">
        <v>40066</v>
      </c>
      <c r="E11343" s="1" t="s">
        <v>22474</v>
      </c>
      <c r="F11343" s="1" t="s">
        <v>30</v>
      </c>
    </row>
    <row r="11344" spans="1:6" ht="30" customHeight="1" x14ac:dyDescent="0.25">
      <c r="A11344" s="1" t="s">
        <v>22475</v>
      </c>
      <c r="B11344" s="1" t="str">
        <f>"9780309126755"</f>
        <v>9780309126755</v>
      </c>
      <c r="C11344" s="1" t="s">
        <v>20924</v>
      </c>
      <c r="D11344" s="2">
        <v>40051</v>
      </c>
      <c r="E11344" s="1" t="s">
        <v>22476</v>
      </c>
      <c r="F11344" s="1" t="s">
        <v>95</v>
      </c>
    </row>
    <row r="11345" spans="1:6" ht="30" customHeight="1" x14ac:dyDescent="0.25">
      <c r="A11345" s="1" t="s">
        <v>22477</v>
      </c>
      <c r="B11345" s="1" t="str">
        <f>"9780309143806"</f>
        <v>9780309143806</v>
      </c>
      <c r="C11345" s="1" t="s">
        <v>20924</v>
      </c>
      <c r="D11345" s="2">
        <v>40077</v>
      </c>
      <c r="E11345" s="1" t="s">
        <v>22478</v>
      </c>
      <c r="F11345" s="1" t="s">
        <v>2213</v>
      </c>
    </row>
    <row r="11346" spans="1:6" ht="30" customHeight="1" x14ac:dyDescent="0.25">
      <c r="A11346" s="1" t="s">
        <v>22479</v>
      </c>
      <c r="B11346" s="1" t="str">
        <f>"9780309121798"</f>
        <v>9780309121798</v>
      </c>
      <c r="C11346" s="1" t="s">
        <v>20924</v>
      </c>
      <c r="D11346" s="2">
        <v>40084</v>
      </c>
      <c r="E11346" s="1" t="s">
        <v>22480</v>
      </c>
      <c r="F11346" s="1" t="s">
        <v>33</v>
      </c>
    </row>
    <row r="11347" spans="1:6" ht="30" customHeight="1" x14ac:dyDescent="0.25">
      <c r="A11347" s="1" t="s">
        <v>22481</v>
      </c>
      <c r="B11347" s="1" t="str">
        <f>"9780309144315"</f>
        <v>9780309144315</v>
      </c>
      <c r="C11347" s="1" t="s">
        <v>20924</v>
      </c>
      <c r="D11347" s="2">
        <v>40079</v>
      </c>
      <c r="E11347" s="1" t="s">
        <v>22482</v>
      </c>
      <c r="F11347" s="1" t="s">
        <v>95</v>
      </c>
    </row>
    <row r="11348" spans="1:6" ht="30" customHeight="1" x14ac:dyDescent="0.25">
      <c r="A11348" s="1" t="s">
        <v>22483</v>
      </c>
      <c r="B11348" s="1" t="str">
        <f>"9780309131896"</f>
        <v>9780309131896</v>
      </c>
      <c r="C11348" s="1" t="s">
        <v>20924</v>
      </c>
      <c r="D11348" s="2">
        <v>40072</v>
      </c>
      <c r="E11348" s="1" t="s">
        <v>22484</v>
      </c>
      <c r="F11348" s="1" t="s">
        <v>1443</v>
      </c>
    </row>
    <row r="11349" spans="1:6" ht="30" customHeight="1" x14ac:dyDescent="0.25">
      <c r="A11349" s="1" t="s">
        <v>22485</v>
      </c>
      <c r="B11349" s="1" t="str">
        <f>"9780309141659"</f>
        <v>9780309141659</v>
      </c>
      <c r="C11349" s="1" t="s">
        <v>20924</v>
      </c>
      <c r="D11349" s="2">
        <v>40086</v>
      </c>
      <c r="E11349" s="1" t="s">
        <v>22486</v>
      </c>
      <c r="F11349" s="1" t="s">
        <v>22487</v>
      </c>
    </row>
    <row r="11350" spans="1:6" ht="30" customHeight="1" x14ac:dyDescent="0.25">
      <c r="A11350" s="1" t="s">
        <v>22488</v>
      </c>
      <c r="B11350" s="1" t="str">
        <f>"9780309138376"</f>
        <v>9780309138376</v>
      </c>
      <c r="C11350" s="1" t="s">
        <v>20924</v>
      </c>
      <c r="D11350" s="2">
        <v>40100</v>
      </c>
      <c r="E11350" s="1" t="s">
        <v>22489</v>
      </c>
      <c r="F11350" s="1" t="s">
        <v>70</v>
      </c>
    </row>
    <row r="11351" spans="1:6" ht="30" customHeight="1" x14ac:dyDescent="0.25">
      <c r="A11351" s="1" t="s">
        <v>22490</v>
      </c>
      <c r="B11351" s="1" t="str">
        <f>"9780309136914"</f>
        <v>9780309136914</v>
      </c>
      <c r="C11351" s="1" t="s">
        <v>20924</v>
      </c>
      <c r="D11351" s="2">
        <v>40100</v>
      </c>
      <c r="E11351" s="1" t="s">
        <v>22491</v>
      </c>
      <c r="F11351" s="1" t="s">
        <v>13</v>
      </c>
    </row>
    <row r="11352" spans="1:6" ht="30" customHeight="1" x14ac:dyDescent="0.25">
      <c r="A11352" s="1" t="s">
        <v>22492</v>
      </c>
      <c r="B11352" s="1" t="str">
        <f>"9780309139847"</f>
        <v>9780309139847</v>
      </c>
      <c r="C11352" s="1" t="s">
        <v>20924</v>
      </c>
      <c r="D11352" s="2">
        <v>40127</v>
      </c>
      <c r="E11352" s="1" t="s">
        <v>22493</v>
      </c>
      <c r="F11352" s="1" t="s">
        <v>63</v>
      </c>
    </row>
    <row r="11353" spans="1:6" ht="30" customHeight="1" x14ac:dyDescent="0.25">
      <c r="A11353" s="1" t="s">
        <v>22494</v>
      </c>
      <c r="B11353" s="1" t="str">
        <f>"9780309137737"</f>
        <v>9780309137737</v>
      </c>
      <c r="C11353" s="1" t="s">
        <v>20924</v>
      </c>
      <c r="D11353" s="2">
        <v>40107</v>
      </c>
      <c r="E11353" s="1" t="s">
        <v>22495</v>
      </c>
      <c r="F11353" s="1" t="s">
        <v>13</v>
      </c>
    </row>
    <row r="11354" spans="1:6" ht="30" customHeight="1" x14ac:dyDescent="0.25">
      <c r="A11354" s="1" t="s">
        <v>22496</v>
      </c>
      <c r="B11354" s="1" t="str">
        <f>"9780309138154"</f>
        <v>9780309138154</v>
      </c>
      <c r="C11354" s="1" t="s">
        <v>20924</v>
      </c>
      <c r="D11354" s="2">
        <v>40116</v>
      </c>
      <c r="E11354" s="1" t="s">
        <v>22497</v>
      </c>
      <c r="F11354" s="1" t="s">
        <v>13</v>
      </c>
    </row>
    <row r="11355" spans="1:6" ht="30" customHeight="1" x14ac:dyDescent="0.25">
      <c r="A11355" s="1" t="s">
        <v>22498</v>
      </c>
      <c r="B11355" s="1" t="str">
        <f>"9780309143721"</f>
        <v>9780309143721</v>
      </c>
      <c r="C11355" s="1" t="s">
        <v>20924</v>
      </c>
      <c r="D11355" s="2">
        <v>40115</v>
      </c>
      <c r="E11355" s="1" t="s">
        <v>22499</v>
      </c>
      <c r="F11355" s="1" t="s">
        <v>158</v>
      </c>
    </row>
    <row r="11356" spans="1:6" ht="30" customHeight="1" x14ac:dyDescent="0.25">
      <c r="A11356" s="1" t="s">
        <v>22500</v>
      </c>
      <c r="B11356" s="1" t="str">
        <f>"9780309139021"</f>
        <v>9780309139021</v>
      </c>
      <c r="C11356" s="1" t="s">
        <v>20924</v>
      </c>
      <c r="D11356" s="2">
        <v>40102</v>
      </c>
      <c r="E11356" s="1" t="s">
        <v>22501</v>
      </c>
      <c r="F11356" s="1" t="s">
        <v>13</v>
      </c>
    </row>
    <row r="11357" spans="1:6" ht="30" customHeight="1" x14ac:dyDescent="0.25">
      <c r="A11357" s="1" t="s">
        <v>22502</v>
      </c>
      <c r="B11357" s="1" t="str">
        <f>"9780309139052"</f>
        <v>9780309139052</v>
      </c>
      <c r="C11357" s="1" t="s">
        <v>20924</v>
      </c>
      <c r="D11357" s="2">
        <v>40141</v>
      </c>
      <c r="E11357" s="1" t="s">
        <v>22503</v>
      </c>
      <c r="F11357" s="1" t="s">
        <v>148</v>
      </c>
    </row>
    <row r="11358" spans="1:6" ht="30" customHeight="1" x14ac:dyDescent="0.25">
      <c r="A11358" s="1" t="s">
        <v>22504</v>
      </c>
      <c r="B11358" s="1" t="str">
        <f>"9780309144186"</f>
        <v>9780309144186</v>
      </c>
      <c r="C11358" s="1" t="s">
        <v>20924</v>
      </c>
      <c r="D11358" s="2">
        <v>40148</v>
      </c>
      <c r="E11358" s="1" t="s">
        <v>22505</v>
      </c>
      <c r="F11358" s="1" t="s">
        <v>13</v>
      </c>
    </row>
    <row r="11359" spans="1:6" ht="30" customHeight="1" x14ac:dyDescent="0.25">
      <c r="A11359" s="1" t="s">
        <v>22506</v>
      </c>
      <c r="B11359" s="1" t="str">
        <f>"9780309144896"</f>
        <v>9780309144896</v>
      </c>
      <c r="C11359" s="1" t="s">
        <v>20924</v>
      </c>
      <c r="D11359" s="2">
        <v>40137</v>
      </c>
      <c r="E11359" s="1" t="s">
        <v>22507</v>
      </c>
      <c r="F11359" s="1" t="s">
        <v>63</v>
      </c>
    </row>
    <row r="11360" spans="1:6" ht="30" customHeight="1" x14ac:dyDescent="0.25">
      <c r="A11360" s="1" t="s">
        <v>22508</v>
      </c>
      <c r="B11360" s="1" t="str">
        <f>"9780309141628"</f>
        <v>9780309141628</v>
      </c>
      <c r="C11360" s="1" t="s">
        <v>20924</v>
      </c>
      <c r="D11360" s="2">
        <v>40141</v>
      </c>
      <c r="E11360" s="1" t="s">
        <v>22509</v>
      </c>
      <c r="F11360" s="1" t="s">
        <v>95</v>
      </c>
    </row>
    <row r="11361" spans="1:6" ht="30" customHeight="1" x14ac:dyDescent="0.25">
      <c r="A11361" s="1" t="s">
        <v>22510</v>
      </c>
      <c r="B11361" s="1" t="str">
        <f>"9780309130455"</f>
        <v>9780309130455</v>
      </c>
      <c r="C11361" s="1" t="s">
        <v>20924</v>
      </c>
      <c r="D11361" s="2">
        <v>40154</v>
      </c>
      <c r="E11361" s="1" t="s">
        <v>22511</v>
      </c>
      <c r="F11361" s="1" t="s">
        <v>13</v>
      </c>
    </row>
    <row r="11362" spans="1:6" ht="30" customHeight="1" x14ac:dyDescent="0.25">
      <c r="A11362" s="1" t="s">
        <v>22512</v>
      </c>
      <c r="B11362" s="1" t="str">
        <f>"9780309139816"</f>
        <v>9780309139816</v>
      </c>
      <c r="C11362" s="1" t="s">
        <v>20924</v>
      </c>
      <c r="D11362" s="2">
        <v>40147</v>
      </c>
      <c r="E11362" s="1" t="s">
        <v>22513</v>
      </c>
      <c r="F11362" s="1" t="s">
        <v>95</v>
      </c>
    </row>
    <row r="11363" spans="1:6" ht="30" customHeight="1" x14ac:dyDescent="0.25">
      <c r="A11363" s="1" t="s">
        <v>22514</v>
      </c>
      <c r="B11363" s="1" t="str">
        <f>"9780309140133"</f>
        <v>9780309140133</v>
      </c>
      <c r="C11363" s="1" t="s">
        <v>20924</v>
      </c>
      <c r="D11363" s="2">
        <v>40147</v>
      </c>
      <c r="E11363" s="1" t="s">
        <v>22515</v>
      </c>
      <c r="F11363" s="1" t="s">
        <v>30</v>
      </c>
    </row>
    <row r="11364" spans="1:6" ht="30" customHeight="1" x14ac:dyDescent="0.25">
      <c r="A11364" s="1" t="s">
        <v>22516</v>
      </c>
      <c r="B11364" s="1" t="str">
        <f>"9780309145589"</f>
        <v>9780309145589</v>
      </c>
      <c r="C11364" s="1" t="s">
        <v>20924</v>
      </c>
      <c r="D11364" s="2">
        <v>40140</v>
      </c>
      <c r="E11364" s="1" t="s">
        <v>22517</v>
      </c>
      <c r="F11364" s="1" t="s">
        <v>22518</v>
      </c>
    </row>
    <row r="11365" spans="1:6" ht="30" customHeight="1" x14ac:dyDescent="0.25">
      <c r="A11365" s="1" t="s">
        <v>22519</v>
      </c>
      <c r="B11365" s="1" t="str">
        <f>"9780309140829"</f>
        <v>9780309140829</v>
      </c>
      <c r="C11365" s="1" t="s">
        <v>20924</v>
      </c>
      <c r="D11365" s="2">
        <v>40148</v>
      </c>
      <c r="E11365" s="1" t="s">
        <v>22520</v>
      </c>
      <c r="F11365" s="1" t="s">
        <v>13</v>
      </c>
    </row>
    <row r="11366" spans="1:6" ht="30" customHeight="1" x14ac:dyDescent="0.25">
      <c r="A11366" s="1" t="s">
        <v>22521</v>
      </c>
      <c r="B11366" s="1" t="str">
        <f>"9780309126670"</f>
        <v>9780309126670</v>
      </c>
      <c r="C11366" s="1" t="s">
        <v>20924</v>
      </c>
      <c r="D11366" s="2">
        <v>40178</v>
      </c>
      <c r="E11366" s="1" t="s">
        <v>22522</v>
      </c>
      <c r="F11366" s="1" t="s">
        <v>30</v>
      </c>
    </row>
    <row r="11367" spans="1:6" ht="30" customHeight="1" x14ac:dyDescent="0.25">
      <c r="A11367" s="1" t="s">
        <v>22523</v>
      </c>
      <c r="B11367" s="1" t="str">
        <f>"9780309138406"</f>
        <v>9780309138406</v>
      </c>
      <c r="C11367" s="1" t="s">
        <v>20924</v>
      </c>
      <c r="D11367" s="2">
        <v>40178</v>
      </c>
      <c r="E11367" s="1" t="s">
        <v>22524</v>
      </c>
      <c r="F11367" s="1" t="s">
        <v>176</v>
      </c>
    </row>
    <row r="11368" spans="1:6" ht="30" customHeight="1" x14ac:dyDescent="0.25">
      <c r="A11368" s="1" t="s">
        <v>22525</v>
      </c>
      <c r="B11368" s="1" t="str">
        <f>"9780309145763"</f>
        <v>9780309145763</v>
      </c>
      <c r="C11368" s="1" t="s">
        <v>20924</v>
      </c>
      <c r="D11368" s="2">
        <v>40213</v>
      </c>
      <c r="E11368" s="1" t="s">
        <v>22526</v>
      </c>
      <c r="F11368" s="1" t="s">
        <v>13</v>
      </c>
    </row>
    <row r="11369" spans="1:6" ht="30" customHeight="1" x14ac:dyDescent="0.25">
      <c r="A11369" s="1" t="s">
        <v>22527</v>
      </c>
      <c r="B11369" s="1" t="str">
        <f>"9780309140799"</f>
        <v>9780309140799</v>
      </c>
      <c r="C11369" s="1" t="s">
        <v>20924</v>
      </c>
      <c r="D11369" s="2">
        <v>40178</v>
      </c>
      <c r="E11369" s="1" t="s">
        <v>22528</v>
      </c>
      <c r="F11369" s="1" t="s">
        <v>13</v>
      </c>
    </row>
    <row r="11370" spans="1:6" ht="30" customHeight="1" x14ac:dyDescent="0.25">
      <c r="A11370" s="1" t="s">
        <v>22529</v>
      </c>
      <c r="B11370" s="1" t="str">
        <f>"9780309139281"</f>
        <v>9780309139281</v>
      </c>
      <c r="C11370" s="1" t="s">
        <v>20924</v>
      </c>
      <c r="D11370" s="2">
        <v>39204</v>
      </c>
      <c r="E11370" s="1" t="s">
        <v>22530</v>
      </c>
      <c r="F11370" s="1" t="s">
        <v>13</v>
      </c>
    </row>
    <row r="11371" spans="1:6" ht="30" customHeight="1" x14ac:dyDescent="0.25">
      <c r="A11371" s="1" t="s">
        <v>22531</v>
      </c>
      <c r="B11371" s="1" t="str">
        <f>"9780309150958"</f>
        <v>9780309150958</v>
      </c>
      <c r="C11371" s="1" t="s">
        <v>20924</v>
      </c>
      <c r="D11371" s="2">
        <v>40255</v>
      </c>
      <c r="E11371" s="1" t="s">
        <v>22532</v>
      </c>
      <c r="F11371" s="1" t="s">
        <v>33</v>
      </c>
    </row>
    <row r="11372" spans="1:6" ht="30" customHeight="1" x14ac:dyDescent="0.25">
      <c r="A11372" s="1" t="s">
        <v>22533</v>
      </c>
      <c r="B11372" s="1" t="str">
        <f>"9780309146753"</f>
        <v>9780309146753</v>
      </c>
      <c r="C11372" s="1" t="s">
        <v>20924</v>
      </c>
      <c r="D11372" s="2">
        <v>40255</v>
      </c>
      <c r="E11372" s="1" t="s">
        <v>22534</v>
      </c>
      <c r="F11372" s="1" t="s">
        <v>95</v>
      </c>
    </row>
    <row r="11373" spans="1:6" ht="30" customHeight="1" x14ac:dyDescent="0.25">
      <c r="A11373" s="1" t="s">
        <v>22535</v>
      </c>
      <c r="B11373" s="1" t="str">
        <f>"9780309144483"</f>
        <v>9780309144483</v>
      </c>
      <c r="C11373" s="1" t="s">
        <v>20924</v>
      </c>
      <c r="D11373" s="2">
        <v>40247</v>
      </c>
      <c r="E11373" s="1" t="s">
        <v>22536</v>
      </c>
      <c r="F11373" s="1" t="s">
        <v>95</v>
      </c>
    </row>
    <row r="11374" spans="1:6" ht="30" customHeight="1" x14ac:dyDescent="0.25">
      <c r="A11374" s="1" t="s">
        <v>21433</v>
      </c>
      <c r="B11374" s="1" t="str">
        <f>"9780309145169"</f>
        <v>9780309145169</v>
      </c>
      <c r="C11374" s="1" t="s">
        <v>20924</v>
      </c>
      <c r="D11374" s="2">
        <v>40255</v>
      </c>
      <c r="E11374" s="1" t="s">
        <v>22537</v>
      </c>
      <c r="F11374" s="1" t="s">
        <v>70</v>
      </c>
    </row>
    <row r="11375" spans="1:6" ht="30" customHeight="1" x14ac:dyDescent="0.25">
      <c r="A11375" s="1" t="s">
        <v>22538</v>
      </c>
      <c r="B11375" s="1" t="str">
        <f>"9780309146548"</f>
        <v>9780309146548</v>
      </c>
      <c r="C11375" s="1" t="s">
        <v>20924</v>
      </c>
      <c r="D11375" s="2">
        <v>40148</v>
      </c>
      <c r="E11375" s="1" t="s">
        <v>22539</v>
      </c>
      <c r="F11375" s="1" t="s">
        <v>148</v>
      </c>
    </row>
    <row r="11376" spans="1:6" ht="30" customHeight="1" x14ac:dyDescent="0.25">
      <c r="A11376" s="1" t="s">
        <v>22540</v>
      </c>
      <c r="B11376" s="1" t="str">
        <f>"9780309151467"</f>
        <v>9780309151467</v>
      </c>
      <c r="C11376" s="1" t="s">
        <v>20924</v>
      </c>
      <c r="D11376" s="2">
        <v>40148</v>
      </c>
      <c r="E11376" s="1" t="s">
        <v>22541</v>
      </c>
      <c r="F11376" s="1" t="s">
        <v>63</v>
      </c>
    </row>
    <row r="11377" spans="1:6" ht="30" customHeight="1" x14ac:dyDescent="0.25">
      <c r="A11377" s="1" t="s">
        <v>22542</v>
      </c>
      <c r="B11377" s="1" t="str">
        <f>"9780309151528"</f>
        <v>9780309151528</v>
      </c>
      <c r="C11377" s="1" t="s">
        <v>20924</v>
      </c>
      <c r="D11377" s="2">
        <v>40330</v>
      </c>
      <c r="E11377" s="1" t="s">
        <v>22543</v>
      </c>
      <c r="F11377" s="1" t="s">
        <v>30</v>
      </c>
    </row>
    <row r="11378" spans="1:6" ht="30" customHeight="1" x14ac:dyDescent="0.25">
      <c r="A11378" s="1" t="s">
        <v>22544</v>
      </c>
      <c r="B11378" s="1" t="str">
        <f>"9780309146296"</f>
        <v>9780309146296</v>
      </c>
      <c r="C11378" s="1" t="s">
        <v>20924</v>
      </c>
      <c r="D11378" s="2">
        <v>40148</v>
      </c>
      <c r="E11378" s="1" t="s">
        <v>22545</v>
      </c>
      <c r="F11378" s="1" t="s">
        <v>176</v>
      </c>
    </row>
    <row r="11379" spans="1:6" ht="30" customHeight="1" x14ac:dyDescent="0.25">
      <c r="A11379" s="1" t="s">
        <v>22546</v>
      </c>
      <c r="B11379" s="1" t="str">
        <f>"9780309150255"</f>
        <v>9780309150255</v>
      </c>
      <c r="C11379" s="1" t="s">
        <v>20924</v>
      </c>
      <c r="D11379" s="2">
        <v>40330</v>
      </c>
      <c r="E11379" s="1" t="s">
        <v>22547</v>
      </c>
      <c r="F11379" s="1" t="s">
        <v>176</v>
      </c>
    </row>
    <row r="11380" spans="1:6" ht="30" customHeight="1" x14ac:dyDescent="0.25">
      <c r="A11380" s="1" t="s">
        <v>22548</v>
      </c>
      <c r="B11380" s="1" t="str">
        <f>"9780309121835"</f>
        <v>9780309121835</v>
      </c>
      <c r="C11380" s="1" t="s">
        <v>20924</v>
      </c>
      <c r="D11380" s="2">
        <v>40148</v>
      </c>
      <c r="E11380" s="1" t="s">
        <v>22549</v>
      </c>
      <c r="F11380" s="1" t="s">
        <v>5106</v>
      </c>
    </row>
    <row r="11381" spans="1:6" ht="30" customHeight="1" x14ac:dyDescent="0.25">
      <c r="A11381" s="1" t="s">
        <v>22550</v>
      </c>
      <c r="B11381" s="1" t="str">
        <f>"9780309110549"</f>
        <v>9780309110549</v>
      </c>
      <c r="C11381" s="1" t="s">
        <v>20924</v>
      </c>
      <c r="D11381" s="2">
        <v>39783</v>
      </c>
      <c r="E11381" s="1" t="s">
        <v>22551</v>
      </c>
      <c r="F11381" s="1" t="s">
        <v>95</v>
      </c>
    </row>
    <row r="11382" spans="1:6" ht="30" customHeight="1" x14ac:dyDescent="0.25">
      <c r="A11382" s="1" t="s">
        <v>22552</v>
      </c>
      <c r="B11382" s="1" t="str">
        <f>"9780309154239"</f>
        <v>9780309154239</v>
      </c>
      <c r="C11382" s="1" t="s">
        <v>20924</v>
      </c>
      <c r="D11382" s="2">
        <v>40148</v>
      </c>
      <c r="E11382" s="1" t="s">
        <v>22553</v>
      </c>
      <c r="F11382" s="1" t="s">
        <v>176</v>
      </c>
    </row>
    <row r="11383" spans="1:6" ht="30" customHeight="1" x14ac:dyDescent="0.25">
      <c r="A11383" s="1" t="s">
        <v>22554</v>
      </c>
      <c r="B11383" s="1" t="str">
        <f>"9780309153225"</f>
        <v>9780309153225</v>
      </c>
      <c r="C11383" s="1" t="s">
        <v>20924</v>
      </c>
      <c r="D11383" s="2">
        <v>40148</v>
      </c>
      <c r="E11383" s="1" t="s">
        <v>22555</v>
      </c>
      <c r="F11383" s="1" t="s">
        <v>22556</v>
      </c>
    </row>
    <row r="11384" spans="1:6" ht="30" customHeight="1" x14ac:dyDescent="0.25">
      <c r="A11384" s="1" t="s">
        <v>22557</v>
      </c>
      <c r="B11384" s="1" t="str">
        <f>"9780309151306"</f>
        <v>9780309151306</v>
      </c>
      <c r="C11384" s="1" t="s">
        <v>20924</v>
      </c>
      <c r="D11384" s="2">
        <v>40354</v>
      </c>
      <c r="E11384" s="1" t="s">
        <v>22558</v>
      </c>
      <c r="F11384" s="1" t="s">
        <v>13</v>
      </c>
    </row>
    <row r="11385" spans="1:6" ht="30" customHeight="1" x14ac:dyDescent="0.25">
      <c r="A11385" s="1" t="s">
        <v>22559</v>
      </c>
      <c r="B11385" s="1" t="str">
        <f>"9780309147750"</f>
        <v>9780309147750</v>
      </c>
      <c r="C11385" s="1" t="s">
        <v>20924</v>
      </c>
      <c r="D11385" s="2">
        <v>40148</v>
      </c>
      <c r="E11385" s="1" t="s">
        <v>22560</v>
      </c>
      <c r="F11385" s="1" t="s">
        <v>214</v>
      </c>
    </row>
    <row r="11386" spans="1:6" ht="30" customHeight="1" x14ac:dyDescent="0.25">
      <c r="A11386" s="1" t="s">
        <v>22561</v>
      </c>
      <c r="B11386" s="1" t="str">
        <f>"9780309151276"</f>
        <v>9780309151276</v>
      </c>
      <c r="C11386" s="1" t="s">
        <v>20924</v>
      </c>
      <c r="D11386" s="2">
        <v>40148</v>
      </c>
      <c r="E11386" s="1" t="s">
        <v>22562</v>
      </c>
      <c r="F11386" s="1" t="s">
        <v>13</v>
      </c>
    </row>
    <row r="11387" spans="1:6" ht="30" customHeight="1" x14ac:dyDescent="0.25">
      <c r="A11387" s="1" t="s">
        <v>22563</v>
      </c>
      <c r="B11387" s="1" t="str">
        <f>"9780309148108"</f>
        <v>9780309148108</v>
      </c>
      <c r="C11387" s="1" t="s">
        <v>20924</v>
      </c>
      <c r="D11387" s="2">
        <v>40372</v>
      </c>
      <c r="E11387" s="1" t="s">
        <v>22564</v>
      </c>
      <c r="F11387" s="1" t="s">
        <v>95</v>
      </c>
    </row>
    <row r="11388" spans="1:6" ht="30" customHeight="1" x14ac:dyDescent="0.25">
      <c r="A11388" s="1" t="s">
        <v>22565</v>
      </c>
      <c r="B11388" s="1" t="str">
        <f>"9780309151870"</f>
        <v>9780309151870</v>
      </c>
      <c r="C11388" s="1" t="s">
        <v>20924</v>
      </c>
      <c r="D11388" s="2">
        <v>40148</v>
      </c>
      <c r="E11388" s="1" t="s">
        <v>22566</v>
      </c>
      <c r="F11388" s="1" t="s">
        <v>13</v>
      </c>
    </row>
    <row r="11389" spans="1:6" ht="30" customHeight="1" x14ac:dyDescent="0.25">
      <c r="A11389" s="1" t="s">
        <v>22567</v>
      </c>
      <c r="B11389" s="1" t="str">
        <f>"9780309148870"</f>
        <v>9780309148870</v>
      </c>
      <c r="C11389" s="1" t="s">
        <v>20924</v>
      </c>
      <c r="D11389" s="2">
        <v>40148</v>
      </c>
      <c r="E11389" s="1" t="s">
        <v>22568</v>
      </c>
      <c r="F11389" s="1" t="s">
        <v>30</v>
      </c>
    </row>
    <row r="11390" spans="1:6" ht="30" customHeight="1" x14ac:dyDescent="0.25">
      <c r="A11390" s="1" t="s">
        <v>22569</v>
      </c>
      <c r="B11390" s="1" t="str">
        <f>"9780309149808"</f>
        <v>9780309149808</v>
      </c>
      <c r="C11390" s="1" t="s">
        <v>20924</v>
      </c>
      <c r="D11390" s="2">
        <v>40148</v>
      </c>
      <c r="E11390" s="1" t="s">
        <v>22570</v>
      </c>
      <c r="F11390" s="1" t="s">
        <v>4854</v>
      </c>
    </row>
    <row r="11391" spans="1:6" ht="30" customHeight="1" x14ac:dyDescent="0.25">
      <c r="A11391" s="1" t="s">
        <v>22571</v>
      </c>
      <c r="B11391" s="1" t="str">
        <f>"9780309149860"</f>
        <v>9780309149860</v>
      </c>
      <c r="C11391" s="1" t="s">
        <v>22310</v>
      </c>
      <c r="D11391" s="2">
        <v>40400</v>
      </c>
      <c r="E11391" s="1" t="s">
        <v>22572</v>
      </c>
      <c r="F11391" s="1" t="s">
        <v>30</v>
      </c>
    </row>
    <row r="11392" spans="1:6" ht="30" customHeight="1" x14ac:dyDescent="0.25">
      <c r="A11392" s="1" t="s">
        <v>22573</v>
      </c>
      <c r="B11392" s="1" t="str">
        <f>"9780309154147"</f>
        <v>9780309154147</v>
      </c>
      <c r="C11392" s="1" t="s">
        <v>22310</v>
      </c>
      <c r="D11392" s="2">
        <v>40382</v>
      </c>
      <c r="E11392" s="1" t="s">
        <v>22574</v>
      </c>
      <c r="F11392" s="1" t="s">
        <v>22575</v>
      </c>
    </row>
    <row r="11393" spans="1:6" ht="30" customHeight="1" x14ac:dyDescent="0.25">
      <c r="A11393" s="1" t="s">
        <v>22576</v>
      </c>
      <c r="B11393" s="1" t="str">
        <f>"9780309154536"</f>
        <v>9780309154536</v>
      </c>
      <c r="C11393" s="1" t="s">
        <v>22310</v>
      </c>
      <c r="D11393" s="2">
        <v>40148</v>
      </c>
      <c r="E11393" s="1" t="s">
        <v>22577</v>
      </c>
      <c r="F11393" s="1" t="s">
        <v>2443</v>
      </c>
    </row>
    <row r="11394" spans="1:6" ht="30" customHeight="1" x14ac:dyDescent="0.25">
      <c r="A11394" s="1" t="s">
        <v>22578</v>
      </c>
      <c r="B11394" s="1" t="str">
        <f>"9780309150798"</f>
        <v>9780309150798</v>
      </c>
      <c r="C11394" s="1" t="s">
        <v>22310</v>
      </c>
      <c r="D11394" s="2">
        <v>40148</v>
      </c>
      <c r="E11394" s="1" t="s">
        <v>22579</v>
      </c>
      <c r="F11394" s="1" t="s">
        <v>95</v>
      </c>
    </row>
    <row r="11395" spans="1:6" ht="30" customHeight="1" x14ac:dyDescent="0.25">
      <c r="A11395" s="1" t="s">
        <v>22580</v>
      </c>
      <c r="B11395" s="1" t="str">
        <f>"9780309157827"</f>
        <v>9780309157827</v>
      </c>
      <c r="C11395" s="1" t="s">
        <v>22310</v>
      </c>
      <c r="D11395" s="2">
        <v>40148</v>
      </c>
      <c r="E11395" s="1" t="s">
        <v>22581</v>
      </c>
      <c r="F11395" s="1" t="s">
        <v>22582</v>
      </c>
    </row>
    <row r="11396" spans="1:6" ht="30" customHeight="1" x14ac:dyDescent="0.25">
      <c r="A11396" s="1" t="s">
        <v>22583</v>
      </c>
      <c r="B11396" s="1" t="str">
        <f>"9780309156554"</f>
        <v>9780309156554</v>
      </c>
      <c r="C11396" s="1" t="s">
        <v>22310</v>
      </c>
      <c r="D11396" s="2">
        <v>40148</v>
      </c>
      <c r="E11396" s="1" t="s">
        <v>22584</v>
      </c>
      <c r="F11396" s="1" t="s">
        <v>13</v>
      </c>
    </row>
    <row r="11397" spans="1:6" ht="30" customHeight="1" x14ac:dyDescent="0.25">
      <c r="A11397" s="1" t="s">
        <v>22585</v>
      </c>
      <c r="B11397" s="1" t="str">
        <f>"9780309158503"</f>
        <v>9780309158503</v>
      </c>
      <c r="C11397" s="1" t="s">
        <v>20924</v>
      </c>
      <c r="D11397" s="2">
        <v>40148</v>
      </c>
      <c r="E11397" s="1" t="s">
        <v>22586</v>
      </c>
      <c r="F11397" s="1" t="s">
        <v>148</v>
      </c>
    </row>
    <row r="11398" spans="1:6" ht="30" customHeight="1" x14ac:dyDescent="0.25">
      <c r="A11398" s="1" t="s">
        <v>22587</v>
      </c>
      <c r="B11398" s="1" t="str">
        <f>"9780309119894"</f>
        <v>9780309119894</v>
      </c>
      <c r="C11398" s="1" t="s">
        <v>20924</v>
      </c>
      <c r="D11398" s="2">
        <v>40148</v>
      </c>
      <c r="E11398" s="1" t="s">
        <v>22588</v>
      </c>
      <c r="F11398" s="1" t="s">
        <v>70</v>
      </c>
    </row>
    <row r="11399" spans="1:6" ht="30" customHeight="1" x14ac:dyDescent="0.25">
      <c r="A11399" s="1" t="s">
        <v>22589</v>
      </c>
      <c r="B11399" s="1" t="str">
        <f>"9780309148061"</f>
        <v>9780309148061</v>
      </c>
      <c r="C11399" s="1" t="s">
        <v>20924</v>
      </c>
      <c r="D11399" s="2">
        <v>40465</v>
      </c>
      <c r="E11399" s="1" t="s">
        <v>22590</v>
      </c>
      <c r="F11399" s="1" t="s">
        <v>200</v>
      </c>
    </row>
    <row r="11400" spans="1:6" ht="30" customHeight="1" x14ac:dyDescent="0.25">
      <c r="A11400" s="1" t="s">
        <v>21433</v>
      </c>
      <c r="B11400" s="1" t="str">
        <f>"9780309159456"</f>
        <v>9780309159456</v>
      </c>
      <c r="C11400" s="1" t="s">
        <v>20924</v>
      </c>
      <c r="D11400" s="2">
        <v>40148</v>
      </c>
      <c r="E11400" s="1" t="s">
        <v>22537</v>
      </c>
      <c r="F11400" s="1" t="s">
        <v>33</v>
      </c>
    </row>
    <row r="11401" spans="1:6" ht="30" customHeight="1" x14ac:dyDescent="0.25">
      <c r="A11401" s="1" t="s">
        <v>22591</v>
      </c>
      <c r="B11401" s="1" t="str">
        <f>"9780309158848"</f>
        <v>9780309158848</v>
      </c>
      <c r="C11401" s="1" t="s">
        <v>20924</v>
      </c>
      <c r="D11401" s="2">
        <v>40148</v>
      </c>
      <c r="E11401" s="1" t="s">
        <v>22592</v>
      </c>
      <c r="F11401" s="1" t="s">
        <v>30</v>
      </c>
    </row>
    <row r="11402" spans="1:6" ht="30" customHeight="1" x14ac:dyDescent="0.25">
      <c r="A11402" s="1" t="s">
        <v>22593</v>
      </c>
      <c r="B11402" s="1" t="str">
        <f>"9780309153904"</f>
        <v>9780309153904</v>
      </c>
      <c r="C11402" s="1" t="s">
        <v>20924</v>
      </c>
      <c r="D11402" s="2">
        <v>40478</v>
      </c>
      <c r="E11402" s="1" t="s">
        <v>22594</v>
      </c>
      <c r="F11402" s="1" t="s">
        <v>30</v>
      </c>
    </row>
    <row r="11403" spans="1:6" ht="30" customHeight="1" x14ac:dyDescent="0.25">
      <c r="A11403" s="1" t="s">
        <v>22595</v>
      </c>
      <c r="B11403" s="1" t="str">
        <f>"9780309152747"</f>
        <v>9780309152747</v>
      </c>
      <c r="C11403" s="1" t="s">
        <v>20924</v>
      </c>
      <c r="D11403" s="2">
        <v>40486</v>
      </c>
      <c r="E11403" s="1" t="s">
        <v>22596</v>
      </c>
      <c r="F11403" s="1" t="s">
        <v>30</v>
      </c>
    </row>
    <row r="11404" spans="1:6" ht="30" customHeight="1" x14ac:dyDescent="0.25">
      <c r="A11404" s="1" t="s">
        <v>22597</v>
      </c>
      <c r="B11404" s="1" t="str">
        <f>"9780309156301"</f>
        <v>9780309156301</v>
      </c>
      <c r="C11404" s="1" t="s">
        <v>20924</v>
      </c>
      <c r="D11404" s="2">
        <v>40148</v>
      </c>
      <c r="E11404" s="1" t="s">
        <v>22598</v>
      </c>
      <c r="F11404" s="1" t="s">
        <v>30</v>
      </c>
    </row>
    <row r="11405" spans="1:6" ht="30" customHeight="1" x14ac:dyDescent="0.25">
      <c r="A11405" s="1" t="s">
        <v>22599</v>
      </c>
      <c r="B11405" s="1" t="str">
        <f>"9780309159555"</f>
        <v>9780309159555</v>
      </c>
      <c r="C11405" s="1" t="s">
        <v>20924</v>
      </c>
      <c r="D11405" s="2">
        <v>40148</v>
      </c>
      <c r="E11405" s="1" t="s">
        <v>22600</v>
      </c>
      <c r="F11405" s="1" t="s">
        <v>13</v>
      </c>
    </row>
    <row r="11406" spans="1:6" ht="30" customHeight="1" x14ac:dyDescent="0.25">
      <c r="A11406" s="1" t="s">
        <v>22601</v>
      </c>
      <c r="B11406" s="1" t="str">
        <f>"9780309153331"</f>
        <v>9780309153331</v>
      </c>
      <c r="C11406" s="1" t="s">
        <v>20924</v>
      </c>
      <c r="D11406" s="2">
        <v>40148</v>
      </c>
      <c r="E11406" s="1" t="s">
        <v>22602</v>
      </c>
      <c r="F11406" s="1" t="s">
        <v>13</v>
      </c>
    </row>
    <row r="11407" spans="1:6" ht="30" customHeight="1" x14ac:dyDescent="0.25">
      <c r="A11407" s="1" t="s">
        <v>22603</v>
      </c>
      <c r="B11407" s="1" t="str">
        <f>"9780309157025"</f>
        <v>9780309157025</v>
      </c>
      <c r="C11407" s="1" t="s">
        <v>20924</v>
      </c>
      <c r="D11407" s="2">
        <v>40148</v>
      </c>
      <c r="E11407" s="1" t="s">
        <v>22604</v>
      </c>
      <c r="F11407" s="1" t="s">
        <v>4434</v>
      </c>
    </row>
    <row r="11408" spans="1:6" ht="30" customHeight="1" x14ac:dyDescent="0.25">
      <c r="A11408" s="1" t="s">
        <v>22605</v>
      </c>
      <c r="B11408" s="1" t="str">
        <f>"9780309156998"</f>
        <v>9780309156998</v>
      </c>
      <c r="C11408" s="1" t="s">
        <v>20924</v>
      </c>
      <c r="D11408" s="2">
        <v>40148</v>
      </c>
      <c r="E11408" s="1" t="s">
        <v>22606</v>
      </c>
      <c r="F11408" s="1" t="s">
        <v>7163</v>
      </c>
    </row>
    <row r="11409" spans="1:6" ht="30" customHeight="1" x14ac:dyDescent="0.25">
      <c r="A11409" s="1" t="s">
        <v>22607</v>
      </c>
      <c r="B11409" s="1" t="str">
        <f>"9780309158046"</f>
        <v>9780309158046</v>
      </c>
      <c r="C11409" s="1" t="s">
        <v>20924</v>
      </c>
      <c r="D11409" s="2">
        <v>40148</v>
      </c>
      <c r="E11409" s="1" t="s">
        <v>22608</v>
      </c>
      <c r="F11409" s="1" t="s">
        <v>95</v>
      </c>
    </row>
    <row r="11410" spans="1:6" ht="30" customHeight="1" x14ac:dyDescent="0.25">
      <c r="A11410" s="1" t="s">
        <v>22609</v>
      </c>
      <c r="B11410" s="1" t="str">
        <f>"9780309148818"</f>
        <v>9780309148818</v>
      </c>
      <c r="C11410" s="1" t="s">
        <v>20924</v>
      </c>
      <c r="D11410" s="2">
        <v>40528</v>
      </c>
      <c r="E11410" s="1" t="s">
        <v>22610</v>
      </c>
      <c r="F11410" s="1" t="s">
        <v>148</v>
      </c>
    </row>
    <row r="11411" spans="1:6" ht="30" customHeight="1" x14ac:dyDescent="0.25">
      <c r="A11411" s="1" t="s">
        <v>22611</v>
      </c>
      <c r="B11411" s="1" t="str">
        <f>"9780309162173"</f>
        <v>9780309162173</v>
      </c>
      <c r="C11411" s="1" t="s">
        <v>20924</v>
      </c>
      <c r="D11411" s="2">
        <v>40148</v>
      </c>
      <c r="E11411" s="1" t="s">
        <v>22612</v>
      </c>
      <c r="F11411" s="1" t="s">
        <v>13</v>
      </c>
    </row>
    <row r="11412" spans="1:6" ht="30" customHeight="1" x14ac:dyDescent="0.25">
      <c r="A11412" s="1" t="s">
        <v>22613</v>
      </c>
      <c r="B11412" s="1" t="str">
        <f>"9780309159326"</f>
        <v>9780309159326</v>
      </c>
      <c r="C11412" s="1" t="s">
        <v>20924</v>
      </c>
      <c r="D11412" s="2">
        <v>40148</v>
      </c>
      <c r="E11412" s="1" t="s">
        <v>22614</v>
      </c>
      <c r="F11412" s="1" t="s">
        <v>7296</v>
      </c>
    </row>
    <row r="11413" spans="1:6" ht="30" customHeight="1" x14ac:dyDescent="0.25">
      <c r="A11413" s="1" t="s">
        <v>22615</v>
      </c>
      <c r="B11413" s="1" t="str">
        <f>"9780309159777"</f>
        <v>9780309159777</v>
      </c>
      <c r="C11413" s="1" t="s">
        <v>20924</v>
      </c>
      <c r="D11413" s="2">
        <v>40148</v>
      </c>
      <c r="E11413" s="1" t="s">
        <v>22616</v>
      </c>
      <c r="F11413" s="1" t="s">
        <v>6806</v>
      </c>
    </row>
    <row r="11414" spans="1:6" ht="30" customHeight="1" x14ac:dyDescent="0.25">
      <c r="A11414" s="1" t="s">
        <v>22617</v>
      </c>
      <c r="B11414" s="1" t="str">
        <f>"9780309149907"</f>
        <v>9780309149907</v>
      </c>
      <c r="C11414" s="1" t="s">
        <v>20924</v>
      </c>
      <c r="D11414" s="2">
        <v>40506</v>
      </c>
      <c r="E11414" s="1" t="s">
        <v>22618</v>
      </c>
      <c r="F11414" s="1" t="s">
        <v>30</v>
      </c>
    </row>
    <row r="11415" spans="1:6" ht="30" customHeight="1" x14ac:dyDescent="0.25">
      <c r="A11415" s="1" t="s">
        <v>22619</v>
      </c>
      <c r="B11415" s="1" t="str">
        <f>"9780309156127"</f>
        <v>9780309156127</v>
      </c>
      <c r="C11415" s="1" t="s">
        <v>20924</v>
      </c>
      <c r="D11415" s="2">
        <v>40148</v>
      </c>
      <c r="E11415" s="1" t="s">
        <v>22620</v>
      </c>
      <c r="F11415" s="1" t="s">
        <v>1948</v>
      </c>
    </row>
    <row r="11416" spans="1:6" ht="30" customHeight="1" x14ac:dyDescent="0.25">
      <c r="A11416" s="1" t="s">
        <v>22621</v>
      </c>
      <c r="B11416" s="1" t="str">
        <f>"9780309161893"</f>
        <v>9780309161893</v>
      </c>
      <c r="C11416" s="1" t="s">
        <v>20924</v>
      </c>
      <c r="D11416" s="2">
        <v>40148</v>
      </c>
      <c r="E11416" s="1" t="s">
        <v>22622</v>
      </c>
      <c r="F11416" s="1" t="s">
        <v>13</v>
      </c>
    </row>
    <row r="11417" spans="1:6" ht="30" customHeight="1" x14ac:dyDescent="0.25">
      <c r="A11417" s="1" t="s">
        <v>22623</v>
      </c>
      <c r="B11417" s="1" t="str">
        <f>"9780309156622"</f>
        <v>9780309156622</v>
      </c>
      <c r="C11417" s="1" t="s">
        <v>20924</v>
      </c>
      <c r="D11417" s="2">
        <v>40534</v>
      </c>
      <c r="E11417" s="1" t="s">
        <v>22624</v>
      </c>
      <c r="F11417" s="1" t="s">
        <v>30</v>
      </c>
    </row>
    <row r="11418" spans="1:6" ht="30" customHeight="1" x14ac:dyDescent="0.25">
      <c r="A11418" s="1" t="s">
        <v>22625</v>
      </c>
      <c r="B11418" s="1" t="str">
        <f>"9780309160223"</f>
        <v>9780309160223</v>
      </c>
      <c r="C11418" s="1" t="s">
        <v>20924</v>
      </c>
      <c r="D11418" s="2">
        <v>40148</v>
      </c>
      <c r="E11418" s="1" t="s">
        <v>22608</v>
      </c>
      <c r="F11418" s="1" t="s">
        <v>33</v>
      </c>
    </row>
    <row r="11419" spans="1:6" ht="30" customHeight="1" x14ac:dyDescent="0.25">
      <c r="A11419" s="1" t="s">
        <v>22626</v>
      </c>
      <c r="B11419" s="1" t="str">
        <f>"9780309148849"</f>
        <v>9780309148849</v>
      </c>
      <c r="C11419" s="1" t="s">
        <v>20924</v>
      </c>
      <c r="D11419" s="2">
        <v>40148</v>
      </c>
      <c r="E11419" s="1" t="s">
        <v>22627</v>
      </c>
      <c r="F11419" s="1" t="s">
        <v>13</v>
      </c>
    </row>
    <row r="11420" spans="1:6" ht="30" customHeight="1" x14ac:dyDescent="0.25">
      <c r="A11420" s="1" t="s">
        <v>22628</v>
      </c>
      <c r="B11420" s="1" t="str">
        <f>"9780309156806"</f>
        <v>9780309156806</v>
      </c>
      <c r="C11420" s="1" t="s">
        <v>20924</v>
      </c>
      <c r="D11420" s="2">
        <v>40543</v>
      </c>
      <c r="E11420" s="1" t="s">
        <v>22629</v>
      </c>
      <c r="F11420" s="1" t="s">
        <v>2383</v>
      </c>
    </row>
    <row r="11421" spans="1:6" ht="30" customHeight="1" x14ac:dyDescent="0.25">
      <c r="A11421" s="1" t="s">
        <v>22630</v>
      </c>
      <c r="B11421" s="1" t="str">
        <f>"9780309158152"</f>
        <v>9780309158152</v>
      </c>
      <c r="C11421" s="1" t="s">
        <v>20924</v>
      </c>
      <c r="D11421" s="2">
        <v>40148</v>
      </c>
      <c r="E11421" s="1" t="s">
        <v>22631</v>
      </c>
      <c r="F11421" s="1" t="s">
        <v>17205</v>
      </c>
    </row>
    <row r="11422" spans="1:6" ht="30" customHeight="1" x14ac:dyDescent="0.25">
      <c r="A11422" s="1" t="s">
        <v>22632</v>
      </c>
      <c r="B11422" s="1" t="str">
        <f>"9780309158282"</f>
        <v>9780309158282</v>
      </c>
      <c r="C11422" s="1" t="s">
        <v>20924</v>
      </c>
      <c r="D11422" s="2">
        <v>40148</v>
      </c>
      <c r="E11422" s="1" t="s">
        <v>22633</v>
      </c>
      <c r="F11422" s="1" t="s">
        <v>7304</v>
      </c>
    </row>
    <row r="11423" spans="1:6" ht="30" customHeight="1" x14ac:dyDescent="0.25">
      <c r="A11423" s="1" t="s">
        <v>22634</v>
      </c>
      <c r="B11423" s="1" t="str">
        <f>"9780309163255"</f>
        <v>9780309163255</v>
      </c>
      <c r="C11423" s="1" t="s">
        <v>20924</v>
      </c>
      <c r="D11423" s="2">
        <v>40148</v>
      </c>
      <c r="E11423" s="1" t="s">
        <v>22635</v>
      </c>
      <c r="F11423" s="1" t="s">
        <v>13</v>
      </c>
    </row>
    <row r="11424" spans="1:6" ht="30" customHeight="1" x14ac:dyDescent="0.25">
      <c r="A11424" s="1" t="s">
        <v>22636</v>
      </c>
      <c r="B11424" s="1" t="str">
        <f>"9780309158534"</f>
        <v>9780309158534</v>
      </c>
      <c r="C11424" s="1" t="s">
        <v>20924</v>
      </c>
      <c r="D11424" s="2">
        <v>40513</v>
      </c>
      <c r="E11424" s="1" t="s">
        <v>22637</v>
      </c>
      <c r="F11424" s="1" t="s">
        <v>104</v>
      </c>
    </row>
    <row r="11425" spans="1:6" ht="30" customHeight="1" x14ac:dyDescent="0.25">
      <c r="A11425" s="1" t="s">
        <v>22638</v>
      </c>
      <c r="B11425" s="1" t="str">
        <f>"9780309159661"</f>
        <v>9780309159661</v>
      </c>
      <c r="C11425" s="1" t="s">
        <v>20924</v>
      </c>
      <c r="D11425" s="2">
        <v>40602</v>
      </c>
      <c r="E11425" s="1" t="s">
        <v>22639</v>
      </c>
      <c r="F11425" s="1" t="s">
        <v>13</v>
      </c>
    </row>
    <row r="11426" spans="1:6" ht="30" customHeight="1" x14ac:dyDescent="0.25">
      <c r="A11426" s="1" t="s">
        <v>22640</v>
      </c>
      <c r="B11426" s="1" t="str">
        <f>"9780309161831"</f>
        <v>9780309161831</v>
      </c>
      <c r="C11426" s="1" t="s">
        <v>20924</v>
      </c>
      <c r="D11426" s="2">
        <v>40591</v>
      </c>
      <c r="E11426" s="1" t="s">
        <v>22641</v>
      </c>
      <c r="F11426" s="1" t="s">
        <v>17963</v>
      </c>
    </row>
    <row r="11427" spans="1:6" ht="30" customHeight="1" x14ac:dyDescent="0.25">
      <c r="A11427" s="1" t="s">
        <v>22642</v>
      </c>
      <c r="B11427" s="1" t="str">
        <f>"9780309158244"</f>
        <v>9780309158244</v>
      </c>
      <c r="C11427" s="1" t="s">
        <v>20924</v>
      </c>
      <c r="D11427" s="2">
        <v>40543</v>
      </c>
      <c r="E11427" s="1" t="s">
        <v>22643</v>
      </c>
      <c r="F11427" s="1" t="s">
        <v>126</v>
      </c>
    </row>
    <row r="11428" spans="1:6" ht="30" customHeight="1" x14ac:dyDescent="0.25">
      <c r="A11428" s="1" t="s">
        <v>22644</v>
      </c>
      <c r="B11428" s="1" t="str">
        <f>"9780309157346"</f>
        <v>9780309157346</v>
      </c>
      <c r="C11428" s="1" t="s">
        <v>20924</v>
      </c>
      <c r="D11428" s="2">
        <v>40543</v>
      </c>
      <c r="E11428" s="1" t="s">
        <v>22645</v>
      </c>
      <c r="F11428" s="1" t="s">
        <v>7163</v>
      </c>
    </row>
    <row r="11429" spans="1:6" ht="30" customHeight="1" x14ac:dyDescent="0.25">
      <c r="A11429" s="1" t="s">
        <v>22646</v>
      </c>
      <c r="B11429" s="1" t="str">
        <f>"9780309158909"</f>
        <v>9780309158909</v>
      </c>
      <c r="C11429" s="1" t="s">
        <v>20924</v>
      </c>
      <c r="D11429" s="2">
        <v>40589</v>
      </c>
      <c r="E11429" s="1" t="s">
        <v>22647</v>
      </c>
      <c r="F11429" s="1" t="s">
        <v>7296</v>
      </c>
    </row>
    <row r="11430" spans="1:6" ht="30" customHeight="1" x14ac:dyDescent="0.25">
      <c r="A11430" s="1" t="s">
        <v>22648</v>
      </c>
      <c r="B11430" s="1" t="str">
        <f>"9780309158077"</f>
        <v>9780309158077</v>
      </c>
      <c r="C11430" s="1" t="s">
        <v>20924</v>
      </c>
      <c r="D11430" s="2">
        <v>39972</v>
      </c>
      <c r="E11430" s="1" t="s">
        <v>22649</v>
      </c>
      <c r="F11430" s="1" t="s">
        <v>137</v>
      </c>
    </row>
    <row r="11431" spans="1:6" ht="30" customHeight="1" x14ac:dyDescent="0.25">
      <c r="A11431" s="1" t="s">
        <v>22650</v>
      </c>
      <c r="B11431" s="1" t="str">
        <f>"9780309161862"</f>
        <v>9780309161862</v>
      </c>
      <c r="C11431" s="1" t="s">
        <v>20924</v>
      </c>
      <c r="D11431" s="2">
        <v>40513</v>
      </c>
      <c r="E11431" s="1" t="s">
        <v>22651</v>
      </c>
      <c r="F11431" s="1" t="s">
        <v>95</v>
      </c>
    </row>
    <row r="11432" spans="1:6" ht="30" customHeight="1" x14ac:dyDescent="0.25">
      <c r="A11432" s="1" t="s">
        <v>22652</v>
      </c>
      <c r="B11432" s="1" t="str">
        <f>"9780309161282"</f>
        <v>9780309161282</v>
      </c>
      <c r="C11432" s="1" t="s">
        <v>20924</v>
      </c>
      <c r="D11432" s="2">
        <v>40639</v>
      </c>
      <c r="E11432" s="1" t="s">
        <v>22653</v>
      </c>
      <c r="F11432" s="1" t="s">
        <v>95</v>
      </c>
    </row>
    <row r="11433" spans="1:6" ht="30" customHeight="1" x14ac:dyDescent="0.25">
      <c r="A11433" s="1" t="s">
        <v>22654</v>
      </c>
      <c r="B11433" s="1" t="str">
        <f>"9780309164207"</f>
        <v>9780309164207</v>
      </c>
      <c r="C11433" s="1" t="s">
        <v>20924</v>
      </c>
      <c r="D11433" s="2">
        <v>40634</v>
      </c>
      <c r="E11433" s="1" t="s">
        <v>22624</v>
      </c>
      <c r="F11433" s="1" t="s">
        <v>30</v>
      </c>
    </row>
    <row r="11434" spans="1:6" ht="30" customHeight="1" x14ac:dyDescent="0.25">
      <c r="A11434" s="1" t="s">
        <v>22655</v>
      </c>
      <c r="B11434" s="1" t="str">
        <f>"9780309177184"</f>
        <v>9780309177184</v>
      </c>
      <c r="C11434" s="1" t="s">
        <v>20924</v>
      </c>
      <c r="D11434" s="2">
        <v>40513</v>
      </c>
      <c r="E11434" s="1" t="s">
        <v>22656</v>
      </c>
      <c r="F11434" s="1" t="s">
        <v>95</v>
      </c>
    </row>
    <row r="11435" spans="1:6" ht="30" customHeight="1" x14ac:dyDescent="0.25">
      <c r="A11435" s="1" t="s">
        <v>22657</v>
      </c>
      <c r="B11435" s="1" t="str">
        <f>"9780309160254"</f>
        <v>9780309160254</v>
      </c>
      <c r="C11435" s="1" t="s">
        <v>20924</v>
      </c>
      <c r="D11435" s="2">
        <v>40513</v>
      </c>
      <c r="E11435" s="1" t="s">
        <v>22658</v>
      </c>
      <c r="F11435" s="1" t="s">
        <v>13</v>
      </c>
    </row>
    <row r="11436" spans="1:6" ht="30" customHeight="1" x14ac:dyDescent="0.25">
      <c r="A11436" s="1" t="s">
        <v>22659</v>
      </c>
      <c r="B11436" s="1" t="str">
        <f>"9780309163958"</f>
        <v>9780309163958</v>
      </c>
      <c r="C11436" s="1" t="s">
        <v>20924</v>
      </c>
      <c r="D11436" s="2">
        <v>40632</v>
      </c>
      <c r="E11436" s="1" t="s">
        <v>22660</v>
      </c>
      <c r="F11436" s="1" t="s">
        <v>1152</v>
      </c>
    </row>
    <row r="11437" spans="1:6" ht="30" customHeight="1" x14ac:dyDescent="0.25">
      <c r="A11437" s="1" t="s">
        <v>22661</v>
      </c>
      <c r="B11437" s="1" t="str">
        <f>"9780309209304"</f>
        <v>9780309209304</v>
      </c>
      <c r="C11437" s="1" t="s">
        <v>20924</v>
      </c>
      <c r="D11437" s="2">
        <v>40513</v>
      </c>
      <c r="E11437" s="1" t="s">
        <v>22662</v>
      </c>
      <c r="F11437" s="1" t="s">
        <v>22663</v>
      </c>
    </row>
    <row r="11438" spans="1:6" ht="30" customHeight="1" x14ac:dyDescent="0.25">
      <c r="A11438" s="1" t="s">
        <v>22664</v>
      </c>
      <c r="B11438" s="1" t="str">
        <f>"9780309158466"</f>
        <v>9780309158466</v>
      </c>
      <c r="C11438" s="1" t="s">
        <v>20924</v>
      </c>
      <c r="D11438" s="2">
        <v>40669</v>
      </c>
      <c r="E11438" s="1" t="s">
        <v>22665</v>
      </c>
      <c r="F11438" s="1" t="s">
        <v>95</v>
      </c>
    </row>
    <row r="11439" spans="1:6" ht="30" customHeight="1" x14ac:dyDescent="0.25">
      <c r="A11439" s="1" t="s">
        <v>22666</v>
      </c>
      <c r="B11439" s="1" t="str">
        <f>"9780309185080"</f>
        <v>9780309185080</v>
      </c>
      <c r="C11439" s="1" t="s">
        <v>20924</v>
      </c>
      <c r="D11439" s="2">
        <v>40654</v>
      </c>
      <c r="E11439" s="1" t="s">
        <v>22624</v>
      </c>
      <c r="F11439" s="1" t="s">
        <v>30</v>
      </c>
    </row>
    <row r="11440" spans="1:6" ht="30" customHeight="1" x14ac:dyDescent="0.25">
      <c r="A11440" s="1" t="s">
        <v>22667</v>
      </c>
      <c r="B11440" s="1" t="str">
        <f>"9780309187404"</f>
        <v>9780309187404</v>
      </c>
      <c r="C11440" s="1" t="s">
        <v>20924</v>
      </c>
      <c r="D11440" s="2">
        <v>40688</v>
      </c>
      <c r="E11440" s="1" t="s">
        <v>22668</v>
      </c>
      <c r="F11440" s="1" t="s">
        <v>13</v>
      </c>
    </row>
    <row r="11441" spans="1:6" ht="30" customHeight="1" x14ac:dyDescent="0.25">
      <c r="A11441" s="1" t="s">
        <v>22669</v>
      </c>
      <c r="B11441" s="1" t="str">
        <f>"9780309187435"</f>
        <v>9780309187435</v>
      </c>
      <c r="C11441" s="1" t="s">
        <v>20924</v>
      </c>
      <c r="D11441" s="2">
        <v>40689</v>
      </c>
      <c r="E11441" s="1" t="s">
        <v>22670</v>
      </c>
      <c r="F11441" s="1" t="s">
        <v>13</v>
      </c>
    </row>
    <row r="11442" spans="1:6" ht="30" customHeight="1" x14ac:dyDescent="0.25">
      <c r="A11442" s="1" t="s">
        <v>22671</v>
      </c>
      <c r="B11442" s="1" t="str">
        <f>"9780309212816"</f>
        <v>9780309212816</v>
      </c>
      <c r="C11442" s="1" t="s">
        <v>20924</v>
      </c>
      <c r="D11442" s="2">
        <v>40689</v>
      </c>
      <c r="E11442" s="1" t="s">
        <v>22672</v>
      </c>
      <c r="F11442" s="1" t="s">
        <v>3396</v>
      </c>
    </row>
    <row r="11443" spans="1:6" ht="30" customHeight="1" x14ac:dyDescent="0.25">
      <c r="A11443" s="1" t="s">
        <v>22673</v>
      </c>
      <c r="B11443" s="1" t="str">
        <f>"9780309186353"</f>
        <v>9780309186353</v>
      </c>
      <c r="C11443" s="1" t="s">
        <v>20924</v>
      </c>
      <c r="D11443" s="2">
        <v>40694</v>
      </c>
      <c r="E11443" s="1" t="s">
        <v>22674</v>
      </c>
      <c r="F11443" s="1" t="s">
        <v>13</v>
      </c>
    </row>
    <row r="11444" spans="1:6" ht="30" customHeight="1" x14ac:dyDescent="0.25">
      <c r="A11444" s="1" t="s">
        <v>22675</v>
      </c>
      <c r="B11444" s="1" t="str">
        <f>"9780309211109"</f>
        <v>9780309211109</v>
      </c>
      <c r="C11444" s="1" t="s">
        <v>20924</v>
      </c>
      <c r="D11444" s="2">
        <v>40694</v>
      </c>
      <c r="E11444" s="1" t="s">
        <v>22676</v>
      </c>
      <c r="F11444" s="1" t="s">
        <v>33</v>
      </c>
    </row>
    <row r="11445" spans="1:6" ht="30" customHeight="1" x14ac:dyDescent="0.25">
      <c r="A11445" s="1" t="s">
        <v>22677</v>
      </c>
      <c r="B11445" s="1" t="str">
        <f>"9780309211949"</f>
        <v>9780309211949</v>
      </c>
      <c r="C11445" s="1" t="s">
        <v>20924</v>
      </c>
      <c r="D11445" s="2">
        <v>40694</v>
      </c>
      <c r="E11445" s="1" t="s">
        <v>22678</v>
      </c>
      <c r="F11445" s="1" t="s">
        <v>1319</v>
      </c>
    </row>
    <row r="11446" spans="1:6" ht="30" customHeight="1" x14ac:dyDescent="0.25">
      <c r="A11446" s="1" t="s">
        <v>22679</v>
      </c>
      <c r="B11446" s="1" t="str">
        <f>"9780309210096"</f>
        <v>9780309210096</v>
      </c>
      <c r="C11446" s="1" t="s">
        <v>20924</v>
      </c>
      <c r="D11446" s="2">
        <v>40695</v>
      </c>
      <c r="E11446" s="1" t="s">
        <v>22680</v>
      </c>
      <c r="F11446" s="1" t="s">
        <v>13</v>
      </c>
    </row>
    <row r="11447" spans="1:6" ht="30" customHeight="1" x14ac:dyDescent="0.25">
      <c r="A11447" s="1" t="s">
        <v>22681</v>
      </c>
      <c r="B11447" s="1" t="str">
        <f>"9780309186384"</f>
        <v>9780309186384</v>
      </c>
      <c r="C11447" s="1" t="s">
        <v>20924</v>
      </c>
      <c r="D11447" s="2">
        <v>40661</v>
      </c>
      <c r="E11447" s="1" t="s">
        <v>22682</v>
      </c>
      <c r="F11447" s="1" t="s">
        <v>214</v>
      </c>
    </row>
    <row r="11448" spans="1:6" ht="30" customHeight="1" x14ac:dyDescent="0.25">
      <c r="A11448" s="1" t="s">
        <v>22683</v>
      </c>
      <c r="B11448" s="1" t="str">
        <f>"9780309162074"</f>
        <v>9780309162074</v>
      </c>
      <c r="C11448" s="1" t="s">
        <v>20924</v>
      </c>
      <c r="D11448" s="2">
        <v>40673</v>
      </c>
      <c r="E11448" s="1" t="s">
        <v>22586</v>
      </c>
      <c r="F11448" s="1" t="s">
        <v>30</v>
      </c>
    </row>
    <row r="11449" spans="1:6" ht="30" customHeight="1" x14ac:dyDescent="0.25">
      <c r="A11449" s="1" t="s">
        <v>22684</v>
      </c>
      <c r="B11449" s="1" t="str">
        <f>"9780309162487"</f>
        <v>9780309162487</v>
      </c>
      <c r="C11449" s="1" t="s">
        <v>20924</v>
      </c>
      <c r="D11449" s="2">
        <v>40695</v>
      </c>
      <c r="E11449" s="1" t="s">
        <v>22685</v>
      </c>
      <c r="F11449" s="1" t="s">
        <v>158</v>
      </c>
    </row>
    <row r="11450" spans="1:6" ht="30" customHeight="1" x14ac:dyDescent="0.25">
      <c r="A11450" s="1" t="s">
        <v>22686</v>
      </c>
      <c r="B11450" s="1" t="str">
        <f>"9780309120654"</f>
        <v>9780309120654</v>
      </c>
      <c r="C11450" s="1" t="s">
        <v>20924</v>
      </c>
      <c r="D11450" s="2">
        <v>40708</v>
      </c>
      <c r="E11450" s="1" t="s">
        <v>22687</v>
      </c>
      <c r="F11450" s="1" t="s">
        <v>95</v>
      </c>
    </row>
    <row r="11451" spans="1:6" ht="30" customHeight="1" x14ac:dyDescent="0.25">
      <c r="A11451" s="1" t="s">
        <v>22688</v>
      </c>
      <c r="B11451" s="1" t="str">
        <f>"9780309212373"</f>
        <v>9780309212373</v>
      </c>
      <c r="C11451" s="1" t="s">
        <v>20924</v>
      </c>
      <c r="D11451" s="2">
        <v>40716</v>
      </c>
      <c r="E11451" s="1" t="s">
        <v>22689</v>
      </c>
      <c r="F11451" s="1" t="s">
        <v>95</v>
      </c>
    </row>
    <row r="11452" spans="1:6" ht="30" customHeight="1" x14ac:dyDescent="0.25">
      <c r="A11452" s="1" t="s">
        <v>22690</v>
      </c>
      <c r="B11452" s="1" t="str">
        <f>"9780309162982"</f>
        <v>9780309162982</v>
      </c>
      <c r="C11452" s="1" t="s">
        <v>20924</v>
      </c>
      <c r="D11452" s="2">
        <v>40731</v>
      </c>
      <c r="E11452" s="1" t="s">
        <v>22691</v>
      </c>
      <c r="F11452" s="1" t="s">
        <v>356</v>
      </c>
    </row>
    <row r="11453" spans="1:6" ht="30" customHeight="1" x14ac:dyDescent="0.25">
      <c r="A11453" s="1" t="s">
        <v>22692</v>
      </c>
      <c r="B11453" s="1" t="str">
        <f>"9780309212229"</f>
        <v>9780309212229</v>
      </c>
      <c r="C11453" s="1" t="s">
        <v>20924</v>
      </c>
      <c r="D11453" s="2">
        <v>40729</v>
      </c>
      <c r="E11453" s="1" t="s">
        <v>22693</v>
      </c>
      <c r="F11453" s="1" t="s">
        <v>359</v>
      </c>
    </row>
    <row r="11454" spans="1:6" ht="30" customHeight="1" x14ac:dyDescent="0.25">
      <c r="A11454" s="1" t="s">
        <v>22694</v>
      </c>
      <c r="B11454" s="1" t="str">
        <f>"9780309164177"</f>
        <v>9780309164177</v>
      </c>
      <c r="C11454" s="1" t="s">
        <v>20924</v>
      </c>
      <c r="D11454" s="2">
        <v>40714</v>
      </c>
      <c r="E11454" s="1" t="s">
        <v>22695</v>
      </c>
      <c r="F11454" s="1" t="s">
        <v>30</v>
      </c>
    </row>
    <row r="11455" spans="1:6" ht="30" customHeight="1" x14ac:dyDescent="0.25">
      <c r="A11455" s="1" t="s">
        <v>22696</v>
      </c>
      <c r="B11455" s="1" t="str">
        <f>"9780309212748"</f>
        <v>9780309212748</v>
      </c>
      <c r="C11455" s="1" t="s">
        <v>20924</v>
      </c>
      <c r="D11455" s="2">
        <v>40773</v>
      </c>
      <c r="E11455" s="1" t="s">
        <v>22697</v>
      </c>
      <c r="F11455" s="1" t="s">
        <v>13</v>
      </c>
    </row>
    <row r="11456" spans="1:6" ht="30" customHeight="1" x14ac:dyDescent="0.25">
      <c r="A11456" s="1" t="s">
        <v>22698</v>
      </c>
      <c r="B11456" s="1" t="str">
        <f>"9780309657754"</f>
        <v>9780309657754</v>
      </c>
      <c r="C11456" s="1" t="s">
        <v>20924</v>
      </c>
      <c r="D11456" s="2">
        <v>38897</v>
      </c>
      <c r="E11456" s="1" t="s">
        <v>22699</v>
      </c>
      <c r="F11456" s="1" t="s">
        <v>30</v>
      </c>
    </row>
    <row r="11457" spans="1:6" ht="30" customHeight="1" x14ac:dyDescent="0.25">
      <c r="A11457" s="1" t="s">
        <v>22700</v>
      </c>
      <c r="B11457" s="1" t="str">
        <f>"9780309588836"</f>
        <v>9780309588836</v>
      </c>
      <c r="C11457" s="1" t="s">
        <v>20924</v>
      </c>
      <c r="D11457" s="2">
        <v>29587</v>
      </c>
      <c r="E11457" s="1" t="s">
        <v>22701</v>
      </c>
      <c r="F11457" s="1" t="s">
        <v>13</v>
      </c>
    </row>
    <row r="11458" spans="1:6" ht="30" customHeight="1" x14ac:dyDescent="0.25">
      <c r="A11458" s="1" t="s">
        <v>22702</v>
      </c>
      <c r="B11458" s="1" t="str">
        <f>"9780309592239"</f>
        <v>9780309592239</v>
      </c>
      <c r="C11458" s="1" t="s">
        <v>20924</v>
      </c>
      <c r="D11458" s="2">
        <v>36495</v>
      </c>
      <c r="E11458" s="1" t="s">
        <v>22703</v>
      </c>
      <c r="F11458" s="1" t="s">
        <v>30</v>
      </c>
    </row>
    <row r="11459" spans="1:6" ht="30" customHeight="1" x14ac:dyDescent="0.25">
      <c r="A11459" s="1" t="s">
        <v>22704</v>
      </c>
      <c r="B11459" s="1" t="str">
        <f>"9780309151665"</f>
        <v>9780309151665</v>
      </c>
      <c r="C11459" s="1" t="s">
        <v>20924</v>
      </c>
      <c r="D11459" s="2">
        <v>37335</v>
      </c>
      <c r="E11459" s="1" t="s">
        <v>22705</v>
      </c>
      <c r="F11459" s="1" t="s">
        <v>22706</v>
      </c>
    </row>
    <row r="11460" spans="1:6" ht="30" customHeight="1" x14ac:dyDescent="0.25">
      <c r="A11460" s="1" t="s">
        <v>22707</v>
      </c>
      <c r="B11460" s="1" t="str">
        <f>"9780309591669"</f>
        <v>9780309591669</v>
      </c>
      <c r="C11460" s="1" t="s">
        <v>20924</v>
      </c>
      <c r="D11460" s="2">
        <v>31048</v>
      </c>
      <c r="E11460" s="1" t="s">
        <v>22701</v>
      </c>
      <c r="F11460" s="1" t="s">
        <v>13</v>
      </c>
    </row>
    <row r="11461" spans="1:6" ht="30" customHeight="1" x14ac:dyDescent="0.25">
      <c r="A11461" s="1" t="s">
        <v>22708</v>
      </c>
      <c r="B11461" s="1" t="str">
        <f>"9780309161251"</f>
        <v>9780309161251</v>
      </c>
      <c r="C11461" s="1" t="s">
        <v>20924</v>
      </c>
      <c r="D11461" s="2">
        <v>40513</v>
      </c>
      <c r="E11461" s="1" t="s">
        <v>22709</v>
      </c>
      <c r="F11461" s="1" t="s">
        <v>480</v>
      </c>
    </row>
    <row r="11462" spans="1:6" ht="30" customHeight="1" x14ac:dyDescent="0.25">
      <c r="A11462" s="1" t="s">
        <v>22710</v>
      </c>
      <c r="B11462" s="1" t="str">
        <f>"9780309131674"</f>
        <v>9780309131674</v>
      </c>
      <c r="C11462" s="1" t="s">
        <v>20924</v>
      </c>
      <c r="D11462" s="2">
        <v>39945</v>
      </c>
      <c r="E11462" s="1" t="s">
        <v>22711</v>
      </c>
      <c r="F11462" s="1" t="s">
        <v>95</v>
      </c>
    </row>
    <row r="11463" spans="1:6" ht="30" customHeight="1" x14ac:dyDescent="0.25">
      <c r="A11463" s="1" t="s">
        <v>22712</v>
      </c>
      <c r="B11463" s="1" t="str">
        <f>"9780309566902"</f>
        <v>9780309566902</v>
      </c>
      <c r="C11463" s="1" t="s">
        <v>20924</v>
      </c>
      <c r="D11463" s="2">
        <v>30682</v>
      </c>
      <c r="E11463" s="1" t="s">
        <v>22713</v>
      </c>
      <c r="F11463" s="1" t="s">
        <v>95</v>
      </c>
    </row>
    <row r="11464" spans="1:6" ht="30" customHeight="1" x14ac:dyDescent="0.25">
      <c r="A11464" s="1" t="s">
        <v>22714</v>
      </c>
      <c r="B11464" s="1" t="str">
        <f>"9780309588317"</f>
        <v>9780309588317</v>
      </c>
      <c r="C11464" s="1" t="s">
        <v>20924</v>
      </c>
      <c r="D11464" s="2">
        <v>32478</v>
      </c>
      <c r="E11464" s="1" t="s">
        <v>22120</v>
      </c>
      <c r="F11464" s="1" t="s">
        <v>356</v>
      </c>
    </row>
    <row r="11465" spans="1:6" ht="30" customHeight="1" x14ac:dyDescent="0.25">
      <c r="A11465" s="1" t="s">
        <v>22715</v>
      </c>
      <c r="B11465" s="1" t="str">
        <f>"9780309502542"</f>
        <v>9780309502542</v>
      </c>
      <c r="C11465" s="1" t="s">
        <v>20924</v>
      </c>
      <c r="D11465" s="2">
        <v>37011</v>
      </c>
      <c r="E11465" s="1" t="s">
        <v>22716</v>
      </c>
      <c r="F11465" s="1" t="s">
        <v>4628</v>
      </c>
    </row>
    <row r="11466" spans="1:6" ht="30" customHeight="1" x14ac:dyDescent="0.25">
      <c r="A11466" s="1" t="s">
        <v>22717</v>
      </c>
      <c r="B11466" s="1" t="str">
        <f>"9780309656467"</f>
        <v>9780309656467</v>
      </c>
      <c r="C11466" s="1" t="s">
        <v>20924</v>
      </c>
      <c r="D11466" s="2">
        <v>38958</v>
      </c>
      <c r="E11466" s="1" t="s">
        <v>22718</v>
      </c>
      <c r="F11466" s="1" t="s">
        <v>751</v>
      </c>
    </row>
    <row r="11467" spans="1:6" ht="30" customHeight="1" x14ac:dyDescent="0.25">
      <c r="A11467" s="1" t="s">
        <v>22719</v>
      </c>
      <c r="B11467" s="1" t="str">
        <f>"9780309164238"</f>
        <v>9780309164238</v>
      </c>
      <c r="C11467" s="1" t="s">
        <v>20924</v>
      </c>
      <c r="D11467" s="2">
        <v>40710</v>
      </c>
      <c r="E11467" s="1" t="s">
        <v>22720</v>
      </c>
      <c r="F11467" s="1" t="s">
        <v>13</v>
      </c>
    </row>
    <row r="11468" spans="1:6" ht="30" customHeight="1" x14ac:dyDescent="0.25">
      <c r="A11468" s="1" t="s">
        <v>22721</v>
      </c>
      <c r="B11468" s="1" t="str">
        <f>"9780309565400"</f>
        <v>9780309565400</v>
      </c>
      <c r="C11468" s="1" t="s">
        <v>20924</v>
      </c>
      <c r="D11468" s="2">
        <v>37014</v>
      </c>
      <c r="E11468" s="1" t="s">
        <v>22722</v>
      </c>
      <c r="F11468" s="1" t="s">
        <v>13</v>
      </c>
    </row>
    <row r="11469" spans="1:6" ht="30" customHeight="1" x14ac:dyDescent="0.25">
      <c r="A11469" s="1" t="s">
        <v>22723</v>
      </c>
      <c r="B11469" s="1" t="str">
        <f>"9780309513296"</f>
        <v>9780309513296</v>
      </c>
      <c r="C11469" s="1" t="s">
        <v>20924</v>
      </c>
      <c r="D11469" s="2">
        <v>37153</v>
      </c>
      <c r="E11469" s="1" t="s">
        <v>22724</v>
      </c>
      <c r="F11469" s="1" t="s">
        <v>13</v>
      </c>
    </row>
    <row r="11470" spans="1:6" ht="30" customHeight="1" x14ac:dyDescent="0.25">
      <c r="A11470" s="1" t="s">
        <v>22725</v>
      </c>
      <c r="B11470" s="1" t="str">
        <f>"9780309120616"</f>
        <v>9780309120616</v>
      </c>
      <c r="C11470" s="1" t="s">
        <v>20924</v>
      </c>
      <c r="D11470" s="2">
        <v>40526</v>
      </c>
      <c r="E11470" s="1" t="s">
        <v>22726</v>
      </c>
      <c r="F11470" s="1" t="s">
        <v>95</v>
      </c>
    </row>
    <row r="11471" spans="1:6" ht="30" customHeight="1" x14ac:dyDescent="0.25">
      <c r="A11471" s="1" t="s">
        <v>22727</v>
      </c>
      <c r="B11471" s="1" t="str">
        <f>"9780309212625"</f>
        <v>9780309212625</v>
      </c>
      <c r="C11471" s="1" t="s">
        <v>20924</v>
      </c>
      <c r="D11471" s="2">
        <v>40750</v>
      </c>
      <c r="E11471" s="1" t="s">
        <v>22728</v>
      </c>
      <c r="F11471" s="1" t="s">
        <v>13</v>
      </c>
    </row>
    <row r="11472" spans="1:6" ht="30" customHeight="1" x14ac:dyDescent="0.25">
      <c r="A11472" s="1" t="s">
        <v>22729</v>
      </c>
      <c r="B11472" s="1" t="str">
        <f>"9780309210201"</f>
        <v>9780309210201</v>
      </c>
      <c r="C11472" s="1" t="s">
        <v>20924</v>
      </c>
      <c r="D11472" s="2">
        <v>40763</v>
      </c>
      <c r="E11472" s="1" t="s">
        <v>22730</v>
      </c>
      <c r="F11472" s="1" t="s">
        <v>13</v>
      </c>
    </row>
    <row r="11473" spans="1:6" ht="30" customHeight="1" x14ac:dyDescent="0.25">
      <c r="A11473" s="1" t="s">
        <v>22731</v>
      </c>
      <c r="B11473" s="1" t="str">
        <f>"9780309659529"</f>
        <v>9780309659529</v>
      </c>
      <c r="C11473" s="1" t="s">
        <v>20924</v>
      </c>
      <c r="D11473" s="2">
        <v>38952</v>
      </c>
      <c r="E11473" s="1" t="s">
        <v>22732</v>
      </c>
      <c r="F11473" s="1" t="s">
        <v>599</v>
      </c>
    </row>
    <row r="11474" spans="1:6" ht="30" customHeight="1" x14ac:dyDescent="0.25">
      <c r="A11474" s="1" t="s">
        <v>22733</v>
      </c>
      <c r="B11474" s="1" t="str">
        <f>"9780309163224"</f>
        <v>9780309163224</v>
      </c>
      <c r="C11474" s="1" t="s">
        <v>20924</v>
      </c>
      <c r="D11474" s="2">
        <v>40702</v>
      </c>
      <c r="E11474" s="1" t="s">
        <v>22734</v>
      </c>
      <c r="F11474" s="1" t="s">
        <v>27</v>
      </c>
    </row>
    <row r="11475" spans="1:6" ht="30" customHeight="1" x14ac:dyDescent="0.25">
      <c r="A11475" s="1" t="s">
        <v>22735</v>
      </c>
      <c r="B11475" s="1" t="str">
        <f>"9780309214919"</f>
        <v>9780309214919</v>
      </c>
      <c r="C11475" s="1" t="s">
        <v>20924</v>
      </c>
      <c r="D11475" s="2">
        <v>40751</v>
      </c>
      <c r="E11475" s="1" t="s">
        <v>22736</v>
      </c>
      <c r="F11475" s="1" t="s">
        <v>599</v>
      </c>
    </row>
    <row r="11476" spans="1:6" ht="30" customHeight="1" x14ac:dyDescent="0.25">
      <c r="A11476" s="1" t="s">
        <v>22737</v>
      </c>
      <c r="B11476" s="1" t="str">
        <f>"9780309520065"</f>
        <v>9780309520065</v>
      </c>
      <c r="C11476" s="1" t="s">
        <v>20924</v>
      </c>
      <c r="D11476" s="2">
        <v>36362</v>
      </c>
      <c r="E11476" s="1" t="s">
        <v>22738</v>
      </c>
      <c r="F11476" s="1" t="s">
        <v>70</v>
      </c>
    </row>
    <row r="11477" spans="1:6" ht="30" customHeight="1" x14ac:dyDescent="0.25">
      <c r="A11477" s="1" t="s">
        <v>22739</v>
      </c>
      <c r="B11477" s="1" t="str">
        <f>"9780309120692"</f>
        <v>9780309120692</v>
      </c>
      <c r="C11477" s="1" t="s">
        <v>20924</v>
      </c>
      <c r="D11477" s="2">
        <v>40703</v>
      </c>
      <c r="E11477" s="1" t="s">
        <v>22740</v>
      </c>
      <c r="F11477" s="1" t="s">
        <v>13</v>
      </c>
    </row>
    <row r="11478" spans="1:6" ht="30" customHeight="1" x14ac:dyDescent="0.25">
      <c r="A11478" s="1" t="s">
        <v>22741</v>
      </c>
      <c r="B11478" s="1" t="str">
        <f>"9780309566728"</f>
        <v>9780309566728</v>
      </c>
      <c r="C11478" s="1" t="s">
        <v>20924</v>
      </c>
      <c r="D11478" s="2">
        <v>30317</v>
      </c>
      <c r="E11478" s="1" t="s">
        <v>22742</v>
      </c>
      <c r="F11478" s="1" t="s">
        <v>95</v>
      </c>
    </row>
    <row r="11479" spans="1:6" ht="30" customHeight="1" x14ac:dyDescent="0.25">
      <c r="A11479" s="1" t="s">
        <v>22743</v>
      </c>
      <c r="B11479" s="1" t="str">
        <f>"9780309589703"</f>
        <v>9780309589703</v>
      </c>
      <c r="C11479" s="1" t="s">
        <v>20924</v>
      </c>
      <c r="D11479" s="2">
        <v>37041</v>
      </c>
      <c r="E11479" s="1" t="s">
        <v>22120</v>
      </c>
      <c r="F11479" s="1" t="s">
        <v>158</v>
      </c>
    </row>
    <row r="11480" spans="1:6" ht="30" customHeight="1" x14ac:dyDescent="0.25">
      <c r="A11480" s="1" t="s">
        <v>22744</v>
      </c>
      <c r="B11480" s="1" t="str">
        <f>"9780309113670"</f>
        <v>9780309113670</v>
      </c>
      <c r="C11480" s="1" t="s">
        <v>20924</v>
      </c>
      <c r="D11480" s="2">
        <v>39475</v>
      </c>
      <c r="E11480" s="1" t="s">
        <v>22745</v>
      </c>
      <c r="F11480" s="1" t="s">
        <v>21141</v>
      </c>
    </row>
    <row r="11481" spans="1:6" ht="30" customHeight="1" x14ac:dyDescent="0.25">
      <c r="A11481" s="1" t="s">
        <v>22746</v>
      </c>
      <c r="B11481" s="1" t="str">
        <f>"9780309164269"</f>
        <v>9780309164269</v>
      </c>
      <c r="C11481" s="1" t="s">
        <v>20924</v>
      </c>
      <c r="D11481" s="2">
        <v>40714</v>
      </c>
      <c r="E11481" s="1" t="s">
        <v>22747</v>
      </c>
      <c r="F11481" s="1" t="s">
        <v>148</v>
      </c>
    </row>
    <row r="11482" spans="1:6" ht="30" customHeight="1" x14ac:dyDescent="0.25">
      <c r="A11482" s="1" t="s">
        <v>22748</v>
      </c>
      <c r="B11482" s="1" t="str">
        <f>"9780309138734"</f>
        <v>9780309138734</v>
      </c>
      <c r="C11482" s="1" t="s">
        <v>20924</v>
      </c>
      <c r="D11482" s="2">
        <v>39783</v>
      </c>
      <c r="E11482" s="1" t="s">
        <v>22749</v>
      </c>
      <c r="F11482" s="1" t="s">
        <v>1349</v>
      </c>
    </row>
    <row r="11483" spans="1:6" ht="30" customHeight="1" x14ac:dyDescent="0.25">
      <c r="A11483" s="1" t="s">
        <v>22750</v>
      </c>
      <c r="B11483" s="1" t="str">
        <f>"9780309187466"</f>
        <v>9780309187466</v>
      </c>
      <c r="C11483" s="1" t="s">
        <v>20924</v>
      </c>
      <c r="D11483" s="2">
        <v>40798</v>
      </c>
      <c r="E11483" s="1" t="s">
        <v>22751</v>
      </c>
      <c r="F11483" s="1" t="s">
        <v>33</v>
      </c>
    </row>
    <row r="11484" spans="1:6" ht="30" customHeight="1" x14ac:dyDescent="0.25">
      <c r="A11484" s="1" t="s">
        <v>22752</v>
      </c>
      <c r="B11484" s="1" t="str">
        <f>"9780309212274"</f>
        <v>9780309212274</v>
      </c>
      <c r="C11484" s="1" t="s">
        <v>20924</v>
      </c>
      <c r="D11484" s="2">
        <v>40794</v>
      </c>
      <c r="E11484" s="1" t="s">
        <v>22753</v>
      </c>
      <c r="F11484" s="1" t="s">
        <v>214</v>
      </c>
    </row>
    <row r="11485" spans="1:6" ht="30" customHeight="1" x14ac:dyDescent="0.25">
      <c r="A11485" s="1" t="s">
        <v>22754</v>
      </c>
      <c r="B11485" s="1" t="str">
        <f>"9780309149945"</f>
        <v>9780309149945</v>
      </c>
      <c r="C11485" s="1" t="s">
        <v>20924</v>
      </c>
      <c r="D11485" s="2">
        <v>40807</v>
      </c>
      <c r="E11485" s="1" t="s">
        <v>22755</v>
      </c>
      <c r="F11485" s="1" t="s">
        <v>30</v>
      </c>
    </row>
    <row r="11486" spans="1:6" ht="30" customHeight="1" x14ac:dyDescent="0.25">
      <c r="A11486" s="1" t="s">
        <v>22756</v>
      </c>
      <c r="B11486" s="1" t="str">
        <f>"9780309217446"</f>
        <v>9780309217446</v>
      </c>
      <c r="C11486" s="1" t="s">
        <v>20924</v>
      </c>
      <c r="D11486" s="2">
        <v>40812</v>
      </c>
      <c r="E11486" s="1" t="s">
        <v>22757</v>
      </c>
      <c r="F11486" s="1" t="s">
        <v>356</v>
      </c>
    </row>
    <row r="11487" spans="1:6" ht="30" customHeight="1" x14ac:dyDescent="0.25">
      <c r="A11487" s="1" t="s">
        <v>22758</v>
      </c>
      <c r="B11487" s="1" t="str">
        <f>"9780309219303"</f>
        <v>9780309219303</v>
      </c>
      <c r="C11487" s="1" t="s">
        <v>20924</v>
      </c>
      <c r="D11487" s="2">
        <v>40908</v>
      </c>
      <c r="E11487" s="1" t="s">
        <v>22759</v>
      </c>
      <c r="F11487" s="1" t="s">
        <v>13</v>
      </c>
    </row>
    <row r="11488" spans="1:6" ht="30" customHeight="1" x14ac:dyDescent="0.25">
      <c r="A11488" s="1" t="s">
        <v>22760</v>
      </c>
      <c r="B11488" s="1" t="str">
        <f>"9780309212694"</f>
        <v>9780309212694</v>
      </c>
      <c r="C11488" s="1" t="s">
        <v>20924</v>
      </c>
      <c r="D11488" s="2">
        <v>40805</v>
      </c>
      <c r="E11488" s="1" t="s">
        <v>22761</v>
      </c>
      <c r="F11488" s="1" t="s">
        <v>13</v>
      </c>
    </row>
    <row r="11489" spans="1:6" ht="30" customHeight="1" x14ac:dyDescent="0.25">
      <c r="A11489" s="1" t="s">
        <v>22762</v>
      </c>
      <c r="B11489" s="1" t="str">
        <f>"9780309154178"</f>
        <v>9780309154178</v>
      </c>
      <c r="C11489" s="1" t="s">
        <v>20924</v>
      </c>
      <c r="D11489" s="2">
        <v>40807</v>
      </c>
      <c r="E11489" s="1" t="s">
        <v>22763</v>
      </c>
      <c r="F11489" s="1" t="s">
        <v>13</v>
      </c>
    </row>
    <row r="11490" spans="1:6" ht="30" customHeight="1" x14ac:dyDescent="0.25">
      <c r="A11490" s="1" t="s">
        <v>21433</v>
      </c>
      <c r="B11490" s="1" t="str">
        <f>"9780309219884"</f>
        <v>9780309219884</v>
      </c>
      <c r="C11490" s="1" t="s">
        <v>20924</v>
      </c>
      <c r="D11490" s="2">
        <v>40814</v>
      </c>
      <c r="E11490" s="1" t="s">
        <v>22537</v>
      </c>
      <c r="F11490" s="1" t="s">
        <v>70</v>
      </c>
    </row>
    <row r="11491" spans="1:6" ht="30" customHeight="1" x14ac:dyDescent="0.25">
      <c r="A11491" s="1" t="s">
        <v>22764</v>
      </c>
      <c r="B11491" s="1" t="str">
        <f>"9780309215732"</f>
        <v>9780309215732</v>
      </c>
      <c r="C11491" s="1" t="s">
        <v>20924</v>
      </c>
      <c r="D11491" s="2">
        <v>40854</v>
      </c>
      <c r="E11491" s="1" t="s">
        <v>22765</v>
      </c>
      <c r="F11491" s="1" t="s">
        <v>30</v>
      </c>
    </row>
    <row r="11492" spans="1:6" ht="30" customHeight="1" x14ac:dyDescent="0.25">
      <c r="A11492" s="1" t="s">
        <v>22766</v>
      </c>
      <c r="B11492" s="1" t="str">
        <f>"9780309217569"</f>
        <v>9780309217569</v>
      </c>
      <c r="C11492" s="1" t="s">
        <v>20924</v>
      </c>
      <c r="D11492" s="2">
        <v>40847</v>
      </c>
      <c r="E11492" s="1" t="s">
        <v>22767</v>
      </c>
      <c r="F11492" s="1" t="s">
        <v>19548</v>
      </c>
    </row>
    <row r="11493" spans="1:6" ht="30" customHeight="1" x14ac:dyDescent="0.25">
      <c r="A11493" s="1" t="s">
        <v>22768</v>
      </c>
      <c r="B11493" s="1" t="str">
        <f>"9780309220606"</f>
        <v>9780309220606</v>
      </c>
      <c r="C11493" s="1" t="s">
        <v>20924</v>
      </c>
      <c r="D11493" s="2">
        <v>40879</v>
      </c>
      <c r="E11493" s="1" t="s">
        <v>22769</v>
      </c>
      <c r="F11493" s="1" t="s">
        <v>234</v>
      </c>
    </row>
    <row r="11494" spans="1:6" ht="30" customHeight="1" x14ac:dyDescent="0.25">
      <c r="A11494" s="1" t="s">
        <v>22770</v>
      </c>
      <c r="B11494" s="1" t="str">
        <f>"9780309219204"</f>
        <v>9780309219204</v>
      </c>
      <c r="C11494" s="1" t="s">
        <v>20924</v>
      </c>
      <c r="D11494" s="2">
        <v>40830</v>
      </c>
      <c r="E11494" s="1" t="s">
        <v>22771</v>
      </c>
      <c r="F11494" s="1" t="s">
        <v>904</v>
      </c>
    </row>
    <row r="11495" spans="1:6" ht="30" customHeight="1" x14ac:dyDescent="0.25">
      <c r="A11495" s="1" t="s">
        <v>22772</v>
      </c>
      <c r="B11495" s="1" t="str">
        <f>"9780309210256"</f>
        <v>9780309210256</v>
      </c>
      <c r="C11495" s="1" t="s">
        <v>20924</v>
      </c>
      <c r="D11495" s="2">
        <v>40847</v>
      </c>
      <c r="E11495" s="1" t="s">
        <v>22773</v>
      </c>
      <c r="F11495" s="1" t="s">
        <v>13</v>
      </c>
    </row>
    <row r="11496" spans="1:6" ht="30" customHeight="1" x14ac:dyDescent="0.25">
      <c r="A11496" s="1" t="s">
        <v>22774</v>
      </c>
      <c r="B11496" s="1" t="str">
        <f>"9780309212434"</f>
        <v>9780309212434</v>
      </c>
      <c r="C11496" s="1" t="s">
        <v>20924</v>
      </c>
      <c r="D11496" s="2">
        <v>40841</v>
      </c>
      <c r="E11496" s="1" t="s">
        <v>22775</v>
      </c>
      <c r="F11496" s="1" t="s">
        <v>22776</v>
      </c>
    </row>
    <row r="11497" spans="1:6" ht="30" customHeight="1" x14ac:dyDescent="0.25">
      <c r="A11497" s="1" t="s">
        <v>22777</v>
      </c>
      <c r="B11497" s="1" t="str">
        <f>"9780309215497"</f>
        <v>9780309215497</v>
      </c>
      <c r="C11497" s="1" t="s">
        <v>20924</v>
      </c>
      <c r="D11497" s="2">
        <v>40822</v>
      </c>
      <c r="E11497" s="1" t="s">
        <v>22778</v>
      </c>
      <c r="F11497" s="1" t="s">
        <v>114</v>
      </c>
    </row>
    <row r="11498" spans="1:6" ht="30" customHeight="1" x14ac:dyDescent="0.25">
      <c r="A11498" s="1" t="s">
        <v>22779</v>
      </c>
      <c r="B11498" s="1" t="str">
        <f>"9780309144346"</f>
        <v>9780309144346</v>
      </c>
      <c r="C11498" s="1" t="s">
        <v>20924</v>
      </c>
      <c r="D11498" s="2">
        <v>40178</v>
      </c>
      <c r="E11498" s="1" t="s">
        <v>22780</v>
      </c>
      <c r="F11498" s="1" t="s">
        <v>5106</v>
      </c>
    </row>
    <row r="11499" spans="1:6" ht="30" customHeight="1" x14ac:dyDescent="0.25">
      <c r="A11499" s="1" t="s">
        <v>22781</v>
      </c>
      <c r="B11499" s="1" t="str">
        <f>"9780309186926"</f>
        <v>9780309186926</v>
      </c>
      <c r="C11499" s="1" t="s">
        <v>20924</v>
      </c>
      <c r="D11499" s="2">
        <v>40851</v>
      </c>
      <c r="E11499" s="1" t="s">
        <v>22653</v>
      </c>
      <c r="F11499" s="1" t="s">
        <v>95</v>
      </c>
    </row>
    <row r="11500" spans="1:6" ht="30" customHeight="1" x14ac:dyDescent="0.25">
      <c r="A11500" s="1" t="s">
        <v>22782</v>
      </c>
      <c r="B11500" s="1" t="str">
        <f>"9780309218849"</f>
        <v>9780309218849</v>
      </c>
      <c r="C11500" s="1" t="s">
        <v>20924</v>
      </c>
      <c r="D11500" s="2">
        <v>40830</v>
      </c>
      <c r="E11500" s="1" t="s">
        <v>22783</v>
      </c>
      <c r="F11500" s="1" t="s">
        <v>95</v>
      </c>
    </row>
    <row r="11501" spans="1:6" ht="30" customHeight="1" x14ac:dyDescent="0.25">
      <c r="A11501" s="1" t="s">
        <v>22784</v>
      </c>
      <c r="B11501" s="1" t="str">
        <f>"9780309214858"</f>
        <v>9780309214858</v>
      </c>
      <c r="C11501" s="1" t="s">
        <v>20924</v>
      </c>
      <c r="D11501" s="2">
        <v>40513</v>
      </c>
      <c r="E11501" s="1" t="s">
        <v>22785</v>
      </c>
      <c r="F11501" s="1" t="s">
        <v>13</v>
      </c>
    </row>
    <row r="11502" spans="1:6" ht="30" customHeight="1" x14ac:dyDescent="0.25">
      <c r="A11502" s="1" t="s">
        <v>22786</v>
      </c>
      <c r="B11502" s="1" t="str">
        <f>"9780309215398"</f>
        <v>9780309215398</v>
      </c>
      <c r="C11502" s="1" t="s">
        <v>20924</v>
      </c>
      <c r="D11502" s="2">
        <v>40843</v>
      </c>
      <c r="E11502" s="1" t="s">
        <v>22787</v>
      </c>
      <c r="F11502" s="1" t="s">
        <v>95</v>
      </c>
    </row>
    <row r="11503" spans="1:6" ht="30" customHeight="1" x14ac:dyDescent="0.25">
      <c r="A11503" s="1" t="s">
        <v>22788</v>
      </c>
      <c r="B11503" s="1" t="str">
        <f>"9780309215787"</f>
        <v>9780309215787</v>
      </c>
      <c r="C11503" s="1" t="s">
        <v>20924</v>
      </c>
      <c r="D11503" s="2">
        <v>40847</v>
      </c>
      <c r="E11503" s="1" t="s">
        <v>22789</v>
      </c>
      <c r="F11503" s="1" t="s">
        <v>70</v>
      </c>
    </row>
    <row r="11504" spans="1:6" ht="30" customHeight="1" x14ac:dyDescent="0.25">
      <c r="A11504" s="1" t="s">
        <v>22790</v>
      </c>
      <c r="B11504" s="1" t="str">
        <f>"9780309186315"</f>
        <v>9780309186315</v>
      </c>
      <c r="C11504" s="1" t="s">
        <v>20924</v>
      </c>
      <c r="D11504" s="2">
        <v>40882</v>
      </c>
      <c r="E11504" s="1" t="s">
        <v>22791</v>
      </c>
      <c r="F11504" s="1" t="s">
        <v>13</v>
      </c>
    </row>
    <row r="11505" spans="1:6" ht="30" customHeight="1" x14ac:dyDescent="0.25">
      <c r="A11505" s="1" t="s">
        <v>22792</v>
      </c>
      <c r="B11505" s="1" t="str">
        <f>"9780309218191"</f>
        <v>9780309218191</v>
      </c>
      <c r="C11505" s="1" t="s">
        <v>20924</v>
      </c>
      <c r="D11505" s="2">
        <v>40905</v>
      </c>
      <c r="E11505" s="1" t="s">
        <v>22793</v>
      </c>
      <c r="F11505" s="1" t="s">
        <v>13</v>
      </c>
    </row>
    <row r="11506" spans="1:6" ht="30" customHeight="1" x14ac:dyDescent="0.25">
      <c r="A11506" s="1" t="s">
        <v>22794</v>
      </c>
      <c r="B11506" s="1" t="str">
        <f>"9780309221955"</f>
        <v>9780309221955</v>
      </c>
      <c r="C11506" s="1" t="s">
        <v>20924</v>
      </c>
      <c r="D11506" s="2">
        <v>40931</v>
      </c>
      <c r="E11506" s="1" t="s">
        <v>22795</v>
      </c>
      <c r="F11506" s="1" t="s">
        <v>22796</v>
      </c>
    </row>
    <row r="11507" spans="1:6" ht="30" customHeight="1" x14ac:dyDescent="0.25">
      <c r="A11507" s="1" t="s">
        <v>22797</v>
      </c>
      <c r="B11507" s="1" t="str">
        <f>"9780309215442"</f>
        <v>9780309215442</v>
      </c>
      <c r="C11507" s="1" t="s">
        <v>20924</v>
      </c>
      <c r="D11507" s="2">
        <v>40908</v>
      </c>
      <c r="E11507" s="1" t="s">
        <v>22798</v>
      </c>
      <c r="F11507" s="1" t="s">
        <v>95</v>
      </c>
    </row>
    <row r="11508" spans="1:6" ht="30" customHeight="1" x14ac:dyDescent="0.25">
      <c r="A11508" s="1" t="s">
        <v>22799</v>
      </c>
      <c r="B11508" s="1" t="str">
        <f>"9780309219150"</f>
        <v>9780309219150</v>
      </c>
      <c r="C11508" s="1" t="s">
        <v>20924</v>
      </c>
      <c r="D11508" s="2">
        <v>40908</v>
      </c>
      <c r="E11508" s="1" t="s">
        <v>22800</v>
      </c>
      <c r="F11508" s="1" t="s">
        <v>30</v>
      </c>
    </row>
    <row r="11509" spans="1:6" ht="30" customHeight="1" x14ac:dyDescent="0.25">
      <c r="A11509" s="1" t="s">
        <v>22801</v>
      </c>
      <c r="B11509" s="1" t="str">
        <f>"9780309222235"</f>
        <v>9780309222235</v>
      </c>
      <c r="C11509" s="1" t="s">
        <v>20924</v>
      </c>
      <c r="D11509" s="2">
        <v>40893</v>
      </c>
      <c r="E11509" s="1" t="s">
        <v>22802</v>
      </c>
      <c r="F11509" s="1" t="s">
        <v>13</v>
      </c>
    </row>
    <row r="11510" spans="1:6" ht="30" customHeight="1" x14ac:dyDescent="0.25">
      <c r="A11510" s="1" t="s">
        <v>22803</v>
      </c>
      <c r="B11510" s="1" t="str">
        <f>"9780309209472"</f>
        <v>9780309209472</v>
      </c>
      <c r="C11510" s="1" t="s">
        <v>20924</v>
      </c>
      <c r="D11510" s="2">
        <v>40899</v>
      </c>
      <c r="E11510" s="1" t="s">
        <v>22804</v>
      </c>
      <c r="F11510" s="1" t="s">
        <v>13</v>
      </c>
    </row>
    <row r="11511" spans="1:6" ht="30" customHeight="1" x14ac:dyDescent="0.25">
      <c r="A11511" s="1" t="s">
        <v>22805</v>
      </c>
      <c r="B11511" s="1" t="str">
        <f>"9780309218245"</f>
        <v>9780309218245</v>
      </c>
      <c r="C11511" s="1" t="s">
        <v>20924</v>
      </c>
      <c r="D11511" s="2">
        <v>40907</v>
      </c>
      <c r="E11511" s="1" t="s">
        <v>22806</v>
      </c>
      <c r="F11511" s="1" t="s">
        <v>95</v>
      </c>
    </row>
    <row r="11512" spans="1:6" ht="30" customHeight="1" x14ac:dyDescent="0.25">
      <c r="A11512" s="1" t="s">
        <v>22807</v>
      </c>
      <c r="B11512" s="1" t="str">
        <f>"9780309222402"</f>
        <v>9780309222402</v>
      </c>
      <c r="C11512" s="1" t="s">
        <v>22310</v>
      </c>
      <c r="D11512" s="2">
        <v>40961</v>
      </c>
      <c r="E11512" s="1" t="s">
        <v>22808</v>
      </c>
      <c r="F11512" s="1" t="s">
        <v>33</v>
      </c>
    </row>
    <row r="11513" spans="1:6" ht="30" customHeight="1" x14ac:dyDescent="0.25">
      <c r="A11513" s="1" t="s">
        <v>22809</v>
      </c>
      <c r="B11513" s="1" t="str">
        <f>"9780309220354"</f>
        <v>9780309220354</v>
      </c>
      <c r="C11513" s="1" t="s">
        <v>22310</v>
      </c>
      <c r="D11513" s="2">
        <v>40945</v>
      </c>
      <c r="E11513" s="1" t="s">
        <v>22810</v>
      </c>
      <c r="F11513" s="1" t="s">
        <v>359</v>
      </c>
    </row>
    <row r="11514" spans="1:6" ht="30" customHeight="1" x14ac:dyDescent="0.25">
      <c r="A11514" s="1" t="s">
        <v>22811</v>
      </c>
      <c r="B11514" s="1" t="str">
        <f>"9780309220651"</f>
        <v>9780309220651</v>
      </c>
      <c r="C11514" s="1" t="s">
        <v>22310</v>
      </c>
      <c r="D11514" s="2">
        <v>40945</v>
      </c>
      <c r="E11514" s="1" t="s">
        <v>22812</v>
      </c>
      <c r="F11514" s="1" t="s">
        <v>13</v>
      </c>
    </row>
    <row r="11515" spans="1:6" ht="30" customHeight="1" x14ac:dyDescent="0.25">
      <c r="A11515" s="1" t="s">
        <v>22813</v>
      </c>
      <c r="B11515" s="1" t="str">
        <f>"9780309220309"</f>
        <v>9780309220309</v>
      </c>
      <c r="C11515" s="1" t="s">
        <v>22310</v>
      </c>
      <c r="D11515" s="2">
        <v>40949</v>
      </c>
      <c r="E11515" s="1" t="s">
        <v>22814</v>
      </c>
      <c r="F11515" s="1" t="s">
        <v>13</v>
      </c>
    </row>
    <row r="11516" spans="1:6" ht="30" customHeight="1" x14ac:dyDescent="0.25">
      <c r="A11516" s="1" t="s">
        <v>22815</v>
      </c>
      <c r="B11516" s="1" t="str">
        <f>"9780309218092"</f>
        <v>9780309218092</v>
      </c>
      <c r="C11516" s="1" t="s">
        <v>22310</v>
      </c>
      <c r="D11516" s="2">
        <v>40934</v>
      </c>
      <c r="E11516" s="1" t="s">
        <v>22816</v>
      </c>
      <c r="F11516" s="1" t="s">
        <v>158</v>
      </c>
    </row>
    <row r="11517" spans="1:6" ht="30" customHeight="1" x14ac:dyDescent="0.25">
      <c r="A11517" s="1" t="s">
        <v>22817</v>
      </c>
      <c r="B11517" s="1" t="str">
        <f>"9780309253062"</f>
        <v>9780309253062</v>
      </c>
      <c r="C11517" s="1" t="s">
        <v>22310</v>
      </c>
      <c r="D11517" s="2">
        <v>40987</v>
      </c>
      <c r="E11517" s="1" t="s">
        <v>22818</v>
      </c>
      <c r="F11517" s="1" t="s">
        <v>304</v>
      </c>
    </row>
    <row r="11518" spans="1:6" ht="30" customHeight="1" x14ac:dyDescent="0.25">
      <c r="A11518" s="1" t="s">
        <v>22819</v>
      </c>
      <c r="B11518" s="1" t="str">
        <f>"9780309221139"</f>
        <v>9780309221139</v>
      </c>
      <c r="C11518" s="1" t="s">
        <v>22310</v>
      </c>
      <c r="D11518" s="2">
        <v>40983</v>
      </c>
      <c r="E11518" s="1" t="s">
        <v>22820</v>
      </c>
      <c r="F11518" s="1" t="s">
        <v>13</v>
      </c>
    </row>
    <row r="11519" spans="1:6" ht="30" customHeight="1" x14ac:dyDescent="0.25">
      <c r="A11519" s="1" t="s">
        <v>22821</v>
      </c>
      <c r="B11519" s="1" t="str">
        <f>"9780309222150"</f>
        <v>9780309222150</v>
      </c>
      <c r="C11519" s="1" t="s">
        <v>22310</v>
      </c>
      <c r="D11519" s="2">
        <v>41003</v>
      </c>
      <c r="E11519" s="1" t="s">
        <v>22822</v>
      </c>
      <c r="F11519" s="1" t="s">
        <v>22823</v>
      </c>
    </row>
    <row r="11520" spans="1:6" ht="30" customHeight="1" x14ac:dyDescent="0.25">
      <c r="A11520" s="1" t="s">
        <v>22824</v>
      </c>
      <c r="B11520" s="1" t="str">
        <f>"9780309214360"</f>
        <v>9780309214360</v>
      </c>
      <c r="C11520" s="1" t="s">
        <v>22310</v>
      </c>
      <c r="D11520" s="2">
        <v>40994</v>
      </c>
      <c r="E11520" s="1" t="s">
        <v>22825</v>
      </c>
      <c r="F11520" s="1" t="s">
        <v>4577</v>
      </c>
    </row>
    <row r="11521" spans="1:6" ht="30" customHeight="1" x14ac:dyDescent="0.25">
      <c r="A11521" s="1" t="s">
        <v>22826</v>
      </c>
      <c r="B11521" s="1" t="str">
        <f>"9780309225557"</f>
        <v>9780309225557</v>
      </c>
      <c r="C11521" s="1" t="s">
        <v>22310</v>
      </c>
      <c r="D11521" s="2">
        <v>40990</v>
      </c>
      <c r="E11521" s="1" t="s">
        <v>22827</v>
      </c>
      <c r="F11521" s="1" t="s">
        <v>13</v>
      </c>
    </row>
    <row r="11522" spans="1:6" ht="30" customHeight="1" x14ac:dyDescent="0.25">
      <c r="A11522" s="1" t="s">
        <v>22828</v>
      </c>
      <c r="B11522" s="1" t="str">
        <f>"9780309220705"</f>
        <v>9780309220705</v>
      </c>
      <c r="C11522" s="1" t="s">
        <v>22310</v>
      </c>
      <c r="D11522" s="2">
        <v>40988</v>
      </c>
      <c r="E11522" s="1" t="s">
        <v>22829</v>
      </c>
      <c r="F11522" s="1" t="s">
        <v>158</v>
      </c>
    </row>
    <row r="11523" spans="1:6" ht="30" customHeight="1" x14ac:dyDescent="0.25">
      <c r="A11523" s="1" t="s">
        <v>22830</v>
      </c>
      <c r="B11523" s="1" t="str">
        <f>"9780309221559"</f>
        <v>9780309221559</v>
      </c>
      <c r="C11523" s="1" t="s">
        <v>22310</v>
      </c>
      <c r="D11523" s="2">
        <v>41029</v>
      </c>
      <c r="E11523" s="1" t="s">
        <v>22831</v>
      </c>
      <c r="F11523" s="1" t="s">
        <v>148</v>
      </c>
    </row>
    <row r="11524" spans="1:6" ht="30" customHeight="1" x14ac:dyDescent="0.25">
      <c r="A11524" s="1" t="s">
        <v>22832</v>
      </c>
      <c r="B11524" s="1" t="str">
        <f>"9780309253116"</f>
        <v>9780309253116</v>
      </c>
      <c r="C11524" s="1" t="s">
        <v>22310</v>
      </c>
      <c r="D11524" s="2">
        <v>41044</v>
      </c>
      <c r="E11524" s="1" t="s">
        <v>22833</v>
      </c>
      <c r="F11524" s="1" t="s">
        <v>30</v>
      </c>
    </row>
    <row r="11525" spans="1:6" ht="30" customHeight="1" x14ac:dyDescent="0.25">
      <c r="A11525" s="1" t="s">
        <v>22834</v>
      </c>
      <c r="B11525" s="1" t="str">
        <f>"9780309211468"</f>
        <v>9780309211468</v>
      </c>
      <c r="C11525" s="1" t="s">
        <v>22310</v>
      </c>
      <c r="D11525" s="2">
        <v>41022</v>
      </c>
      <c r="E11525" s="1" t="s">
        <v>22835</v>
      </c>
      <c r="F11525" s="1" t="s">
        <v>95</v>
      </c>
    </row>
    <row r="11526" spans="1:6" ht="30" customHeight="1" x14ac:dyDescent="0.25">
      <c r="A11526" s="1" t="s">
        <v>22836</v>
      </c>
      <c r="B11526" s="1" t="str">
        <f>"9780309224734"</f>
        <v>9780309224734</v>
      </c>
      <c r="C11526" s="1" t="s">
        <v>22310</v>
      </c>
      <c r="D11526" s="2">
        <v>41036</v>
      </c>
      <c r="E11526" s="1" t="s">
        <v>22837</v>
      </c>
      <c r="F11526" s="1" t="s">
        <v>356</v>
      </c>
    </row>
    <row r="11527" spans="1:6" ht="30" customHeight="1" x14ac:dyDescent="0.25">
      <c r="A11527" s="1" t="s">
        <v>22838</v>
      </c>
      <c r="B11527" s="1" t="str">
        <f>"9780309253345"</f>
        <v>9780309253345</v>
      </c>
      <c r="C11527" s="1" t="s">
        <v>20924</v>
      </c>
      <c r="D11527" s="2">
        <v>41072</v>
      </c>
      <c r="E11527" s="1" t="s">
        <v>22839</v>
      </c>
      <c r="F11527" s="1" t="s">
        <v>13</v>
      </c>
    </row>
    <row r="11528" spans="1:6" ht="30" customHeight="1" x14ac:dyDescent="0.25">
      <c r="A11528" s="1" t="s">
        <v>22840</v>
      </c>
      <c r="B11528" s="1" t="str">
        <f>"9780309252737"</f>
        <v>9780309252737</v>
      </c>
      <c r="C11528" s="1" t="s">
        <v>20924</v>
      </c>
      <c r="D11528" s="2">
        <v>41054</v>
      </c>
      <c r="E11528" s="1" t="s">
        <v>22841</v>
      </c>
      <c r="F11528" s="1" t="s">
        <v>176</v>
      </c>
    </row>
    <row r="11529" spans="1:6" ht="30" customHeight="1" x14ac:dyDescent="0.25">
      <c r="A11529" s="1" t="s">
        <v>22842</v>
      </c>
      <c r="B11529" s="1" t="str">
        <f>"9780309219679"</f>
        <v>9780309219679</v>
      </c>
      <c r="C11529" s="1" t="s">
        <v>22310</v>
      </c>
      <c r="D11529" s="2">
        <v>40878</v>
      </c>
      <c r="E11529" s="1" t="s">
        <v>22843</v>
      </c>
      <c r="F11529" s="1" t="s">
        <v>13</v>
      </c>
    </row>
    <row r="11530" spans="1:6" ht="30" customHeight="1" x14ac:dyDescent="0.25">
      <c r="A11530" s="1" t="s">
        <v>22844</v>
      </c>
      <c r="B11530" s="1" t="str">
        <f>"9780309256957"</f>
        <v>9780309256957</v>
      </c>
      <c r="C11530" s="1" t="s">
        <v>22310</v>
      </c>
      <c r="D11530" s="2">
        <v>40878</v>
      </c>
      <c r="E11530" s="1" t="s">
        <v>22845</v>
      </c>
      <c r="F11530" s="1" t="s">
        <v>2243</v>
      </c>
    </row>
    <row r="11531" spans="1:6" ht="30" customHeight="1" x14ac:dyDescent="0.25">
      <c r="A11531" s="1" t="s">
        <v>22846</v>
      </c>
      <c r="B11531" s="1" t="str">
        <f>"9780309255073"</f>
        <v>9780309255073</v>
      </c>
      <c r="C11531" s="1" t="s">
        <v>22310</v>
      </c>
      <c r="D11531" s="2">
        <v>41274</v>
      </c>
      <c r="E11531" s="1" t="s">
        <v>22847</v>
      </c>
      <c r="F11531" s="1" t="s">
        <v>30</v>
      </c>
    </row>
    <row r="11532" spans="1:6" ht="30" customHeight="1" x14ac:dyDescent="0.25">
      <c r="A11532" s="1" t="s">
        <v>22848</v>
      </c>
      <c r="B11532" s="1" t="str">
        <f>"9780309218511"</f>
        <v>9780309218511</v>
      </c>
      <c r="C11532" s="1" t="s">
        <v>22310</v>
      </c>
      <c r="D11532" s="2">
        <v>40878</v>
      </c>
      <c r="E11532" s="1" t="s">
        <v>22849</v>
      </c>
      <c r="F11532" s="1" t="s">
        <v>30</v>
      </c>
    </row>
    <row r="11533" spans="1:6" ht="30" customHeight="1" x14ac:dyDescent="0.25">
      <c r="A11533" s="1" t="s">
        <v>22850</v>
      </c>
      <c r="B11533" s="1" t="str">
        <f>"9780309254229"</f>
        <v>9780309254229</v>
      </c>
      <c r="C11533" s="1" t="s">
        <v>22310</v>
      </c>
      <c r="D11533" s="2">
        <v>41082</v>
      </c>
      <c r="E11533" s="1" t="s">
        <v>22851</v>
      </c>
      <c r="F11533" s="1" t="s">
        <v>13</v>
      </c>
    </row>
    <row r="11534" spans="1:6" ht="30" customHeight="1" x14ac:dyDescent="0.25">
      <c r="A11534" s="1" t="s">
        <v>22852</v>
      </c>
      <c r="B11534" s="1" t="str">
        <f>"9780309256827"</f>
        <v>9780309256827</v>
      </c>
      <c r="C11534" s="1" t="s">
        <v>22310</v>
      </c>
      <c r="D11534" s="2">
        <v>41109</v>
      </c>
      <c r="E11534" s="1" t="s">
        <v>22853</v>
      </c>
      <c r="F11534" s="1" t="s">
        <v>95</v>
      </c>
    </row>
    <row r="11535" spans="1:6" ht="30" customHeight="1" x14ac:dyDescent="0.25">
      <c r="A11535" s="1" t="s">
        <v>22854</v>
      </c>
      <c r="B11535" s="1" t="str">
        <f>"9780309257329"</f>
        <v>9780309257329</v>
      </c>
      <c r="C11535" s="1" t="s">
        <v>20924</v>
      </c>
      <c r="D11535" s="2">
        <v>41091</v>
      </c>
      <c r="E11535" s="1" t="s">
        <v>22855</v>
      </c>
      <c r="F11535" s="1" t="s">
        <v>304</v>
      </c>
    </row>
    <row r="11536" spans="1:6" ht="30" customHeight="1" x14ac:dyDescent="0.25">
      <c r="A11536" s="1" t="s">
        <v>22856</v>
      </c>
      <c r="B11536" s="1" t="str">
        <f>"9780309260619"</f>
        <v>9780309260619</v>
      </c>
      <c r="C11536" s="1" t="s">
        <v>20924</v>
      </c>
      <c r="D11536" s="2">
        <v>41148</v>
      </c>
      <c r="E11536" s="1" t="s">
        <v>22857</v>
      </c>
      <c r="F11536" s="1" t="s">
        <v>95</v>
      </c>
    </row>
    <row r="11537" spans="1:6" ht="30" customHeight="1" x14ac:dyDescent="0.25">
      <c r="A11537" s="1" t="s">
        <v>22858</v>
      </c>
      <c r="B11537" s="1" t="str">
        <f>"9780309259347"</f>
        <v>9780309259347</v>
      </c>
      <c r="C11537" s="1" t="s">
        <v>20924</v>
      </c>
      <c r="D11537" s="2">
        <v>41162</v>
      </c>
      <c r="E11537" s="1" t="s">
        <v>22859</v>
      </c>
      <c r="F11537" s="1" t="s">
        <v>30</v>
      </c>
    </row>
    <row r="11538" spans="1:6" ht="30" customHeight="1" x14ac:dyDescent="0.25">
      <c r="A11538" s="1" t="s">
        <v>22860</v>
      </c>
      <c r="B11538" s="1" t="str">
        <f>"9780309253475"</f>
        <v>9780309253475</v>
      </c>
      <c r="C11538" s="1" t="s">
        <v>20924</v>
      </c>
      <c r="D11538" s="2">
        <v>41116</v>
      </c>
      <c r="E11538" s="1" t="s">
        <v>22861</v>
      </c>
      <c r="F11538" s="1" t="s">
        <v>30</v>
      </c>
    </row>
    <row r="11539" spans="1:6" ht="30" customHeight="1" x14ac:dyDescent="0.25">
      <c r="A11539" s="1" t="s">
        <v>22862</v>
      </c>
      <c r="B11539" s="1" t="str">
        <f>"9780309255318"</f>
        <v>9780309255318</v>
      </c>
      <c r="C11539" s="1" t="s">
        <v>20924</v>
      </c>
      <c r="D11539" s="2">
        <v>41164</v>
      </c>
      <c r="E11539" s="1" t="s">
        <v>22863</v>
      </c>
      <c r="F11539" s="1" t="s">
        <v>95</v>
      </c>
    </row>
    <row r="11540" spans="1:6" ht="30" customHeight="1" x14ac:dyDescent="0.25">
      <c r="A11540" s="1" t="s">
        <v>22864</v>
      </c>
      <c r="B11540" s="1" t="str">
        <f>"9780309224093"</f>
        <v>9780309224093</v>
      </c>
      <c r="C11540" s="1" t="s">
        <v>20924</v>
      </c>
      <c r="D11540" s="2">
        <v>41124</v>
      </c>
      <c r="E11540" s="1" t="s">
        <v>22865</v>
      </c>
      <c r="F11540" s="1" t="s">
        <v>30</v>
      </c>
    </row>
    <row r="11541" spans="1:6" ht="30" customHeight="1" x14ac:dyDescent="0.25">
      <c r="A11541" s="1" t="s">
        <v>22866</v>
      </c>
      <c r="B11541" s="1" t="str">
        <f>"9780309253161"</f>
        <v>9780309253161</v>
      </c>
      <c r="C11541" s="1" t="s">
        <v>20924</v>
      </c>
      <c r="D11541" s="2">
        <v>41165</v>
      </c>
      <c r="E11541" s="1" t="s">
        <v>22867</v>
      </c>
      <c r="F11541" s="1" t="s">
        <v>13</v>
      </c>
    </row>
    <row r="11542" spans="1:6" ht="30" customHeight="1" x14ac:dyDescent="0.25">
      <c r="A11542" s="1" t="s">
        <v>22868</v>
      </c>
      <c r="B11542" s="1" t="str">
        <f>"9780309255264"</f>
        <v>9780309255264</v>
      </c>
      <c r="C11542" s="1" t="s">
        <v>20924</v>
      </c>
      <c r="D11542" s="2">
        <v>41163</v>
      </c>
      <c r="E11542" s="1" t="s">
        <v>22869</v>
      </c>
      <c r="F11542" s="1" t="s">
        <v>13236</v>
      </c>
    </row>
    <row r="11543" spans="1:6" ht="30" customHeight="1" x14ac:dyDescent="0.25">
      <c r="A11543" s="1" t="s">
        <v>22870</v>
      </c>
      <c r="B11543" s="1" t="str">
        <f>"9780309257374"</f>
        <v>9780309257374</v>
      </c>
      <c r="C11543" s="1" t="s">
        <v>20924</v>
      </c>
      <c r="D11543" s="2">
        <v>41158</v>
      </c>
      <c r="E11543" s="1" t="s">
        <v>22871</v>
      </c>
      <c r="F11543" s="1" t="s">
        <v>30</v>
      </c>
    </row>
    <row r="11544" spans="1:6" ht="30" customHeight="1" x14ac:dyDescent="0.25">
      <c r="A11544" s="1" t="s">
        <v>22872</v>
      </c>
      <c r="B11544" s="1" t="str">
        <f>"9780309257992"</f>
        <v>9780309257992</v>
      </c>
      <c r="C11544" s="1" t="s">
        <v>20924</v>
      </c>
      <c r="D11544" s="2">
        <v>35831</v>
      </c>
      <c r="E11544" s="1" t="s">
        <v>22873</v>
      </c>
      <c r="F11544" s="1" t="s">
        <v>30</v>
      </c>
    </row>
    <row r="11545" spans="1:6" ht="30" customHeight="1" x14ac:dyDescent="0.25">
      <c r="A11545" s="1" t="s">
        <v>22874</v>
      </c>
      <c r="B11545" s="1" t="str">
        <f>"9780309285582"</f>
        <v>9780309285582</v>
      </c>
      <c r="C11545" s="1" t="s">
        <v>20924</v>
      </c>
      <c r="D11545" s="2">
        <v>41521</v>
      </c>
      <c r="E11545" s="1" t="s">
        <v>22875</v>
      </c>
      <c r="F11545" s="1" t="s">
        <v>95</v>
      </c>
    </row>
    <row r="11546" spans="1:6" ht="30" customHeight="1" x14ac:dyDescent="0.25">
      <c r="A11546" s="1" t="s">
        <v>22876</v>
      </c>
      <c r="B11546" s="1" t="str">
        <f>"9780309289122"</f>
        <v>9780309289122</v>
      </c>
      <c r="C11546" s="1" t="s">
        <v>20924</v>
      </c>
      <c r="D11546" s="2">
        <v>41244</v>
      </c>
      <c r="E11546" s="1" t="s">
        <v>22877</v>
      </c>
      <c r="F11546" s="1" t="s">
        <v>13</v>
      </c>
    </row>
    <row r="11547" spans="1:6" ht="30" customHeight="1" x14ac:dyDescent="0.25">
      <c r="A11547" s="1" t="s">
        <v>22878</v>
      </c>
      <c r="B11547" s="1" t="str">
        <f>"9780309287401"</f>
        <v>9780309287401</v>
      </c>
      <c r="C11547" s="1" t="s">
        <v>20924</v>
      </c>
      <c r="D11547" s="2">
        <v>41540</v>
      </c>
      <c r="E11547" s="1" t="s">
        <v>22879</v>
      </c>
      <c r="F11547" s="1" t="s">
        <v>214</v>
      </c>
    </row>
    <row r="11548" spans="1:6" ht="30" customHeight="1" x14ac:dyDescent="0.25">
      <c r="A11548" s="1" t="s">
        <v>22880</v>
      </c>
      <c r="B11548" s="1" t="str">
        <f>"9780309263658"</f>
        <v>9780309263658</v>
      </c>
      <c r="C11548" s="1" t="s">
        <v>20924</v>
      </c>
      <c r="D11548" s="2">
        <v>41274</v>
      </c>
      <c r="E11548" s="1" t="s">
        <v>22881</v>
      </c>
      <c r="F11548" s="1" t="s">
        <v>13</v>
      </c>
    </row>
    <row r="11549" spans="1:6" ht="30" customHeight="1" x14ac:dyDescent="0.25">
      <c r="A11549" s="1" t="s">
        <v>22882</v>
      </c>
      <c r="B11549" s="1" t="str">
        <f>"9780309262026"</f>
        <v>9780309262026</v>
      </c>
      <c r="C11549" s="1" t="s">
        <v>20924</v>
      </c>
      <c r="D11549" s="2">
        <v>41233</v>
      </c>
      <c r="E11549" s="1" t="s">
        <v>22883</v>
      </c>
      <c r="F11549" s="1" t="s">
        <v>13</v>
      </c>
    </row>
    <row r="11550" spans="1:6" ht="30" customHeight="1" x14ac:dyDescent="0.25">
      <c r="A11550" s="1" t="s">
        <v>22884</v>
      </c>
      <c r="B11550" s="1" t="str">
        <f>"9780309297806"</f>
        <v>9780309297806</v>
      </c>
      <c r="C11550" s="1" t="s">
        <v>20924</v>
      </c>
      <c r="D11550" s="2">
        <v>41692</v>
      </c>
      <c r="E11550" s="1" t="s">
        <v>22885</v>
      </c>
      <c r="F11550" s="1" t="s">
        <v>268</v>
      </c>
    </row>
    <row r="11551" spans="1:6" ht="30" customHeight="1" x14ac:dyDescent="0.25">
      <c r="A11551" s="1" t="s">
        <v>22886</v>
      </c>
      <c r="B11551" s="1" t="str">
        <f>"9780309262859"</f>
        <v>9780309262859</v>
      </c>
      <c r="C11551" s="1" t="s">
        <v>20924</v>
      </c>
      <c r="D11551" s="2">
        <v>41253</v>
      </c>
      <c r="E11551" s="1" t="s">
        <v>22887</v>
      </c>
      <c r="F11551" s="1" t="s">
        <v>114</v>
      </c>
    </row>
    <row r="11552" spans="1:6" ht="30" customHeight="1" x14ac:dyDescent="0.25">
      <c r="A11552" s="1" t="s">
        <v>22888</v>
      </c>
      <c r="B11552" s="1" t="str">
        <f>"9780309261173"</f>
        <v>9780309261173</v>
      </c>
      <c r="C11552" s="1" t="s">
        <v>20924</v>
      </c>
      <c r="D11552" s="2">
        <v>41205</v>
      </c>
      <c r="E11552" s="1" t="s">
        <v>22889</v>
      </c>
      <c r="F11552" s="1" t="s">
        <v>137</v>
      </c>
    </row>
    <row r="11553" spans="1:6" ht="30" customHeight="1" x14ac:dyDescent="0.25">
      <c r="A11553" s="1" t="s">
        <v>22890</v>
      </c>
      <c r="B11553" s="1" t="str">
        <f>"9780309282963"</f>
        <v>9780309282963</v>
      </c>
      <c r="C11553" s="1" t="s">
        <v>20924</v>
      </c>
      <c r="D11553" s="2">
        <v>41513</v>
      </c>
      <c r="E11553" s="1" t="s">
        <v>22891</v>
      </c>
      <c r="F11553" s="1" t="s">
        <v>200</v>
      </c>
    </row>
    <row r="11554" spans="1:6" ht="30" customHeight="1" x14ac:dyDescent="0.25">
      <c r="A11554" s="1" t="s">
        <v>22892</v>
      </c>
      <c r="B11554" s="1" t="str">
        <f>"9780309262903"</f>
        <v>9780309262903</v>
      </c>
      <c r="C11554" s="1" t="s">
        <v>20924</v>
      </c>
      <c r="D11554" s="2">
        <v>41324</v>
      </c>
      <c r="E11554" s="1" t="s">
        <v>22893</v>
      </c>
      <c r="F11554" s="1" t="s">
        <v>13</v>
      </c>
    </row>
    <row r="11555" spans="1:6" ht="30" customHeight="1" x14ac:dyDescent="0.25">
      <c r="A11555" s="1" t="s">
        <v>22894</v>
      </c>
      <c r="B11555" s="1" t="str">
        <f>"9780309267373"</f>
        <v>9780309267373</v>
      </c>
      <c r="C11555" s="1" t="s">
        <v>20924</v>
      </c>
      <c r="D11555" s="2">
        <v>41353</v>
      </c>
      <c r="E11555" s="1" t="s">
        <v>22895</v>
      </c>
      <c r="F11555" s="1" t="s">
        <v>214</v>
      </c>
    </row>
    <row r="11556" spans="1:6" ht="30" customHeight="1" x14ac:dyDescent="0.25">
      <c r="A11556" s="1" t="s">
        <v>22896</v>
      </c>
      <c r="B11556" s="1" t="str">
        <f>"9780309264693"</f>
        <v>9780309264693</v>
      </c>
      <c r="C11556" s="1" t="s">
        <v>20924</v>
      </c>
      <c r="D11556" s="2">
        <v>41180</v>
      </c>
      <c r="E11556" s="1" t="s">
        <v>22897</v>
      </c>
      <c r="F11556" s="1" t="s">
        <v>95</v>
      </c>
    </row>
    <row r="11557" spans="1:6" ht="30" customHeight="1" x14ac:dyDescent="0.25">
      <c r="A11557" s="1" t="s">
        <v>22898</v>
      </c>
      <c r="B11557" s="1" t="str">
        <f>"9780309289672"</f>
        <v>9780309289672</v>
      </c>
      <c r="C11557" s="1" t="s">
        <v>20924</v>
      </c>
      <c r="D11557" s="2">
        <v>41529</v>
      </c>
      <c r="E11557" s="1" t="s">
        <v>22899</v>
      </c>
      <c r="F11557" s="1" t="s">
        <v>13</v>
      </c>
    </row>
    <row r="11558" spans="1:6" ht="30" customHeight="1" x14ac:dyDescent="0.25">
      <c r="A11558" s="1" t="s">
        <v>22900</v>
      </c>
      <c r="B11558" s="1" t="str">
        <f>"9780309285971"</f>
        <v>9780309285971</v>
      </c>
      <c r="C11558" s="1" t="s">
        <v>20924</v>
      </c>
      <c r="D11558" s="2">
        <v>41726</v>
      </c>
      <c r="E11558" s="1" t="s">
        <v>22901</v>
      </c>
      <c r="F11558" s="1" t="s">
        <v>95</v>
      </c>
    </row>
    <row r="11559" spans="1:6" ht="30" customHeight="1" x14ac:dyDescent="0.25">
      <c r="A11559" s="1" t="s">
        <v>22902</v>
      </c>
      <c r="B11559" s="1" t="str">
        <f>"9780309290777"</f>
        <v>9780309290777</v>
      </c>
      <c r="C11559" s="1" t="s">
        <v>20924</v>
      </c>
      <c r="D11559" s="2">
        <v>41634</v>
      </c>
      <c r="E11559" s="1" t="s">
        <v>22903</v>
      </c>
      <c r="F11559" s="1" t="s">
        <v>356</v>
      </c>
    </row>
    <row r="11560" spans="1:6" ht="30" customHeight="1" x14ac:dyDescent="0.25">
      <c r="A11560" s="1" t="s">
        <v>22904</v>
      </c>
      <c r="B11560" s="1" t="str">
        <f>"9780309288705"</f>
        <v>9780309288705</v>
      </c>
      <c r="C11560" s="1" t="s">
        <v>20924</v>
      </c>
      <c r="D11560" s="2">
        <v>41278</v>
      </c>
      <c r="E11560" s="1" t="s">
        <v>22905</v>
      </c>
      <c r="F11560" s="1" t="s">
        <v>4351</v>
      </c>
    </row>
    <row r="11561" spans="1:6" ht="30" customHeight="1" x14ac:dyDescent="0.25">
      <c r="A11561" s="1" t="s">
        <v>22906</v>
      </c>
      <c r="B11561" s="1" t="str">
        <f>"9780309264020"</f>
        <v>9780309264020</v>
      </c>
      <c r="C11561" s="1" t="s">
        <v>20924</v>
      </c>
      <c r="D11561" s="2">
        <v>41355</v>
      </c>
      <c r="E11561" s="1" t="s">
        <v>22907</v>
      </c>
      <c r="F11561" s="1" t="s">
        <v>214</v>
      </c>
    </row>
    <row r="11562" spans="1:6" ht="30" customHeight="1" x14ac:dyDescent="0.25">
      <c r="A11562" s="1" t="s">
        <v>22908</v>
      </c>
      <c r="B11562" s="1" t="str">
        <f>"9780309269469"</f>
        <v>9780309269469</v>
      </c>
      <c r="C11562" s="1" t="s">
        <v>20924</v>
      </c>
      <c r="D11562" s="2">
        <v>41414</v>
      </c>
      <c r="E11562" s="1" t="s">
        <v>22907</v>
      </c>
      <c r="F11562" s="1" t="s">
        <v>13</v>
      </c>
    </row>
    <row r="11563" spans="1:6" ht="30" customHeight="1" x14ac:dyDescent="0.25">
      <c r="A11563" s="1" t="s">
        <v>22909</v>
      </c>
      <c r="B11563" s="1" t="str">
        <f>"9780309284851"</f>
        <v>9780309284851</v>
      </c>
      <c r="C11563" s="1" t="s">
        <v>20924</v>
      </c>
      <c r="D11563" s="2">
        <v>41465</v>
      </c>
      <c r="E11563" s="1" t="s">
        <v>22910</v>
      </c>
      <c r="F11563" s="1" t="s">
        <v>148</v>
      </c>
    </row>
    <row r="11564" spans="1:6" ht="30" customHeight="1" x14ac:dyDescent="0.25">
      <c r="A11564" s="1" t="s">
        <v>22911</v>
      </c>
      <c r="B11564" s="1" t="str">
        <f>"9780309268707"</f>
        <v>9780309268707</v>
      </c>
      <c r="C11564" s="1" t="s">
        <v>20924</v>
      </c>
      <c r="D11564" s="2">
        <v>41347</v>
      </c>
      <c r="E11564" s="1" t="s">
        <v>22912</v>
      </c>
      <c r="F11564" s="1" t="s">
        <v>13</v>
      </c>
    </row>
    <row r="11565" spans="1:6" ht="30" customHeight="1" x14ac:dyDescent="0.25">
      <c r="A11565" s="1" t="s">
        <v>22913</v>
      </c>
      <c r="B11565" s="1" t="str">
        <f>"9780309294423"</f>
        <v>9780309294423</v>
      </c>
      <c r="C11565" s="1" t="s">
        <v>20924</v>
      </c>
      <c r="D11565" s="2">
        <v>41639</v>
      </c>
      <c r="E11565" s="1" t="s">
        <v>22914</v>
      </c>
      <c r="F11565" s="1" t="s">
        <v>13</v>
      </c>
    </row>
    <row r="11566" spans="1:6" ht="30" customHeight="1" x14ac:dyDescent="0.25">
      <c r="A11566" s="1" t="s">
        <v>22915</v>
      </c>
      <c r="B11566" s="1" t="str">
        <f>"9780309268059"</f>
        <v>9780309268059</v>
      </c>
      <c r="C11566" s="1" t="s">
        <v>20924</v>
      </c>
      <c r="D11566" s="2">
        <v>41353</v>
      </c>
      <c r="E11566" s="1" t="s">
        <v>22916</v>
      </c>
      <c r="F11566" s="1" t="s">
        <v>13</v>
      </c>
    </row>
    <row r="11567" spans="1:6" ht="30" customHeight="1" x14ac:dyDescent="0.25">
      <c r="A11567" s="1" t="s">
        <v>22917</v>
      </c>
      <c r="B11567" s="1" t="str">
        <f>"9780309287258"</f>
        <v>9780309287258</v>
      </c>
      <c r="C11567" s="1" t="s">
        <v>20924</v>
      </c>
      <c r="D11567" s="2">
        <v>41544</v>
      </c>
      <c r="E11567" s="1" t="s">
        <v>22918</v>
      </c>
      <c r="F11567" s="1" t="s">
        <v>13</v>
      </c>
    </row>
    <row r="11568" spans="1:6" ht="30" customHeight="1" x14ac:dyDescent="0.25">
      <c r="A11568" s="1" t="s">
        <v>22919</v>
      </c>
      <c r="B11568" s="1" t="str">
        <f>"9780309288064"</f>
        <v>9780309288064</v>
      </c>
      <c r="C11568" s="1" t="s">
        <v>20924</v>
      </c>
      <c r="D11568" s="2">
        <v>41562</v>
      </c>
      <c r="E11568" s="1" t="s">
        <v>22920</v>
      </c>
      <c r="F11568" s="1" t="s">
        <v>158</v>
      </c>
    </row>
    <row r="11569" spans="1:6" ht="30" customHeight="1" x14ac:dyDescent="0.25">
      <c r="A11569" s="1" t="s">
        <v>22921</v>
      </c>
      <c r="B11569" s="1" t="str">
        <f>"9780309267762"</f>
        <v>9780309267762</v>
      </c>
      <c r="C11569" s="1" t="s">
        <v>20924</v>
      </c>
      <c r="D11569" s="2">
        <v>41368</v>
      </c>
      <c r="E11569" s="1" t="s">
        <v>22922</v>
      </c>
      <c r="F11569" s="1" t="s">
        <v>158</v>
      </c>
    </row>
    <row r="11570" spans="1:6" ht="30" customHeight="1" x14ac:dyDescent="0.25">
      <c r="A11570" s="1" t="s">
        <v>22923</v>
      </c>
      <c r="B11570" s="1" t="str">
        <f>"9780309285537"</f>
        <v>9780309285537</v>
      </c>
      <c r="C11570" s="1" t="s">
        <v>20924</v>
      </c>
      <c r="D11570" s="2">
        <v>41930</v>
      </c>
      <c r="E11570" s="1" t="s">
        <v>22924</v>
      </c>
      <c r="F11570" s="1" t="s">
        <v>30</v>
      </c>
    </row>
    <row r="11571" spans="1:6" ht="30" customHeight="1" x14ac:dyDescent="0.25">
      <c r="A11571" s="1" t="s">
        <v>22925</v>
      </c>
      <c r="B11571" s="1" t="str">
        <f>"9780309263559"</f>
        <v>9780309263559</v>
      </c>
      <c r="C11571" s="1" t="s">
        <v>20924</v>
      </c>
      <c r="D11571" s="2">
        <v>41242</v>
      </c>
      <c r="E11571" s="1" t="s">
        <v>22926</v>
      </c>
      <c r="F11571" s="1" t="s">
        <v>148</v>
      </c>
    </row>
    <row r="11572" spans="1:6" ht="30" customHeight="1" x14ac:dyDescent="0.25">
      <c r="A11572" s="1" t="s">
        <v>22927</v>
      </c>
      <c r="B11572" s="1" t="str">
        <f>"9780309264150"</f>
        <v>9780309264150</v>
      </c>
      <c r="C11572" s="1" t="s">
        <v>20924</v>
      </c>
      <c r="D11572" s="2">
        <v>41466</v>
      </c>
      <c r="E11572" s="1" t="s">
        <v>22928</v>
      </c>
      <c r="F11572" s="1" t="s">
        <v>30</v>
      </c>
    </row>
    <row r="11573" spans="1:6" ht="30" customHeight="1" x14ac:dyDescent="0.25">
      <c r="A11573" s="1" t="s">
        <v>22929</v>
      </c>
      <c r="B11573" s="1" t="str">
        <f>"9780309266345"</f>
        <v>9780309266345</v>
      </c>
      <c r="C11573" s="1" t="s">
        <v>20924</v>
      </c>
      <c r="D11573" s="2">
        <v>41358</v>
      </c>
      <c r="E11573" s="1" t="s">
        <v>22930</v>
      </c>
      <c r="F11573" s="1" t="s">
        <v>137</v>
      </c>
    </row>
    <row r="11574" spans="1:6" ht="30" customHeight="1" x14ac:dyDescent="0.25">
      <c r="A11574" s="1" t="s">
        <v>22931</v>
      </c>
      <c r="B11574" s="1" t="str">
        <f>"9780309267878"</f>
        <v>9780309267878</v>
      </c>
      <c r="C11574" s="1" t="s">
        <v>20924</v>
      </c>
      <c r="D11574" s="2">
        <v>41358</v>
      </c>
      <c r="E11574" s="1" t="s">
        <v>22932</v>
      </c>
      <c r="F11574" s="1" t="s">
        <v>268</v>
      </c>
    </row>
    <row r="11575" spans="1:6" ht="30" customHeight="1" x14ac:dyDescent="0.25">
      <c r="A11575" s="1" t="s">
        <v>22933</v>
      </c>
      <c r="B11575" s="1" t="str">
        <f>"9780309287203"</f>
        <v>9780309287203</v>
      </c>
      <c r="C11575" s="1" t="s">
        <v>20924</v>
      </c>
      <c r="D11575" s="2">
        <v>41507</v>
      </c>
      <c r="E11575" s="1" t="s">
        <v>22934</v>
      </c>
      <c r="F11575" s="1" t="s">
        <v>22935</v>
      </c>
    </row>
    <row r="11576" spans="1:6" ht="30" customHeight="1" x14ac:dyDescent="0.25">
      <c r="A11576" s="1" t="s">
        <v>22936</v>
      </c>
      <c r="B11576" s="1" t="str">
        <f>"9780309296533"</f>
        <v>9780309296533</v>
      </c>
      <c r="C11576" s="1" t="s">
        <v>20924</v>
      </c>
      <c r="D11576" s="2">
        <v>41726</v>
      </c>
      <c r="E11576" s="1" t="s">
        <v>22937</v>
      </c>
      <c r="F11576" s="1" t="s">
        <v>13</v>
      </c>
    </row>
    <row r="11577" spans="1:6" ht="30" customHeight="1" x14ac:dyDescent="0.25">
      <c r="A11577" s="1" t="s">
        <v>22938</v>
      </c>
      <c r="B11577" s="1" t="str">
        <f>"9780309263504"</f>
        <v>9780309263504</v>
      </c>
      <c r="C11577" s="1" t="s">
        <v>20924</v>
      </c>
      <c r="D11577" s="2">
        <v>41550</v>
      </c>
      <c r="E11577" s="1" t="s">
        <v>22939</v>
      </c>
      <c r="F11577" s="1" t="s">
        <v>148</v>
      </c>
    </row>
    <row r="11578" spans="1:6" ht="30" customHeight="1" x14ac:dyDescent="0.25">
      <c r="A11578" s="1" t="s">
        <v>22940</v>
      </c>
      <c r="B11578" s="1" t="str">
        <f>"9780309267823"</f>
        <v>9780309267823</v>
      </c>
      <c r="C11578" s="1" t="s">
        <v>20924</v>
      </c>
      <c r="D11578" s="2">
        <v>41603</v>
      </c>
      <c r="E11578" s="1" t="s">
        <v>22941</v>
      </c>
      <c r="F11578" s="1" t="s">
        <v>158</v>
      </c>
    </row>
    <row r="11579" spans="1:6" ht="30" customHeight="1" x14ac:dyDescent="0.25">
      <c r="A11579" s="1" t="s">
        <v>22942</v>
      </c>
      <c r="B11579" s="1" t="str">
        <f>"9780309286619"</f>
        <v>9780309286619</v>
      </c>
      <c r="C11579" s="1" t="s">
        <v>20924</v>
      </c>
      <c r="D11579" s="2">
        <v>41635</v>
      </c>
      <c r="E11579" s="1" t="s">
        <v>22943</v>
      </c>
      <c r="F11579" s="1" t="s">
        <v>13</v>
      </c>
    </row>
    <row r="11580" spans="1:6" ht="30" customHeight="1" x14ac:dyDescent="0.25">
      <c r="A11580" s="1" t="s">
        <v>22944</v>
      </c>
      <c r="B11580" s="1" t="str">
        <f>"9780309286077"</f>
        <v>9780309286077</v>
      </c>
      <c r="C11580" s="1" t="s">
        <v>20924</v>
      </c>
      <c r="D11580" s="2">
        <v>41555</v>
      </c>
      <c r="E11580" s="1" t="s">
        <v>22945</v>
      </c>
      <c r="F11580" s="1" t="s">
        <v>214</v>
      </c>
    </row>
    <row r="11581" spans="1:6" ht="30" customHeight="1" x14ac:dyDescent="0.25">
      <c r="A11581" s="1" t="s">
        <v>22946</v>
      </c>
      <c r="B11581" s="1" t="str">
        <f>"9780309284806"</f>
        <v>9780309284806</v>
      </c>
      <c r="C11581" s="1" t="s">
        <v>20924</v>
      </c>
      <c r="D11581" s="2">
        <v>41571</v>
      </c>
      <c r="E11581" s="1" t="s">
        <v>22947</v>
      </c>
      <c r="F11581" s="1" t="s">
        <v>268</v>
      </c>
    </row>
    <row r="11582" spans="1:6" ht="30" customHeight="1" x14ac:dyDescent="0.25">
      <c r="A11582" s="1" t="s">
        <v>22948</v>
      </c>
      <c r="B11582" s="1" t="str">
        <f>"9780309286022"</f>
        <v>9780309286022</v>
      </c>
      <c r="C11582" s="1" t="s">
        <v>20924</v>
      </c>
      <c r="D11582" s="2">
        <v>41634</v>
      </c>
      <c r="E11582" s="1" t="s">
        <v>22949</v>
      </c>
      <c r="F11582" s="1" t="s">
        <v>158</v>
      </c>
    </row>
    <row r="11583" spans="1:6" ht="30" customHeight="1" x14ac:dyDescent="0.25">
      <c r="A11583" s="1" t="s">
        <v>22950</v>
      </c>
      <c r="B11583" s="1" t="str">
        <f>"9780309297073"</f>
        <v>9780309297073</v>
      </c>
      <c r="C11583" s="1" t="s">
        <v>20924</v>
      </c>
      <c r="D11583" s="2">
        <v>41598</v>
      </c>
      <c r="E11583" s="1" t="s">
        <v>22897</v>
      </c>
      <c r="F11583" s="1" t="s">
        <v>158</v>
      </c>
    </row>
    <row r="11584" spans="1:6" ht="30" customHeight="1" x14ac:dyDescent="0.25">
      <c r="A11584" s="1" t="s">
        <v>22951</v>
      </c>
      <c r="B11584" s="1" t="str">
        <f>"9780309285681"</f>
        <v>9780309285681</v>
      </c>
      <c r="C11584" s="1" t="s">
        <v>20924</v>
      </c>
      <c r="D11584" s="2">
        <v>41620</v>
      </c>
      <c r="E11584" s="1" t="s">
        <v>22952</v>
      </c>
      <c r="F11584" s="1" t="s">
        <v>13</v>
      </c>
    </row>
    <row r="11585" spans="1:6" ht="30" customHeight="1" x14ac:dyDescent="0.25">
      <c r="A11585" s="1" t="s">
        <v>22953</v>
      </c>
      <c r="B11585" s="1" t="str">
        <f>"9780309287876"</f>
        <v>9780309287876</v>
      </c>
      <c r="C11585" s="1" t="s">
        <v>20924</v>
      </c>
      <c r="D11585" s="2">
        <v>41474</v>
      </c>
      <c r="E11585" s="1" t="s">
        <v>22954</v>
      </c>
      <c r="F11585" s="1" t="s">
        <v>158</v>
      </c>
    </row>
    <row r="11586" spans="1:6" ht="30" customHeight="1" x14ac:dyDescent="0.25">
      <c r="A11586" s="1" t="s">
        <v>22955</v>
      </c>
      <c r="B11586" s="1" t="str">
        <f>"9780309283090"</f>
        <v>9780309283090</v>
      </c>
      <c r="C11586" s="1" t="s">
        <v>20924</v>
      </c>
      <c r="D11586" s="2">
        <v>41390</v>
      </c>
      <c r="E11586" s="1" t="s">
        <v>22895</v>
      </c>
      <c r="F11586" s="1" t="s">
        <v>33</v>
      </c>
    </row>
    <row r="11587" spans="1:6" ht="30" customHeight="1" x14ac:dyDescent="0.25">
      <c r="A11587" s="1" t="s">
        <v>22956</v>
      </c>
      <c r="B11587" s="1" t="str">
        <f>"9780309285285"</f>
        <v>9780309285285</v>
      </c>
      <c r="C11587" s="1" t="s">
        <v>20924</v>
      </c>
      <c r="D11587" s="2">
        <v>41275</v>
      </c>
      <c r="E11587" s="1" t="s">
        <v>22957</v>
      </c>
      <c r="F11587" s="1" t="s">
        <v>148</v>
      </c>
    </row>
    <row r="11588" spans="1:6" ht="30" customHeight="1" x14ac:dyDescent="0.25">
      <c r="A11588" s="1" t="s">
        <v>22958</v>
      </c>
      <c r="B11588" s="1" t="str">
        <f>"9780309292573"</f>
        <v>9780309292573</v>
      </c>
      <c r="C11588" s="1" t="s">
        <v>20924</v>
      </c>
      <c r="D11588" s="2">
        <v>41638</v>
      </c>
      <c r="E11588" s="1" t="s">
        <v>22959</v>
      </c>
      <c r="F11588" s="1" t="s">
        <v>148</v>
      </c>
    </row>
    <row r="11589" spans="1:6" ht="30" customHeight="1" x14ac:dyDescent="0.25">
      <c r="A11589" s="1" t="s">
        <v>22960</v>
      </c>
      <c r="B11589" s="1" t="str">
        <f>"9780309288019"</f>
        <v>9780309288019</v>
      </c>
      <c r="C11589" s="1" t="s">
        <v>20924</v>
      </c>
      <c r="D11589" s="2">
        <v>41933</v>
      </c>
      <c r="E11589" s="1" t="s">
        <v>22961</v>
      </c>
      <c r="F11589" s="1" t="s">
        <v>13</v>
      </c>
    </row>
    <row r="11590" spans="1:6" ht="30" customHeight="1" x14ac:dyDescent="0.25">
      <c r="A11590" s="1" t="s">
        <v>22962</v>
      </c>
      <c r="B11590" s="1" t="str">
        <f>"9780309292474"</f>
        <v>9780309292474</v>
      </c>
      <c r="C11590" s="1" t="s">
        <v>20924</v>
      </c>
      <c r="D11590" s="2">
        <v>41704</v>
      </c>
      <c r="E11590" s="1" t="s">
        <v>22963</v>
      </c>
      <c r="F11590" s="1" t="s">
        <v>137</v>
      </c>
    </row>
    <row r="11591" spans="1:6" ht="30" customHeight="1" x14ac:dyDescent="0.25">
      <c r="A11591" s="1" t="s">
        <v>22964</v>
      </c>
      <c r="B11591" s="1" t="str">
        <f>"9780309260251"</f>
        <v>9780309260251</v>
      </c>
      <c r="C11591" s="1" t="s">
        <v>20924</v>
      </c>
      <c r="D11591" s="2">
        <v>41234</v>
      </c>
      <c r="E11591" s="1" t="s">
        <v>22965</v>
      </c>
      <c r="F11591" s="1" t="s">
        <v>137</v>
      </c>
    </row>
    <row r="11592" spans="1:6" ht="30" customHeight="1" x14ac:dyDescent="0.25">
      <c r="A11592" s="1" t="s">
        <v>22966</v>
      </c>
      <c r="B11592" s="1" t="str">
        <f>"9780309285230"</f>
        <v>9780309285230</v>
      </c>
      <c r="C11592" s="1" t="s">
        <v>20924</v>
      </c>
      <c r="D11592" s="2">
        <v>41516</v>
      </c>
      <c r="E11592" s="1" t="s">
        <v>22967</v>
      </c>
      <c r="F11592" s="1" t="s">
        <v>95</v>
      </c>
    </row>
    <row r="11593" spans="1:6" ht="30" customHeight="1" x14ac:dyDescent="0.25">
      <c r="A11593" s="1" t="s">
        <v>22968</v>
      </c>
      <c r="B11593" s="1" t="str">
        <f>"9780309294355"</f>
        <v>9780309294355</v>
      </c>
      <c r="C11593" s="1" t="s">
        <v>20924</v>
      </c>
      <c r="D11593" s="2">
        <v>41749</v>
      </c>
      <c r="E11593" s="1" t="s">
        <v>22969</v>
      </c>
      <c r="F11593" s="1" t="s">
        <v>33</v>
      </c>
    </row>
    <row r="11594" spans="1:6" ht="30" customHeight="1" x14ac:dyDescent="0.25">
      <c r="A11594" s="1" t="s">
        <v>22970</v>
      </c>
      <c r="B11594" s="1" t="str">
        <f>"9780309269704"</f>
        <v>9780309269704</v>
      </c>
      <c r="C11594" s="1" t="s">
        <v>20924</v>
      </c>
      <c r="D11594" s="2">
        <v>41445</v>
      </c>
      <c r="E11594" s="1" t="s">
        <v>22971</v>
      </c>
      <c r="F11594" s="1" t="s">
        <v>268</v>
      </c>
    </row>
    <row r="11595" spans="1:6" ht="30" customHeight="1" x14ac:dyDescent="0.25">
      <c r="A11595" s="1" t="s">
        <v>22972</v>
      </c>
      <c r="B11595" s="1" t="str">
        <f>"9780309269605"</f>
        <v>9780309269605</v>
      </c>
      <c r="C11595" s="1" t="s">
        <v>20924</v>
      </c>
      <c r="D11595" s="2">
        <v>41635</v>
      </c>
      <c r="E11595" s="1" t="s">
        <v>22973</v>
      </c>
      <c r="F11595" s="1" t="s">
        <v>13</v>
      </c>
    </row>
    <row r="11596" spans="1:6" ht="30" customHeight="1" x14ac:dyDescent="0.25">
      <c r="A11596" s="1" t="s">
        <v>22974</v>
      </c>
      <c r="B11596" s="1" t="str">
        <f>"9780309259422"</f>
        <v>9780309259422</v>
      </c>
      <c r="C11596" s="1" t="s">
        <v>20924</v>
      </c>
      <c r="D11596" s="2">
        <v>41355</v>
      </c>
      <c r="E11596" s="1" t="s">
        <v>22975</v>
      </c>
      <c r="F11596" s="1" t="s">
        <v>13</v>
      </c>
    </row>
    <row r="11597" spans="1:6" ht="30" customHeight="1" x14ac:dyDescent="0.25">
      <c r="A11597" s="1" t="s">
        <v>22976</v>
      </c>
      <c r="B11597" s="1" t="str">
        <f>"9780309265966"</f>
        <v>9780309265966</v>
      </c>
      <c r="C11597" s="1" t="s">
        <v>20924</v>
      </c>
      <c r="D11597" s="2">
        <v>41306</v>
      </c>
      <c r="E11597" s="1" t="s">
        <v>22977</v>
      </c>
      <c r="F11597" s="1" t="s">
        <v>214</v>
      </c>
    </row>
    <row r="11598" spans="1:6" ht="30" customHeight="1" x14ac:dyDescent="0.25">
      <c r="A11598" s="1" t="s">
        <v>22978</v>
      </c>
      <c r="B11598" s="1" t="str">
        <f>"9780309266055"</f>
        <v>9780309266055</v>
      </c>
      <c r="C11598" s="1" t="s">
        <v>20924</v>
      </c>
      <c r="D11598" s="2">
        <v>41274</v>
      </c>
      <c r="E11598" s="1" t="s">
        <v>22979</v>
      </c>
      <c r="F11598" s="1" t="s">
        <v>6795</v>
      </c>
    </row>
    <row r="11599" spans="1:6" ht="30" customHeight="1" x14ac:dyDescent="0.25">
      <c r="A11599" s="1" t="s">
        <v>22980</v>
      </c>
      <c r="B11599" s="1" t="str">
        <f>"9780309268752"</f>
        <v>9780309268752</v>
      </c>
      <c r="C11599" s="1" t="s">
        <v>20924</v>
      </c>
      <c r="D11599" s="2">
        <v>41401</v>
      </c>
      <c r="E11599" s="1" t="s">
        <v>22981</v>
      </c>
      <c r="F11599" s="1" t="s">
        <v>13</v>
      </c>
    </row>
    <row r="11600" spans="1:6" ht="30" customHeight="1" x14ac:dyDescent="0.25">
      <c r="A11600" s="1" t="s">
        <v>22982</v>
      </c>
      <c r="B11600" s="1" t="str">
        <f>"9780309290265"</f>
        <v>9780309290265</v>
      </c>
      <c r="C11600" s="1" t="s">
        <v>20924</v>
      </c>
      <c r="D11600" s="2">
        <v>41271</v>
      </c>
      <c r="E11600" s="1" t="s">
        <v>22895</v>
      </c>
      <c r="F11600" s="1" t="s">
        <v>176</v>
      </c>
    </row>
    <row r="11601" spans="1:6" ht="30" customHeight="1" x14ac:dyDescent="0.25">
      <c r="A11601" s="1" t="s">
        <v>22983</v>
      </c>
      <c r="B11601" s="1" t="str">
        <f>"9780309298223"</f>
        <v>9780309298223</v>
      </c>
      <c r="C11601" s="1" t="s">
        <v>20924</v>
      </c>
      <c r="D11601" s="2">
        <v>41735</v>
      </c>
      <c r="E11601" s="1" t="s">
        <v>22984</v>
      </c>
      <c r="F11601" s="1" t="s">
        <v>137</v>
      </c>
    </row>
    <row r="11602" spans="1:6" ht="30" customHeight="1" x14ac:dyDescent="0.25">
      <c r="A11602" s="1" t="s">
        <v>22985</v>
      </c>
      <c r="B11602" s="1" t="str">
        <f>"9780309259491"</f>
        <v>9780309259491</v>
      </c>
      <c r="C11602" s="1" t="s">
        <v>20924</v>
      </c>
      <c r="D11602" s="2">
        <v>41184</v>
      </c>
      <c r="E11602" s="1" t="s">
        <v>22986</v>
      </c>
      <c r="F11602" s="1" t="s">
        <v>13</v>
      </c>
    </row>
    <row r="11603" spans="1:6" ht="30" customHeight="1" x14ac:dyDescent="0.25">
      <c r="A11603" s="1" t="s">
        <v>22987</v>
      </c>
      <c r="B11603" s="1" t="str">
        <f>"9780309290821"</f>
        <v>9780309290821</v>
      </c>
      <c r="C11603" s="1" t="s">
        <v>20924</v>
      </c>
      <c r="D11603" s="2">
        <v>41610</v>
      </c>
      <c r="E11603" s="1" t="s">
        <v>22988</v>
      </c>
      <c r="F11603" s="1" t="s">
        <v>13</v>
      </c>
    </row>
    <row r="11604" spans="1:6" ht="30" customHeight="1" x14ac:dyDescent="0.25">
      <c r="A11604" s="1" t="s">
        <v>22989</v>
      </c>
      <c r="B11604" s="1" t="str">
        <f>"9780309260749"</f>
        <v>9780309260749</v>
      </c>
      <c r="C11604" s="1" t="s">
        <v>20924</v>
      </c>
      <c r="D11604" s="2">
        <v>41404</v>
      </c>
      <c r="E11604" s="1" t="s">
        <v>22990</v>
      </c>
      <c r="F11604" s="1" t="s">
        <v>95</v>
      </c>
    </row>
    <row r="11605" spans="1:6" ht="30" customHeight="1" x14ac:dyDescent="0.25">
      <c r="A11605" s="1" t="s">
        <v>22991</v>
      </c>
      <c r="B11605" s="1" t="str">
        <f>"9780309282833"</f>
        <v>9780309282833</v>
      </c>
      <c r="C11605" s="1" t="s">
        <v>20924</v>
      </c>
      <c r="D11605" s="2">
        <v>41355</v>
      </c>
      <c r="E11605" s="1" t="s">
        <v>22992</v>
      </c>
      <c r="F11605" s="1" t="s">
        <v>30</v>
      </c>
    </row>
    <row r="11606" spans="1:6" ht="30" customHeight="1" x14ac:dyDescent="0.25">
      <c r="A11606" s="1" t="s">
        <v>22993</v>
      </c>
      <c r="B11606" s="1" t="str">
        <f>"9780309291231"</f>
        <v>9780309291231</v>
      </c>
      <c r="C11606" s="1" t="s">
        <v>20924</v>
      </c>
      <c r="D11606" s="2">
        <v>41543</v>
      </c>
      <c r="E11606" s="1" t="s">
        <v>22895</v>
      </c>
      <c r="F11606" s="1" t="s">
        <v>70</v>
      </c>
    </row>
    <row r="11607" spans="1:6" ht="30" customHeight="1" x14ac:dyDescent="0.25">
      <c r="A11607" s="1" t="s">
        <v>22994</v>
      </c>
      <c r="B11607" s="1" t="str">
        <f>"9780309257169"</f>
        <v>9780309257169</v>
      </c>
      <c r="C11607" s="1" t="s">
        <v>20924</v>
      </c>
      <c r="D11607" s="2">
        <v>41262</v>
      </c>
      <c r="E11607" s="1" t="s">
        <v>22995</v>
      </c>
      <c r="F11607" s="1" t="s">
        <v>148</v>
      </c>
    </row>
    <row r="11608" spans="1:6" ht="30" customHeight="1" x14ac:dyDescent="0.25">
      <c r="A11608" s="1" t="s">
        <v>22996</v>
      </c>
      <c r="B11608" s="1" t="str">
        <f>"9780309288415"</f>
        <v>9780309288415</v>
      </c>
      <c r="C11608" s="1" t="s">
        <v>20924</v>
      </c>
      <c r="D11608" s="2">
        <v>41513</v>
      </c>
      <c r="E11608" s="1" t="s">
        <v>22997</v>
      </c>
      <c r="F11608" s="1" t="s">
        <v>33</v>
      </c>
    </row>
    <row r="11609" spans="1:6" ht="30" customHeight="1" x14ac:dyDescent="0.25">
      <c r="A11609" s="1" t="s">
        <v>22998</v>
      </c>
      <c r="B11609" s="1" t="str">
        <f>"9780309294744"</f>
        <v>9780309294744</v>
      </c>
      <c r="C11609" s="1" t="s">
        <v>20924</v>
      </c>
      <c r="D11609" s="2">
        <v>41930</v>
      </c>
      <c r="E11609" s="1" t="s">
        <v>22999</v>
      </c>
      <c r="F11609" s="1" t="s">
        <v>13</v>
      </c>
    </row>
    <row r="11610" spans="1:6" ht="30" customHeight="1" x14ac:dyDescent="0.25">
      <c r="A11610" s="1" t="s">
        <v>23000</v>
      </c>
      <c r="B11610" s="1" t="str">
        <f>"9780309289023"</f>
        <v>9780309289023</v>
      </c>
      <c r="C11610" s="1" t="s">
        <v>20924</v>
      </c>
      <c r="D11610" s="2">
        <v>41766</v>
      </c>
      <c r="E11610" s="1" t="s">
        <v>22939</v>
      </c>
      <c r="F11610" s="1" t="s">
        <v>13</v>
      </c>
    </row>
    <row r="11611" spans="1:6" ht="30" customHeight="1" x14ac:dyDescent="0.25">
      <c r="A11611" s="1" t="s">
        <v>23001</v>
      </c>
      <c r="B11611" s="1" t="str">
        <f>"9780309294799"</f>
        <v>9780309294799</v>
      </c>
      <c r="C11611" s="1" t="s">
        <v>20924</v>
      </c>
      <c r="D11611" s="2">
        <v>41780</v>
      </c>
      <c r="E11611" s="1" t="s">
        <v>23002</v>
      </c>
      <c r="F11611" s="1" t="s">
        <v>30</v>
      </c>
    </row>
    <row r="11612" spans="1:6" ht="30" customHeight="1" x14ac:dyDescent="0.25">
      <c r="A11612" s="1" t="s">
        <v>23003</v>
      </c>
      <c r="B11612" s="1" t="str">
        <f>"9780309302760"</f>
        <v>9780309302760</v>
      </c>
      <c r="C11612" s="1" t="s">
        <v>20924</v>
      </c>
      <c r="D11612" s="2">
        <v>41825</v>
      </c>
      <c r="E11612" s="1" t="s">
        <v>23004</v>
      </c>
      <c r="F11612" s="1" t="s">
        <v>30</v>
      </c>
    </row>
    <row r="11613" spans="1:6" ht="30" customHeight="1" x14ac:dyDescent="0.25">
      <c r="A11613" s="1" t="s">
        <v>23005</v>
      </c>
      <c r="B11613" s="1" t="str">
        <f>"9780309301695"</f>
        <v>9780309301695</v>
      </c>
      <c r="C11613" s="1" t="s">
        <v>20924</v>
      </c>
      <c r="D11613" s="2">
        <v>41836</v>
      </c>
      <c r="E11613" s="1" t="s">
        <v>23006</v>
      </c>
      <c r="F11613" s="1" t="s">
        <v>13</v>
      </c>
    </row>
    <row r="11614" spans="1:6" ht="30" customHeight="1" x14ac:dyDescent="0.25">
      <c r="A11614" s="1" t="s">
        <v>23007</v>
      </c>
      <c r="B11614" s="1" t="str">
        <f>"9780309301749"</f>
        <v>9780309301749</v>
      </c>
      <c r="C11614" s="1" t="s">
        <v>20924</v>
      </c>
      <c r="D11614" s="2">
        <v>41837</v>
      </c>
      <c r="E11614" s="1" t="s">
        <v>23008</v>
      </c>
      <c r="F11614" s="1" t="s">
        <v>13</v>
      </c>
    </row>
    <row r="11615" spans="1:6" ht="30" customHeight="1" x14ac:dyDescent="0.25">
      <c r="A11615" s="1" t="s">
        <v>23009</v>
      </c>
      <c r="B11615" s="1" t="str">
        <f>"9780309288972"</f>
        <v>9780309288972</v>
      </c>
      <c r="C11615" s="1" t="s">
        <v>20924</v>
      </c>
      <c r="D11615" s="2">
        <v>41868</v>
      </c>
      <c r="E11615" s="1" t="s">
        <v>23010</v>
      </c>
      <c r="F11615" s="1" t="s">
        <v>13</v>
      </c>
    </row>
    <row r="11616" spans="1:6" ht="30" customHeight="1" x14ac:dyDescent="0.25">
      <c r="A11616" s="1" t="s">
        <v>23011</v>
      </c>
      <c r="B11616" s="1" t="str">
        <f>"9780309299817"</f>
        <v>9780309299817</v>
      </c>
      <c r="C11616" s="1" t="s">
        <v>20924</v>
      </c>
      <c r="D11616" s="2">
        <v>41868</v>
      </c>
      <c r="E11616" s="1" t="s">
        <v>23012</v>
      </c>
      <c r="F11616" s="1" t="s">
        <v>114</v>
      </c>
    </row>
    <row r="11617" spans="1:6" ht="30" customHeight="1" x14ac:dyDescent="0.25">
      <c r="A11617" s="1" t="s">
        <v>23013</v>
      </c>
      <c r="B11617" s="1" t="str">
        <f>"9780309303064"</f>
        <v>9780309303064</v>
      </c>
      <c r="C11617" s="1" t="s">
        <v>20924</v>
      </c>
      <c r="D11617" s="2">
        <v>41872</v>
      </c>
      <c r="E11617" s="1" t="s">
        <v>23014</v>
      </c>
      <c r="F11617" s="1" t="s">
        <v>158</v>
      </c>
    </row>
    <row r="11618" spans="1:6" ht="30" customHeight="1" x14ac:dyDescent="0.25">
      <c r="A11618" s="1" t="s">
        <v>23015</v>
      </c>
      <c r="B11618" s="1" t="str">
        <f>"9780309288118"</f>
        <v>9780309288118</v>
      </c>
      <c r="C11618" s="1" t="s">
        <v>20924</v>
      </c>
      <c r="D11618" s="2">
        <v>41908</v>
      </c>
      <c r="E11618" s="1" t="s">
        <v>23016</v>
      </c>
      <c r="F11618" s="1" t="s">
        <v>13</v>
      </c>
    </row>
    <row r="11619" spans="1:6" ht="30" customHeight="1" x14ac:dyDescent="0.25">
      <c r="A11619" s="1" t="s">
        <v>23017</v>
      </c>
      <c r="B11619" s="1" t="str">
        <f>"9780309302050"</f>
        <v>9780309302050</v>
      </c>
      <c r="C11619" s="1" t="s">
        <v>20924</v>
      </c>
      <c r="D11619" s="2">
        <v>41890</v>
      </c>
      <c r="E11619" s="1" t="s">
        <v>23018</v>
      </c>
      <c r="F11619" s="1" t="s">
        <v>137</v>
      </c>
    </row>
    <row r="11620" spans="1:6" ht="30" customHeight="1" x14ac:dyDescent="0.25">
      <c r="A11620" s="1" t="s">
        <v>23019</v>
      </c>
      <c r="B11620" s="1" t="str">
        <f>"9780309301794"</f>
        <v>9780309301794</v>
      </c>
      <c r="C11620" s="1" t="s">
        <v>20924</v>
      </c>
      <c r="D11620" s="2">
        <v>41931</v>
      </c>
      <c r="E11620" s="1" t="s">
        <v>23020</v>
      </c>
      <c r="F11620" s="1" t="s">
        <v>158</v>
      </c>
    </row>
    <row r="11621" spans="1:6" ht="30" customHeight="1" x14ac:dyDescent="0.25">
      <c r="A11621" s="1" t="s">
        <v>23021</v>
      </c>
      <c r="B11621" s="1" t="str">
        <f>"9780309306355"</f>
        <v>9780309306355</v>
      </c>
      <c r="C11621" s="1" t="s">
        <v>20924</v>
      </c>
      <c r="D11621" s="2">
        <v>41889</v>
      </c>
      <c r="E11621" s="1" t="s">
        <v>23022</v>
      </c>
      <c r="F11621" s="1" t="s">
        <v>95</v>
      </c>
    </row>
    <row r="11622" spans="1:6" ht="30" customHeight="1" x14ac:dyDescent="0.25">
      <c r="A11622" s="1" t="s">
        <v>23023</v>
      </c>
      <c r="B11622" s="1" t="str">
        <f>"9780309303569"</f>
        <v>9780309303569</v>
      </c>
      <c r="C11622" s="1" t="s">
        <v>20924</v>
      </c>
      <c r="D11622" s="2">
        <v>41942</v>
      </c>
      <c r="E11622" s="1" t="s">
        <v>23024</v>
      </c>
      <c r="F11622" s="1" t="s">
        <v>13</v>
      </c>
    </row>
    <row r="11623" spans="1:6" ht="30" customHeight="1" x14ac:dyDescent="0.25">
      <c r="A11623" s="1" t="s">
        <v>23025</v>
      </c>
      <c r="B11623" s="1" t="str">
        <f>"9780309305457"</f>
        <v>9780309305457</v>
      </c>
      <c r="C11623" s="1" t="s">
        <v>20924</v>
      </c>
      <c r="D11623" s="2">
        <v>41941</v>
      </c>
      <c r="E11623" s="1" t="s">
        <v>23026</v>
      </c>
      <c r="F11623" s="1" t="s">
        <v>70</v>
      </c>
    </row>
    <row r="11624" spans="1:6" ht="30" customHeight="1" x14ac:dyDescent="0.25">
      <c r="A11624" s="1" t="s">
        <v>23027</v>
      </c>
      <c r="B11624" s="1" t="str">
        <f>"9780309305006"</f>
        <v>9780309305006</v>
      </c>
      <c r="C11624" s="1" t="s">
        <v>20924</v>
      </c>
      <c r="D11624" s="2">
        <v>41915</v>
      </c>
      <c r="E11624" s="1" t="s">
        <v>23028</v>
      </c>
      <c r="F11624" s="1" t="s">
        <v>176</v>
      </c>
    </row>
    <row r="11625" spans="1:6" ht="30" customHeight="1" x14ac:dyDescent="0.25">
      <c r="A11625" s="1" t="s">
        <v>23029</v>
      </c>
      <c r="B11625" s="1" t="str">
        <f>"9780309302548"</f>
        <v>9780309302548</v>
      </c>
      <c r="C11625" s="1" t="s">
        <v>20924</v>
      </c>
      <c r="D11625" s="2">
        <v>41931</v>
      </c>
      <c r="E11625" s="1" t="s">
        <v>23030</v>
      </c>
      <c r="F11625" s="1" t="s">
        <v>13</v>
      </c>
    </row>
    <row r="11626" spans="1:6" ht="30" customHeight="1" x14ac:dyDescent="0.25">
      <c r="A11626" s="1" t="s">
        <v>23031</v>
      </c>
      <c r="B11626" s="1" t="str">
        <f>"9780309311700"</f>
        <v>9780309311700</v>
      </c>
      <c r="C11626" s="1" t="s">
        <v>20924</v>
      </c>
      <c r="D11626" s="2">
        <v>41937</v>
      </c>
      <c r="E11626" s="1" t="s">
        <v>23032</v>
      </c>
      <c r="F11626" s="1" t="s">
        <v>30</v>
      </c>
    </row>
    <row r="11627" spans="1:6" ht="30" customHeight="1" x14ac:dyDescent="0.25">
      <c r="A11627" s="1" t="s">
        <v>23033</v>
      </c>
      <c r="B11627" s="1" t="str">
        <f>"9780309306676"</f>
        <v>9780309306676</v>
      </c>
      <c r="C11627" s="1" t="s">
        <v>20924</v>
      </c>
      <c r="D11627" s="2">
        <v>41931</v>
      </c>
      <c r="E11627" s="1" t="s">
        <v>23034</v>
      </c>
      <c r="F11627" s="1" t="s">
        <v>205</v>
      </c>
    </row>
    <row r="11628" spans="1:6" ht="30" customHeight="1" x14ac:dyDescent="0.25">
      <c r="A11628" s="1" t="s">
        <v>23035</v>
      </c>
      <c r="B11628" s="1" t="str">
        <f>"9780309303668"</f>
        <v>9780309303668</v>
      </c>
      <c r="C11628" s="1" t="s">
        <v>20924</v>
      </c>
      <c r="D11628" s="2">
        <v>41922</v>
      </c>
      <c r="E11628" s="1" t="s">
        <v>23036</v>
      </c>
      <c r="F11628" s="1" t="s">
        <v>158</v>
      </c>
    </row>
    <row r="11629" spans="1:6" ht="30" customHeight="1" x14ac:dyDescent="0.25">
      <c r="A11629" s="1" t="s">
        <v>23037</v>
      </c>
      <c r="B11629" s="1" t="str">
        <f>"9780309303323"</f>
        <v>9780309303323</v>
      </c>
      <c r="C11629" s="1" t="s">
        <v>20924</v>
      </c>
      <c r="D11629" s="2">
        <v>41976</v>
      </c>
      <c r="E11629" s="1" t="s">
        <v>23038</v>
      </c>
      <c r="F11629" s="1" t="s">
        <v>214</v>
      </c>
    </row>
    <row r="11630" spans="1:6" ht="30" customHeight="1" x14ac:dyDescent="0.25">
      <c r="A11630" s="1" t="s">
        <v>23039</v>
      </c>
      <c r="B11630" s="1" t="str">
        <f>"9780309312431"</f>
        <v>9780309312431</v>
      </c>
      <c r="C11630" s="1" t="s">
        <v>20924</v>
      </c>
      <c r="D11630" s="2">
        <v>41206</v>
      </c>
      <c r="E11630" s="1" t="s">
        <v>23040</v>
      </c>
      <c r="F11630" s="1" t="s">
        <v>356</v>
      </c>
    </row>
    <row r="11631" spans="1:6" ht="30" customHeight="1" x14ac:dyDescent="0.25">
      <c r="A11631" s="1" t="s">
        <v>23041</v>
      </c>
      <c r="B11631" s="1" t="str">
        <f>"9780309312028"</f>
        <v>9780309312028</v>
      </c>
      <c r="C11631" s="1" t="s">
        <v>20924</v>
      </c>
      <c r="D11631" s="2">
        <v>42067</v>
      </c>
      <c r="E11631" s="1" t="s">
        <v>23042</v>
      </c>
      <c r="F11631" s="1" t="s">
        <v>95</v>
      </c>
    </row>
    <row r="11632" spans="1:6" ht="30" customHeight="1" x14ac:dyDescent="0.25">
      <c r="A11632" s="1" t="s">
        <v>23043</v>
      </c>
      <c r="B11632" s="1" t="str">
        <f>"9780309304047"</f>
        <v>9780309304047</v>
      </c>
      <c r="C11632" s="1" t="s">
        <v>20924</v>
      </c>
      <c r="D11632" s="2">
        <v>42083</v>
      </c>
      <c r="E11632" s="1" t="s">
        <v>23044</v>
      </c>
      <c r="F11632" s="1" t="s">
        <v>137</v>
      </c>
    </row>
    <row r="11633" spans="1:6" ht="30" customHeight="1" x14ac:dyDescent="0.25">
      <c r="A11633" s="1" t="s">
        <v>23045</v>
      </c>
      <c r="B11633" s="1" t="str">
        <f>"9780309316903"</f>
        <v>9780309316903</v>
      </c>
      <c r="C11633" s="1" t="s">
        <v>20924</v>
      </c>
      <c r="D11633" s="2">
        <v>42110</v>
      </c>
      <c r="E11633" s="1" t="s">
        <v>23046</v>
      </c>
      <c r="F11633" s="1" t="s">
        <v>13</v>
      </c>
    </row>
    <row r="11634" spans="1:6" ht="30" customHeight="1" x14ac:dyDescent="0.25">
      <c r="A11634" s="1" t="s">
        <v>23047</v>
      </c>
      <c r="B11634" s="1" t="str">
        <f>"9780309313988"</f>
        <v>9780309313988</v>
      </c>
      <c r="C11634" s="1" t="s">
        <v>20924</v>
      </c>
      <c r="D11634" s="2">
        <v>42113</v>
      </c>
      <c r="E11634" s="1" t="s">
        <v>23028</v>
      </c>
      <c r="F11634" s="1" t="s">
        <v>70</v>
      </c>
    </row>
    <row r="11635" spans="1:6" ht="30" customHeight="1" x14ac:dyDescent="0.25">
      <c r="A11635" s="1" t="s">
        <v>23048</v>
      </c>
      <c r="B11635" s="1" t="str">
        <f>"9780309303118"</f>
        <v>9780309303118</v>
      </c>
      <c r="C11635" s="1" t="s">
        <v>20924</v>
      </c>
      <c r="D11635" s="2">
        <v>42082</v>
      </c>
      <c r="E11635" s="1" t="s">
        <v>23049</v>
      </c>
      <c r="F11635" s="1" t="s">
        <v>33</v>
      </c>
    </row>
    <row r="11636" spans="1:6" ht="30" customHeight="1" x14ac:dyDescent="0.25">
      <c r="A11636" s="1" t="s">
        <v>23050</v>
      </c>
      <c r="B11636" s="1" t="str">
        <f>""</f>
        <v/>
      </c>
      <c r="C11636" s="1" t="s">
        <v>23051</v>
      </c>
      <c r="D11636" s="2">
        <v>39753</v>
      </c>
      <c r="E11636" s="1" t="s">
        <v>23052</v>
      </c>
      <c r="F11636" s="1" t="s">
        <v>95</v>
      </c>
    </row>
    <row r="11637" spans="1:6" ht="30" customHeight="1" x14ac:dyDescent="0.25">
      <c r="A11637" s="1" t="s">
        <v>23053</v>
      </c>
      <c r="B11637" s="1" t="str">
        <f>""</f>
        <v/>
      </c>
      <c r="C11637" s="1" t="s">
        <v>23054</v>
      </c>
      <c r="D11637" s="2">
        <v>38231</v>
      </c>
      <c r="E11637" s="1" t="s">
        <v>23055</v>
      </c>
      <c r="F11637" s="1" t="s">
        <v>13</v>
      </c>
    </row>
    <row r="11638" spans="1:6" ht="30" customHeight="1" x14ac:dyDescent="0.25">
      <c r="A11638" s="1" t="s">
        <v>23056</v>
      </c>
      <c r="B11638" s="1" t="str">
        <f>"9781441621412"</f>
        <v>9781441621412</v>
      </c>
      <c r="C11638" s="1" t="s">
        <v>23057</v>
      </c>
      <c r="D11638" s="2">
        <v>40042</v>
      </c>
      <c r="E11638" s="1" t="s">
        <v>23058</v>
      </c>
      <c r="F11638" s="1" t="s">
        <v>16158</v>
      </c>
    </row>
    <row r="11639" spans="1:6" ht="30" customHeight="1" x14ac:dyDescent="0.25">
      <c r="A11639" s="1" t="s">
        <v>23059</v>
      </c>
      <c r="B11639" s="1" t="str">
        <f>"9781435659650"</f>
        <v>9781435659650</v>
      </c>
      <c r="C11639" s="1" t="s">
        <v>23057</v>
      </c>
      <c r="D11639" s="2">
        <v>39356</v>
      </c>
      <c r="E11639" s="1" t="s">
        <v>23060</v>
      </c>
      <c r="F11639" s="1" t="s">
        <v>126</v>
      </c>
    </row>
    <row r="11640" spans="1:6" ht="30" customHeight="1" x14ac:dyDescent="0.25">
      <c r="A11640" s="1" t="s">
        <v>23061</v>
      </c>
      <c r="B11640" s="1" t="str">
        <f>"9781435659001"</f>
        <v>9781435659001</v>
      </c>
      <c r="C11640" s="1" t="s">
        <v>23057</v>
      </c>
      <c r="D11640" s="2">
        <v>38353</v>
      </c>
      <c r="E11640" s="1" t="s">
        <v>23062</v>
      </c>
      <c r="F11640" s="1" t="s">
        <v>126</v>
      </c>
    </row>
    <row r="11641" spans="1:6" ht="30" customHeight="1" x14ac:dyDescent="0.25">
      <c r="A11641" s="1" t="s">
        <v>23061</v>
      </c>
      <c r="B11641" s="1" t="str">
        <f>"9781435658998"</f>
        <v>9781435658998</v>
      </c>
      <c r="C11641" s="1" t="s">
        <v>23057</v>
      </c>
      <c r="D11641" s="2">
        <v>37987</v>
      </c>
      <c r="E11641" s="1" t="s">
        <v>23062</v>
      </c>
      <c r="F11641" s="1" t="s">
        <v>126</v>
      </c>
    </row>
    <row r="11642" spans="1:6" ht="30" customHeight="1" x14ac:dyDescent="0.25">
      <c r="A11642" s="1" t="s">
        <v>23063</v>
      </c>
      <c r="B11642" s="1" t="str">
        <f>"9781441648983"</f>
        <v>9781441648983</v>
      </c>
      <c r="C11642" s="1" t="s">
        <v>23057</v>
      </c>
      <c r="D11642" s="2">
        <v>40269</v>
      </c>
      <c r="E11642" s="1" t="s">
        <v>23064</v>
      </c>
      <c r="F11642" s="1" t="s">
        <v>126</v>
      </c>
    </row>
    <row r="11643" spans="1:6" ht="30" customHeight="1" x14ac:dyDescent="0.25">
      <c r="A11643" s="1" t="s">
        <v>23065</v>
      </c>
      <c r="B11643" s="1" t="str">
        <f>"9781441641090"</f>
        <v>9781441641090</v>
      </c>
      <c r="C11643" s="1" t="s">
        <v>23057</v>
      </c>
      <c r="D11643" s="2">
        <v>40231</v>
      </c>
      <c r="E11643" s="1" t="s">
        <v>23066</v>
      </c>
      <c r="F11643" s="1" t="s">
        <v>126</v>
      </c>
    </row>
    <row r="11644" spans="1:6" ht="30" customHeight="1" x14ac:dyDescent="0.25">
      <c r="A11644" s="1" t="s">
        <v>23067</v>
      </c>
      <c r="B11644" s="1" t="str">
        <f>"9781441639516"</f>
        <v>9781441639516</v>
      </c>
      <c r="C11644" s="1" t="s">
        <v>23057</v>
      </c>
      <c r="D11644" s="2">
        <v>40179</v>
      </c>
      <c r="E11644" s="1" t="s">
        <v>23068</v>
      </c>
      <c r="F11644" s="1" t="s">
        <v>126</v>
      </c>
    </row>
    <row r="11645" spans="1:6" ht="30" customHeight="1" x14ac:dyDescent="0.25">
      <c r="A11645" s="1" t="s">
        <v>23069</v>
      </c>
      <c r="B11645" s="1" t="str">
        <f>""</f>
        <v/>
      </c>
      <c r="C11645" s="1" t="s">
        <v>23057</v>
      </c>
      <c r="D11645" s="2">
        <v>39965</v>
      </c>
      <c r="E11645" s="1" t="s">
        <v>23070</v>
      </c>
      <c r="F11645" s="1" t="s">
        <v>234</v>
      </c>
    </row>
    <row r="11646" spans="1:6" ht="30" customHeight="1" x14ac:dyDescent="0.25">
      <c r="A11646" s="1" t="s">
        <v>23071</v>
      </c>
      <c r="B11646" s="1" t="str">
        <f>"9781435664012"</f>
        <v>9781435664012</v>
      </c>
      <c r="C11646" s="1" t="s">
        <v>23057</v>
      </c>
      <c r="D11646" s="2">
        <v>39630</v>
      </c>
      <c r="E11646" s="1" t="s">
        <v>23072</v>
      </c>
      <c r="F11646" s="1" t="s">
        <v>13</v>
      </c>
    </row>
    <row r="11647" spans="1:6" ht="30" customHeight="1" x14ac:dyDescent="0.25">
      <c r="A11647" s="1" t="s">
        <v>23073</v>
      </c>
      <c r="B11647" s="1" t="str">
        <f>"9781435660281"</f>
        <v>9781435660281</v>
      </c>
      <c r="C11647" s="1" t="s">
        <v>23057</v>
      </c>
      <c r="D11647" s="2">
        <v>38718</v>
      </c>
      <c r="E11647" s="1" t="s">
        <v>23074</v>
      </c>
      <c r="F11647" s="1" t="s">
        <v>13</v>
      </c>
    </row>
    <row r="11648" spans="1:6" ht="30" customHeight="1" x14ac:dyDescent="0.25">
      <c r="A11648" s="1" t="s">
        <v>23075</v>
      </c>
      <c r="B11648" s="1" t="str">
        <f>"9781435658981"</f>
        <v>9781435658981</v>
      </c>
      <c r="C11648" s="1" t="s">
        <v>23057</v>
      </c>
      <c r="D11648" s="2">
        <v>39173</v>
      </c>
      <c r="E11648" s="1" t="s">
        <v>23076</v>
      </c>
      <c r="F11648" s="1" t="s">
        <v>82</v>
      </c>
    </row>
    <row r="11649" spans="1:6" ht="30" customHeight="1" x14ac:dyDescent="0.25">
      <c r="A11649" s="1" t="s">
        <v>23077</v>
      </c>
      <c r="B11649" s="1" t="str">
        <f>"9781441634474"</f>
        <v>9781441634474</v>
      </c>
      <c r="C11649" s="1" t="s">
        <v>23057</v>
      </c>
      <c r="D11649" s="2">
        <v>40118</v>
      </c>
      <c r="E11649" s="1" t="s">
        <v>23078</v>
      </c>
      <c r="F11649" s="1" t="s">
        <v>82</v>
      </c>
    </row>
    <row r="11650" spans="1:6" ht="30" customHeight="1" x14ac:dyDescent="0.25">
      <c r="A11650" s="1" t="s">
        <v>23079</v>
      </c>
      <c r="B11650" s="1" t="str">
        <f>"9781435660076"</f>
        <v>9781435660076</v>
      </c>
      <c r="C11650" s="1" t="s">
        <v>23057</v>
      </c>
      <c r="D11650" s="2">
        <v>39387</v>
      </c>
      <c r="E11650" s="1" t="s">
        <v>23080</v>
      </c>
      <c r="F11650" s="1" t="s">
        <v>301</v>
      </c>
    </row>
    <row r="11651" spans="1:6" ht="30" customHeight="1" x14ac:dyDescent="0.25">
      <c r="A11651" s="1" t="s">
        <v>23081</v>
      </c>
      <c r="B11651" s="1" t="str">
        <f>"9781435660069"</f>
        <v>9781435660069</v>
      </c>
      <c r="C11651" s="1" t="s">
        <v>23057</v>
      </c>
      <c r="D11651" s="2">
        <v>39234</v>
      </c>
      <c r="E11651" s="1" t="s">
        <v>23082</v>
      </c>
      <c r="F11651" s="1" t="s">
        <v>126</v>
      </c>
    </row>
    <row r="11652" spans="1:6" ht="30" customHeight="1" x14ac:dyDescent="0.25">
      <c r="A11652" s="1" t="s">
        <v>23083</v>
      </c>
      <c r="B11652" s="1" t="str">
        <f>"9781441648976"</f>
        <v>9781441648976</v>
      </c>
      <c r="C11652" s="1" t="s">
        <v>23057</v>
      </c>
      <c r="D11652" s="2">
        <v>40269</v>
      </c>
      <c r="E11652" s="1" t="s">
        <v>23084</v>
      </c>
      <c r="F11652" s="1" t="s">
        <v>301</v>
      </c>
    </row>
    <row r="11653" spans="1:6" ht="30" customHeight="1" x14ac:dyDescent="0.25">
      <c r="A11653" s="1" t="s">
        <v>23085</v>
      </c>
      <c r="B11653" s="1" t="str">
        <f>"9781935476436"</f>
        <v>9781935476436</v>
      </c>
      <c r="C11653" s="1" t="s">
        <v>23057</v>
      </c>
      <c r="D11653" s="2">
        <v>40118</v>
      </c>
      <c r="E11653" s="1" t="s">
        <v>23086</v>
      </c>
      <c r="F11653" s="1" t="s">
        <v>301</v>
      </c>
    </row>
    <row r="11654" spans="1:6" ht="30" customHeight="1" x14ac:dyDescent="0.25">
      <c r="A11654" s="1" t="s">
        <v>23087</v>
      </c>
      <c r="B11654" s="1" t="str">
        <f>"9781935476276"</f>
        <v>9781935476276</v>
      </c>
      <c r="C11654" s="1" t="s">
        <v>23057</v>
      </c>
      <c r="D11654" s="2">
        <v>40357</v>
      </c>
      <c r="E11654" s="1" t="s">
        <v>23088</v>
      </c>
      <c r="F11654" s="1" t="s">
        <v>126</v>
      </c>
    </row>
    <row r="11655" spans="1:6" ht="30" customHeight="1" x14ac:dyDescent="0.25">
      <c r="A11655" s="1" t="s">
        <v>23075</v>
      </c>
      <c r="B11655" s="1" t="str">
        <f>"9781435658974"</f>
        <v>9781435658974</v>
      </c>
      <c r="C11655" s="1" t="s">
        <v>23057</v>
      </c>
      <c r="D11655" s="2">
        <v>37987</v>
      </c>
      <c r="E11655" s="1" t="s">
        <v>23076</v>
      </c>
      <c r="F11655" s="1" t="s">
        <v>82</v>
      </c>
    </row>
    <row r="11656" spans="1:6" ht="30" customHeight="1" x14ac:dyDescent="0.25">
      <c r="A11656" s="1" t="s">
        <v>23089</v>
      </c>
      <c r="B11656" s="1" t="str">
        <f>"9781935476269"</f>
        <v>9781935476269</v>
      </c>
      <c r="C11656" s="1" t="s">
        <v>23057</v>
      </c>
      <c r="D11656" s="2">
        <v>40357</v>
      </c>
      <c r="E11656" s="1" t="s">
        <v>23090</v>
      </c>
      <c r="F11656" s="1" t="s">
        <v>126</v>
      </c>
    </row>
    <row r="11657" spans="1:6" ht="30" customHeight="1" x14ac:dyDescent="0.25">
      <c r="A11657" s="1" t="s">
        <v>23091</v>
      </c>
      <c r="B11657" s="1" t="str">
        <f>"9781935476429"</f>
        <v>9781935476429</v>
      </c>
      <c r="C11657" s="1" t="s">
        <v>23057</v>
      </c>
      <c r="D11657" s="2">
        <v>39920</v>
      </c>
      <c r="E11657" s="1" t="s">
        <v>23092</v>
      </c>
      <c r="F11657" s="1" t="s">
        <v>126</v>
      </c>
    </row>
    <row r="11658" spans="1:6" ht="30" customHeight="1" x14ac:dyDescent="0.25">
      <c r="A11658" s="1" t="s">
        <v>23093</v>
      </c>
      <c r="B11658" s="1" t="str">
        <f>"9781935476283"</f>
        <v>9781935476283</v>
      </c>
      <c r="C11658" s="1" t="s">
        <v>23057</v>
      </c>
      <c r="D11658" s="2">
        <v>40422</v>
      </c>
      <c r="E11658" s="1" t="s">
        <v>23094</v>
      </c>
      <c r="F11658" s="1" t="s">
        <v>126</v>
      </c>
    </row>
    <row r="11659" spans="1:6" ht="30" customHeight="1" x14ac:dyDescent="0.25">
      <c r="A11659" s="1" t="s">
        <v>23095</v>
      </c>
      <c r="B11659" s="1" t="str">
        <f>"9781935476351"</f>
        <v>9781935476351</v>
      </c>
      <c r="C11659" s="1" t="s">
        <v>23057</v>
      </c>
      <c r="D11659" s="2">
        <v>40609</v>
      </c>
      <c r="E11659" s="1" t="s">
        <v>23096</v>
      </c>
      <c r="F11659" s="1" t="s">
        <v>126</v>
      </c>
    </row>
    <row r="11660" spans="1:6" ht="30" customHeight="1" x14ac:dyDescent="0.25">
      <c r="A11660" s="1" t="s">
        <v>23097</v>
      </c>
      <c r="B11660" s="1" t="str">
        <f>"9781935476580"</f>
        <v>9781935476580</v>
      </c>
      <c r="C11660" s="1" t="s">
        <v>23057</v>
      </c>
      <c r="D11660" s="2">
        <v>40664</v>
      </c>
      <c r="E11660" s="1" t="s">
        <v>23098</v>
      </c>
      <c r="F11660" s="1" t="s">
        <v>126</v>
      </c>
    </row>
    <row r="11661" spans="1:6" ht="30" customHeight="1" x14ac:dyDescent="0.25">
      <c r="A11661" s="1" t="s">
        <v>23099</v>
      </c>
      <c r="B11661" s="1" t="str">
        <f>"9781935476399"</f>
        <v>9781935476399</v>
      </c>
      <c r="C11661" s="1" t="s">
        <v>23057</v>
      </c>
      <c r="D11661" s="2">
        <v>40688</v>
      </c>
      <c r="E11661" s="1" t="s">
        <v>23100</v>
      </c>
      <c r="F11661" s="1" t="s">
        <v>132</v>
      </c>
    </row>
    <row r="11662" spans="1:6" ht="30" customHeight="1" x14ac:dyDescent="0.25">
      <c r="A11662" s="1" t="s">
        <v>23101</v>
      </c>
      <c r="B11662" s="1" t="str">
        <f>"9781935476702"</f>
        <v>9781935476702</v>
      </c>
      <c r="C11662" s="1" t="s">
        <v>23057</v>
      </c>
      <c r="D11662" s="2">
        <v>40701</v>
      </c>
      <c r="E11662" s="1" t="s">
        <v>23102</v>
      </c>
      <c r="F11662" s="1" t="s">
        <v>126</v>
      </c>
    </row>
    <row r="11663" spans="1:6" ht="30" customHeight="1" x14ac:dyDescent="0.25">
      <c r="A11663" s="1" t="s">
        <v>23103</v>
      </c>
      <c r="B11663" s="1" t="str">
        <f>"9781935476610"</f>
        <v>9781935476610</v>
      </c>
      <c r="C11663" s="1" t="s">
        <v>23057</v>
      </c>
      <c r="D11663" s="2">
        <v>41820</v>
      </c>
      <c r="E11663" s="1" t="s">
        <v>23104</v>
      </c>
      <c r="F11663" s="1" t="s">
        <v>126</v>
      </c>
    </row>
    <row r="11664" spans="1:6" ht="30" customHeight="1" x14ac:dyDescent="0.25">
      <c r="A11664" s="1" t="s">
        <v>23105</v>
      </c>
      <c r="B11664" s="1" t="str">
        <f>"9781935476757"</f>
        <v>9781935476757</v>
      </c>
      <c r="C11664" s="1" t="s">
        <v>23057</v>
      </c>
      <c r="D11664" s="2">
        <v>40907</v>
      </c>
      <c r="E11664" s="1" t="s">
        <v>23106</v>
      </c>
      <c r="F11664" s="1" t="s">
        <v>23107</v>
      </c>
    </row>
    <row r="11665" spans="1:6" ht="30" customHeight="1" x14ac:dyDescent="0.25">
      <c r="A11665" s="1" t="s">
        <v>23108</v>
      </c>
      <c r="B11665" s="1" t="str">
        <f>"9781935476528"</f>
        <v>9781935476528</v>
      </c>
      <c r="C11665" s="1" t="s">
        <v>23057</v>
      </c>
      <c r="D11665" s="2">
        <v>40940</v>
      </c>
      <c r="E11665" s="1" t="s">
        <v>23109</v>
      </c>
      <c r="F11665" s="1" t="s">
        <v>3294</v>
      </c>
    </row>
    <row r="11666" spans="1:6" ht="30" customHeight="1" x14ac:dyDescent="0.25">
      <c r="A11666" s="1" t="s">
        <v>23110</v>
      </c>
      <c r="B11666" s="1" t="str">
        <f>"9781937554347"</f>
        <v>9781937554347</v>
      </c>
      <c r="C11666" s="1" t="s">
        <v>23057</v>
      </c>
      <c r="D11666" s="2">
        <v>41072</v>
      </c>
      <c r="E11666" s="1" t="s">
        <v>23111</v>
      </c>
      <c r="F11666" s="1" t="s">
        <v>126</v>
      </c>
    </row>
    <row r="11667" spans="1:6" ht="30" customHeight="1" x14ac:dyDescent="0.25">
      <c r="A11667" s="1" t="s">
        <v>23112</v>
      </c>
      <c r="B11667" s="1" t="str">
        <f>"9781935476726"</f>
        <v>9781935476726</v>
      </c>
      <c r="C11667" s="1" t="s">
        <v>23057</v>
      </c>
      <c r="D11667" s="2">
        <v>41187</v>
      </c>
      <c r="E11667" s="1" t="s">
        <v>23113</v>
      </c>
      <c r="F11667" s="1" t="s">
        <v>126</v>
      </c>
    </row>
    <row r="11668" spans="1:6" ht="30" customHeight="1" x14ac:dyDescent="0.25">
      <c r="A11668" s="1" t="s">
        <v>23114</v>
      </c>
      <c r="B11668" s="1" t="str">
        <f>"9781937554774"</f>
        <v>9781937554774</v>
      </c>
      <c r="C11668" s="1" t="s">
        <v>23057</v>
      </c>
      <c r="D11668" s="2">
        <v>41275</v>
      </c>
      <c r="E11668" s="1" t="s">
        <v>23115</v>
      </c>
      <c r="F11668" s="1" t="s">
        <v>126</v>
      </c>
    </row>
    <row r="11669" spans="1:6" ht="30" customHeight="1" x14ac:dyDescent="0.25">
      <c r="A11669" s="1" t="s">
        <v>23116</v>
      </c>
      <c r="B11669" s="1" t="str">
        <f>"9781937554736"</f>
        <v>9781937554736</v>
      </c>
      <c r="C11669" s="1" t="s">
        <v>23057</v>
      </c>
      <c r="D11669" s="2">
        <v>41820</v>
      </c>
      <c r="E11669" s="1" t="s">
        <v>23117</v>
      </c>
      <c r="F11669" s="1" t="s">
        <v>126</v>
      </c>
    </row>
    <row r="11670" spans="1:6" ht="30" customHeight="1" x14ac:dyDescent="0.25">
      <c r="A11670" s="1" t="s">
        <v>23118</v>
      </c>
      <c r="B11670" s="1" t="str">
        <f>"9781935476337"</f>
        <v>9781935476337</v>
      </c>
      <c r="C11670" s="1" t="s">
        <v>23057</v>
      </c>
      <c r="D11670" s="2">
        <v>40513</v>
      </c>
      <c r="E11670" s="1" t="s">
        <v>23119</v>
      </c>
      <c r="F11670" s="1" t="s">
        <v>126</v>
      </c>
    </row>
    <row r="11671" spans="1:6" ht="30" customHeight="1" x14ac:dyDescent="0.25">
      <c r="A11671" s="1" t="s">
        <v>23120</v>
      </c>
      <c r="B11671" s="1" t="str">
        <f>"9781935476719"</f>
        <v>9781935476719</v>
      </c>
      <c r="C11671" s="1" t="s">
        <v>23057</v>
      </c>
      <c r="D11671" s="2">
        <v>40087</v>
      </c>
      <c r="E11671" s="1" t="s">
        <v>23121</v>
      </c>
      <c r="F11671" s="1" t="s">
        <v>126</v>
      </c>
    </row>
    <row r="11672" spans="1:6" ht="30" customHeight="1" x14ac:dyDescent="0.25">
      <c r="A11672" s="1" t="s">
        <v>23122</v>
      </c>
      <c r="B11672" s="1" t="str">
        <f>"9781935476481"</f>
        <v>9781935476481</v>
      </c>
      <c r="C11672" s="1" t="s">
        <v>23057</v>
      </c>
      <c r="D11672" s="2">
        <v>39052</v>
      </c>
      <c r="E11672" s="1" t="s">
        <v>23123</v>
      </c>
      <c r="F11672" s="1" t="s">
        <v>126</v>
      </c>
    </row>
    <row r="11673" spans="1:6" ht="30" customHeight="1" x14ac:dyDescent="0.25">
      <c r="A11673" s="1" t="s">
        <v>23124</v>
      </c>
      <c r="B11673" s="1" t="str">
        <f>"9781937554811"</f>
        <v>9781937554811</v>
      </c>
      <c r="C11673" s="1" t="s">
        <v>23057</v>
      </c>
      <c r="D11673" s="2">
        <v>41244</v>
      </c>
      <c r="E11673" s="1" t="s">
        <v>23125</v>
      </c>
      <c r="F11673" s="1" t="s">
        <v>126</v>
      </c>
    </row>
    <row r="11674" spans="1:6" ht="30" customHeight="1" x14ac:dyDescent="0.25">
      <c r="A11674" s="1" t="s">
        <v>23126</v>
      </c>
      <c r="B11674" s="1" t="str">
        <f>"9781937554484"</f>
        <v>9781937554484</v>
      </c>
      <c r="C11674" s="1" t="s">
        <v>23057</v>
      </c>
      <c r="D11674" s="2">
        <v>41327</v>
      </c>
      <c r="E11674" s="1" t="s">
        <v>23127</v>
      </c>
      <c r="F11674" s="1" t="s">
        <v>126</v>
      </c>
    </row>
    <row r="11675" spans="1:6" ht="30" customHeight="1" x14ac:dyDescent="0.25">
      <c r="A11675" s="1" t="s">
        <v>23128</v>
      </c>
      <c r="B11675" s="1" t="str">
        <f>"9781937554521"</f>
        <v>9781937554521</v>
      </c>
      <c r="C11675" s="1" t="s">
        <v>23057</v>
      </c>
      <c r="D11675" s="2">
        <v>41061</v>
      </c>
      <c r="E11675" s="1" t="s">
        <v>23129</v>
      </c>
      <c r="F11675" s="1" t="s">
        <v>126</v>
      </c>
    </row>
    <row r="11676" spans="1:6" ht="30" customHeight="1" x14ac:dyDescent="0.25">
      <c r="A11676" s="1" t="s">
        <v>23130</v>
      </c>
      <c r="B11676" s="1" t="str">
        <f>"9781937554446"</f>
        <v>9781937554446</v>
      </c>
      <c r="C11676" s="1" t="s">
        <v>23057</v>
      </c>
      <c r="D11676" s="2">
        <v>41375</v>
      </c>
      <c r="E11676" s="1" t="s">
        <v>23131</v>
      </c>
      <c r="F11676" s="1" t="s">
        <v>283</v>
      </c>
    </row>
    <row r="11677" spans="1:6" ht="30" customHeight="1" x14ac:dyDescent="0.25">
      <c r="A11677" s="1" t="s">
        <v>23132</v>
      </c>
      <c r="B11677" s="1" t="str">
        <f>"9781937554897"</f>
        <v>9781937554897</v>
      </c>
      <c r="C11677" s="1" t="s">
        <v>23057</v>
      </c>
      <c r="D11677" s="2">
        <v>41408</v>
      </c>
      <c r="E11677" s="1" t="s">
        <v>23133</v>
      </c>
      <c r="F11677" s="1" t="s">
        <v>126</v>
      </c>
    </row>
    <row r="11678" spans="1:6" ht="30" customHeight="1" x14ac:dyDescent="0.25">
      <c r="A11678" s="1" t="s">
        <v>23134</v>
      </c>
      <c r="B11678" s="1" t="str">
        <f>"9781937554699"</f>
        <v>9781937554699</v>
      </c>
      <c r="C11678" s="1" t="s">
        <v>23057</v>
      </c>
      <c r="D11678" s="2">
        <v>41275</v>
      </c>
      <c r="E11678" s="1" t="s">
        <v>23119</v>
      </c>
      <c r="F11678" s="1" t="s">
        <v>301</v>
      </c>
    </row>
    <row r="11679" spans="1:6" ht="30" customHeight="1" x14ac:dyDescent="0.25">
      <c r="A11679" s="1" t="s">
        <v>23135</v>
      </c>
      <c r="B11679" s="1" t="str">
        <f>"9781935476863"</f>
        <v>9781935476863</v>
      </c>
      <c r="C11679" s="1" t="s">
        <v>23057</v>
      </c>
      <c r="D11679" s="2">
        <v>41061</v>
      </c>
      <c r="E11679" s="1" t="s">
        <v>23136</v>
      </c>
      <c r="F11679" s="1" t="s">
        <v>126</v>
      </c>
    </row>
    <row r="11680" spans="1:6" ht="30" customHeight="1" x14ac:dyDescent="0.25">
      <c r="A11680" s="1" t="s">
        <v>23137</v>
      </c>
      <c r="B11680" s="1" t="str">
        <f>"9781938835018"</f>
        <v>9781938835018</v>
      </c>
      <c r="C11680" s="1" t="s">
        <v>23057</v>
      </c>
      <c r="D11680" s="2">
        <v>41426</v>
      </c>
      <c r="E11680" s="1" t="s">
        <v>23138</v>
      </c>
      <c r="F11680" s="1" t="s">
        <v>126</v>
      </c>
    </row>
    <row r="11681" spans="1:6" ht="30" customHeight="1" x14ac:dyDescent="0.25">
      <c r="A11681" s="1" t="s">
        <v>23139</v>
      </c>
      <c r="B11681" s="1" t="str">
        <f>"9781937554866"</f>
        <v>9781937554866</v>
      </c>
      <c r="C11681" s="1" t="s">
        <v>23057</v>
      </c>
      <c r="D11681" s="2">
        <v>41426</v>
      </c>
      <c r="E11681" s="1" t="s">
        <v>23140</v>
      </c>
      <c r="F11681" s="1" t="s">
        <v>30</v>
      </c>
    </row>
    <row r="11682" spans="1:6" ht="30" customHeight="1" x14ac:dyDescent="0.25">
      <c r="A11682" s="1" t="s">
        <v>23141</v>
      </c>
      <c r="B11682" s="1" t="str">
        <f>"9781937554651"</f>
        <v>9781937554651</v>
      </c>
      <c r="C11682" s="1" t="s">
        <v>23057</v>
      </c>
      <c r="D11682" s="2">
        <v>41442</v>
      </c>
      <c r="E11682" s="1" t="s">
        <v>23142</v>
      </c>
      <c r="F11682" s="1" t="s">
        <v>13</v>
      </c>
    </row>
    <row r="11683" spans="1:6" ht="30" customHeight="1" x14ac:dyDescent="0.25">
      <c r="A11683" s="1" t="s">
        <v>23143</v>
      </c>
      <c r="B11683" s="1" t="str">
        <f>"9781937554934"</f>
        <v>9781937554934</v>
      </c>
      <c r="C11683" s="1" t="s">
        <v>23057</v>
      </c>
      <c r="D11683" s="2">
        <v>41820</v>
      </c>
      <c r="E11683" s="1" t="s">
        <v>23144</v>
      </c>
      <c r="F11683" s="1" t="s">
        <v>126</v>
      </c>
    </row>
    <row r="11684" spans="1:6" ht="30" customHeight="1" x14ac:dyDescent="0.25">
      <c r="A11684" s="1" t="s">
        <v>23145</v>
      </c>
      <c r="B11684" s="1" t="str">
        <f>"9781938835056"</f>
        <v>9781938835056</v>
      </c>
      <c r="C11684" s="1" t="s">
        <v>23057</v>
      </c>
      <c r="D11684" s="2">
        <v>41858</v>
      </c>
      <c r="E11684" s="1" t="s">
        <v>23146</v>
      </c>
      <c r="F11684" s="1" t="s">
        <v>234</v>
      </c>
    </row>
    <row r="11685" spans="1:6" ht="30" customHeight="1" x14ac:dyDescent="0.25">
      <c r="A11685" s="1" t="s">
        <v>23147</v>
      </c>
      <c r="B11685" s="1" t="str">
        <f>"9781937554606"</f>
        <v>9781937554606</v>
      </c>
      <c r="C11685" s="1" t="s">
        <v>23057</v>
      </c>
      <c r="D11685" s="2">
        <v>41640</v>
      </c>
      <c r="E11685" s="1" t="s">
        <v>23148</v>
      </c>
      <c r="F11685" s="1" t="s">
        <v>126</v>
      </c>
    </row>
    <row r="11686" spans="1:6" ht="30" customHeight="1" x14ac:dyDescent="0.25">
      <c r="A11686" s="1" t="s">
        <v>23149</v>
      </c>
      <c r="B11686" s="1" t="str">
        <f>"9781937554408"</f>
        <v>9781937554408</v>
      </c>
      <c r="C11686" s="1" t="s">
        <v>23057</v>
      </c>
      <c r="D11686" s="2">
        <v>41773</v>
      </c>
      <c r="E11686" s="1" t="s">
        <v>23150</v>
      </c>
      <c r="F11686" s="1" t="s">
        <v>126</v>
      </c>
    </row>
    <row r="11687" spans="1:6" ht="30" customHeight="1" x14ac:dyDescent="0.25">
      <c r="A11687" s="1" t="s">
        <v>23151</v>
      </c>
      <c r="B11687" s="1" t="str">
        <f>"9781938835131"</f>
        <v>9781938835131</v>
      </c>
      <c r="C11687" s="1" t="s">
        <v>23057</v>
      </c>
      <c r="D11687" s="2">
        <v>42074</v>
      </c>
      <c r="E11687" s="1" t="s">
        <v>23152</v>
      </c>
      <c r="F11687" s="1" t="s">
        <v>126</v>
      </c>
    </row>
    <row r="11688" spans="1:6" ht="30" customHeight="1" x14ac:dyDescent="0.25">
      <c r="A11688" s="1" t="s">
        <v>23153</v>
      </c>
      <c r="B11688" s="1" t="str">
        <f>"9781938835445"</f>
        <v>9781938835445</v>
      </c>
      <c r="C11688" s="1" t="s">
        <v>23057</v>
      </c>
      <c r="D11688" s="2">
        <v>41722</v>
      </c>
      <c r="E11688" s="1" t="s">
        <v>23154</v>
      </c>
      <c r="F11688" s="1" t="s">
        <v>126</v>
      </c>
    </row>
    <row r="11689" spans="1:6" ht="30" customHeight="1" x14ac:dyDescent="0.25">
      <c r="A11689" s="1" t="s">
        <v>23155</v>
      </c>
      <c r="B11689" s="1" t="str">
        <f>"9781938835285"</f>
        <v>9781938835285</v>
      </c>
      <c r="C11689" s="1" t="s">
        <v>23057</v>
      </c>
      <c r="D11689" s="2">
        <v>41640</v>
      </c>
      <c r="E11689" s="1" t="s">
        <v>23156</v>
      </c>
      <c r="F11689" s="1" t="s">
        <v>973</v>
      </c>
    </row>
    <row r="11690" spans="1:6" ht="30" customHeight="1" x14ac:dyDescent="0.25">
      <c r="A11690" s="1" t="s">
        <v>23157</v>
      </c>
      <c r="B11690" s="1" t="str">
        <f>"9781938835407"</f>
        <v>9781938835407</v>
      </c>
      <c r="C11690" s="1" t="s">
        <v>23057</v>
      </c>
      <c r="D11690" s="2">
        <v>41730</v>
      </c>
      <c r="E11690" s="1" t="s">
        <v>23158</v>
      </c>
      <c r="F11690" s="1" t="s">
        <v>126</v>
      </c>
    </row>
    <row r="11691" spans="1:6" ht="30" customHeight="1" x14ac:dyDescent="0.25">
      <c r="A11691" s="1" t="s">
        <v>23159</v>
      </c>
      <c r="B11691" s="1" t="str">
        <f>"9781938835360"</f>
        <v>9781938835360</v>
      </c>
      <c r="C11691" s="1" t="s">
        <v>23057</v>
      </c>
      <c r="D11691" s="2">
        <v>41640</v>
      </c>
      <c r="E11691" s="1" t="s">
        <v>23160</v>
      </c>
      <c r="F11691" s="1" t="s">
        <v>126</v>
      </c>
    </row>
    <row r="11692" spans="1:6" ht="30" customHeight="1" x14ac:dyDescent="0.25">
      <c r="A11692" s="1" t="s">
        <v>23161</v>
      </c>
      <c r="B11692" s="1" t="str">
        <f>"9781938835520"</f>
        <v>9781938835520</v>
      </c>
      <c r="C11692" s="1" t="s">
        <v>23057</v>
      </c>
      <c r="D11692" s="2">
        <v>41760</v>
      </c>
      <c r="E11692" s="1" t="s">
        <v>23162</v>
      </c>
      <c r="F11692" s="1" t="s">
        <v>234</v>
      </c>
    </row>
    <row r="11693" spans="1:6" ht="30" customHeight="1" x14ac:dyDescent="0.25">
      <c r="A11693" s="1" t="s">
        <v>23163</v>
      </c>
      <c r="B11693" s="1" t="str">
        <f>"9781938835094"</f>
        <v>9781938835094</v>
      </c>
      <c r="C11693" s="1" t="s">
        <v>23057</v>
      </c>
      <c r="D11693" s="2">
        <v>41791</v>
      </c>
      <c r="E11693" s="1" t="s">
        <v>23164</v>
      </c>
      <c r="F11693" s="1" t="s">
        <v>126</v>
      </c>
    </row>
    <row r="11694" spans="1:6" ht="30" customHeight="1" x14ac:dyDescent="0.25">
      <c r="A11694" s="1" t="s">
        <v>23165</v>
      </c>
      <c r="B11694" s="1" t="str">
        <f>"9781938835483"</f>
        <v>9781938835483</v>
      </c>
      <c r="C11694" s="1" t="s">
        <v>23057</v>
      </c>
      <c r="D11694" s="2">
        <v>41989</v>
      </c>
      <c r="E11694" s="1" t="s">
        <v>23166</v>
      </c>
      <c r="F11694" s="1" t="s">
        <v>126</v>
      </c>
    </row>
    <row r="11695" spans="1:6" ht="30" customHeight="1" x14ac:dyDescent="0.25">
      <c r="A11695" s="1" t="s">
        <v>23167</v>
      </c>
      <c r="B11695" s="1" t="str">
        <f>"9781938835865"</f>
        <v>9781938835865</v>
      </c>
      <c r="C11695" s="1" t="s">
        <v>23057</v>
      </c>
      <c r="D11695" s="2">
        <v>41883</v>
      </c>
      <c r="E11695" s="1" t="s">
        <v>23168</v>
      </c>
      <c r="F11695" s="1" t="s">
        <v>126</v>
      </c>
    </row>
    <row r="11696" spans="1:6" ht="30" customHeight="1" x14ac:dyDescent="0.25">
      <c r="A11696" s="1" t="s">
        <v>23169</v>
      </c>
      <c r="B11696" s="1" t="str">
        <f>"9781938835568"</f>
        <v>9781938835568</v>
      </c>
      <c r="C11696" s="1" t="s">
        <v>23057</v>
      </c>
      <c r="D11696" s="2">
        <v>41969</v>
      </c>
      <c r="E11696" s="1" t="s">
        <v>23170</v>
      </c>
      <c r="F11696" s="1" t="s">
        <v>13</v>
      </c>
    </row>
    <row r="11697" spans="1:6" ht="30" customHeight="1" x14ac:dyDescent="0.25">
      <c r="A11697" s="1" t="s">
        <v>23171</v>
      </c>
      <c r="B11697" s="1" t="str">
        <f>"9781938835643"</f>
        <v>9781938835643</v>
      </c>
      <c r="C11697" s="1" t="s">
        <v>23057</v>
      </c>
      <c r="D11697" s="2">
        <v>41962</v>
      </c>
      <c r="E11697" s="1" t="s">
        <v>10743</v>
      </c>
      <c r="F11697" s="1" t="s">
        <v>126</v>
      </c>
    </row>
    <row r="11698" spans="1:6" ht="30" customHeight="1" x14ac:dyDescent="0.25">
      <c r="A11698" s="1" t="s">
        <v>23172</v>
      </c>
      <c r="B11698" s="1" t="str">
        <f>"9781938835728"</f>
        <v>9781938835728</v>
      </c>
      <c r="C11698" s="1" t="s">
        <v>23057</v>
      </c>
      <c r="D11698" s="2">
        <v>42032</v>
      </c>
      <c r="E11698" s="1" t="s">
        <v>23173</v>
      </c>
      <c r="F11698" s="1" t="s">
        <v>137</v>
      </c>
    </row>
    <row r="11699" spans="1:6" ht="30" customHeight="1" x14ac:dyDescent="0.25">
      <c r="A11699" s="1" t="s">
        <v>23174</v>
      </c>
      <c r="B11699" s="1" t="str">
        <f>"9781938835681"</f>
        <v>9781938835681</v>
      </c>
      <c r="C11699" s="1" t="s">
        <v>23057</v>
      </c>
      <c r="D11699" s="2">
        <v>42032</v>
      </c>
      <c r="E11699" s="1" t="s">
        <v>23175</v>
      </c>
      <c r="F11699" s="1" t="s">
        <v>13</v>
      </c>
    </row>
    <row r="11700" spans="1:6" ht="30" customHeight="1" x14ac:dyDescent="0.25">
      <c r="A11700" s="1" t="s">
        <v>23176</v>
      </c>
      <c r="B11700" s="1" t="str">
        <f>"9781938835827"</f>
        <v>9781938835827</v>
      </c>
      <c r="C11700" s="1" t="s">
        <v>23057</v>
      </c>
      <c r="D11700" s="2">
        <v>42081</v>
      </c>
      <c r="E11700" s="1" t="s">
        <v>23177</v>
      </c>
      <c r="F11700" s="1" t="s">
        <v>30</v>
      </c>
    </row>
    <row r="11701" spans="1:6" ht="30" customHeight="1" x14ac:dyDescent="0.25">
      <c r="A11701" s="1" t="s">
        <v>23178</v>
      </c>
      <c r="B11701" s="1" t="str">
        <f>"9781940446103"</f>
        <v>9781940446103</v>
      </c>
      <c r="C11701" s="1" t="s">
        <v>23057</v>
      </c>
      <c r="D11701" s="2">
        <v>42005</v>
      </c>
      <c r="E11701" s="1" t="s">
        <v>23179</v>
      </c>
      <c r="F11701" s="1" t="s">
        <v>126</v>
      </c>
    </row>
    <row r="11702" spans="1:6" ht="30" customHeight="1" x14ac:dyDescent="0.25">
      <c r="A11702" s="1" t="s">
        <v>23180</v>
      </c>
      <c r="B11702" s="1" t="str">
        <f>"9780780810990"</f>
        <v>9780780810990</v>
      </c>
      <c r="C11702" s="1" t="s">
        <v>23181</v>
      </c>
      <c r="D11702" s="2">
        <v>40052</v>
      </c>
      <c r="E11702" s="1" t="s">
        <v>23182</v>
      </c>
      <c r="F11702" s="1" t="s">
        <v>13</v>
      </c>
    </row>
    <row r="11703" spans="1:6" ht="30" customHeight="1" x14ac:dyDescent="0.25">
      <c r="A11703" s="1" t="s">
        <v>23183</v>
      </c>
      <c r="B11703" s="1" t="str">
        <f>""</f>
        <v/>
      </c>
      <c r="C11703" s="1" t="s">
        <v>23184</v>
      </c>
      <c r="D11703" s="2">
        <v>40148</v>
      </c>
      <c r="E11703" s="1" t="s">
        <v>23185</v>
      </c>
      <c r="F11703" s="1" t="s">
        <v>13</v>
      </c>
    </row>
    <row r="11704" spans="1:6" ht="30" customHeight="1" x14ac:dyDescent="0.25">
      <c r="A11704" s="1" t="s">
        <v>23186</v>
      </c>
      <c r="B11704" s="1" t="str">
        <f>""</f>
        <v/>
      </c>
      <c r="C11704" s="1" t="s">
        <v>23184</v>
      </c>
      <c r="D11704" s="2">
        <v>40148</v>
      </c>
      <c r="E11704" s="1" t="s">
        <v>23187</v>
      </c>
      <c r="F11704" s="1" t="s">
        <v>13</v>
      </c>
    </row>
    <row r="11705" spans="1:6" ht="30" customHeight="1" x14ac:dyDescent="0.25">
      <c r="A11705" s="1" t="s">
        <v>23188</v>
      </c>
      <c r="B11705" s="1" t="str">
        <f>""</f>
        <v/>
      </c>
      <c r="C11705" s="1" t="s">
        <v>23184</v>
      </c>
      <c r="D11705" s="2">
        <v>40148</v>
      </c>
      <c r="E11705" s="1" t="s">
        <v>23189</v>
      </c>
      <c r="F11705" s="1" t="s">
        <v>13</v>
      </c>
    </row>
    <row r="11706" spans="1:6" ht="30" customHeight="1" x14ac:dyDescent="0.25">
      <c r="A11706" s="1" t="s">
        <v>23190</v>
      </c>
      <c r="B11706" s="1" t="str">
        <f>""</f>
        <v/>
      </c>
      <c r="C11706" s="1" t="s">
        <v>23184</v>
      </c>
      <c r="D11706" s="2">
        <v>40148</v>
      </c>
      <c r="E11706" s="1" t="s">
        <v>23191</v>
      </c>
      <c r="F11706" s="1" t="s">
        <v>13</v>
      </c>
    </row>
    <row r="11707" spans="1:6" ht="30" customHeight="1" x14ac:dyDescent="0.25">
      <c r="A11707" s="1" t="s">
        <v>23192</v>
      </c>
      <c r="B11707" s="1" t="str">
        <f>""</f>
        <v/>
      </c>
      <c r="C11707" s="1" t="s">
        <v>23184</v>
      </c>
      <c r="D11707" s="2">
        <v>39417</v>
      </c>
      <c r="E11707" s="1" t="s">
        <v>23193</v>
      </c>
      <c r="F11707" s="1" t="s">
        <v>13</v>
      </c>
    </row>
    <row r="11708" spans="1:6" ht="30" customHeight="1" x14ac:dyDescent="0.25">
      <c r="A11708" s="1" t="s">
        <v>23194</v>
      </c>
      <c r="B11708" s="1" t="str">
        <f>""</f>
        <v/>
      </c>
      <c r="C11708" s="1" t="s">
        <v>23184</v>
      </c>
      <c r="D11708" s="2">
        <v>39948</v>
      </c>
      <c r="E11708" s="1" t="s">
        <v>23195</v>
      </c>
      <c r="F11708" s="1" t="s">
        <v>13</v>
      </c>
    </row>
    <row r="11709" spans="1:6" ht="30" customHeight="1" x14ac:dyDescent="0.25">
      <c r="A11709" s="1" t="s">
        <v>23196</v>
      </c>
      <c r="B11709" s="1" t="str">
        <f>""</f>
        <v/>
      </c>
      <c r="C11709" s="1" t="s">
        <v>23184</v>
      </c>
      <c r="D11709" s="2">
        <v>39783</v>
      </c>
      <c r="E11709" s="1" t="s">
        <v>23197</v>
      </c>
      <c r="F11709" s="1" t="s">
        <v>13</v>
      </c>
    </row>
    <row r="11710" spans="1:6" ht="30" customHeight="1" x14ac:dyDescent="0.25">
      <c r="A11710" s="1" t="s">
        <v>23198</v>
      </c>
      <c r="B11710" s="1" t="str">
        <f>"9789522285317"</f>
        <v>9789522285317</v>
      </c>
      <c r="C11710" s="1" t="s">
        <v>23199</v>
      </c>
      <c r="D11710" s="2">
        <v>41244</v>
      </c>
      <c r="E11710" s="1" t="s">
        <v>23200</v>
      </c>
      <c r="F11710" s="1" t="s">
        <v>30</v>
      </c>
    </row>
    <row r="11711" spans="1:6" ht="30" customHeight="1" x14ac:dyDescent="0.25">
      <c r="A11711" s="1" t="s">
        <v>23201</v>
      </c>
      <c r="B11711" s="1" t="str">
        <f>"9789522287724"</f>
        <v>9789522287724</v>
      </c>
      <c r="C11711" s="1" t="s">
        <v>23199</v>
      </c>
      <c r="D11711" s="2">
        <v>40878</v>
      </c>
      <c r="E11711" s="1" t="s">
        <v>23202</v>
      </c>
      <c r="F11711" s="1" t="s">
        <v>95</v>
      </c>
    </row>
    <row r="11712" spans="1:6" ht="30" customHeight="1" x14ac:dyDescent="0.25">
      <c r="A11712" s="1" t="s">
        <v>23203</v>
      </c>
      <c r="B11712" s="1" t="str">
        <f>"9789525672800"</f>
        <v>9789525672800</v>
      </c>
      <c r="C11712" s="1" t="s">
        <v>23199</v>
      </c>
      <c r="D11712" s="2">
        <v>39417</v>
      </c>
      <c r="E11712" s="1" t="s">
        <v>23204</v>
      </c>
      <c r="F11712" s="1" t="s">
        <v>13</v>
      </c>
    </row>
    <row r="11713" spans="1:6" ht="30" customHeight="1" x14ac:dyDescent="0.25">
      <c r="A11713" s="1" t="s">
        <v>23205</v>
      </c>
      <c r="B11713" s="1" t="str">
        <f>"9789522286390"</f>
        <v>9789522286390</v>
      </c>
      <c r="C11713" s="1" t="s">
        <v>23199</v>
      </c>
      <c r="D11713" s="2">
        <v>40878</v>
      </c>
      <c r="E11713" s="1" t="s">
        <v>23202</v>
      </c>
      <c r="F11713" s="1" t="s">
        <v>95</v>
      </c>
    </row>
    <row r="11714" spans="1:6" ht="30" customHeight="1" x14ac:dyDescent="0.25">
      <c r="A11714" s="1" t="s">
        <v>23206</v>
      </c>
      <c r="B11714" s="1" t="str">
        <f>"9789522285959"</f>
        <v>9789522285959</v>
      </c>
      <c r="C11714" s="1" t="s">
        <v>23199</v>
      </c>
      <c r="D11714" s="2">
        <v>40878</v>
      </c>
      <c r="E11714" s="1" t="s">
        <v>23207</v>
      </c>
      <c r="F11714" s="1" t="s">
        <v>13</v>
      </c>
    </row>
    <row r="11715" spans="1:6" ht="30" customHeight="1" x14ac:dyDescent="0.25">
      <c r="A11715" s="1" t="s">
        <v>23208</v>
      </c>
      <c r="B11715" s="1" t="str">
        <f>"9789522287465"</f>
        <v>9789522287465</v>
      </c>
      <c r="C11715" s="1" t="s">
        <v>23199</v>
      </c>
      <c r="D11715" s="2">
        <v>41244</v>
      </c>
      <c r="E11715" s="1" t="s">
        <v>23202</v>
      </c>
      <c r="F11715" s="1" t="s">
        <v>30</v>
      </c>
    </row>
    <row r="11716" spans="1:6" ht="30" customHeight="1" x14ac:dyDescent="0.25">
      <c r="A11716" s="1" t="s">
        <v>23209</v>
      </c>
      <c r="B11716" s="1" t="str">
        <f>"9781137377029"</f>
        <v>9781137377029</v>
      </c>
      <c r="C11716" s="1" t="s">
        <v>23210</v>
      </c>
      <c r="D11716" s="2">
        <v>41589</v>
      </c>
      <c r="E11716" s="1" t="s">
        <v>23211</v>
      </c>
      <c r="F11716" s="1" t="s">
        <v>95</v>
      </c>
    </row>
    <row r="11717" spans="1:6" ht="30" customHeight="1" x14ac:dyDescent="0.25">
      <c r="A11717" s="1" t="s">
        <v>23212</v>
      </c>
      <c r="B11717" s="1" t="str">
        <f>"9781908066787"</f>
        <v>9781908066787</v>
      </c>
      <c r="C11717" s="1" t="s">
        <v>23213</v>
      </c>
      <c r="D11717" s="2">
        <v>40634</v>
      </c>
      <c r="E11717" s="1" t="s">
        <v>23214</v>
      </c>
      <c r="F11717" s="1" t="s">
        <v>599</v>
      </c>
    </row>
    <row r="11718" spans="1:6" ht="30" customHeight="1" x14ac:dyDescent="0.25">
      <c r="A11718" s="1" t="s">
        <v>23215</v>
      </c>
      <c r="B11718" s="1" t="str">
        <f>"9781908993014"</f>
        <v>9781908993014</v>
      </c>
      <c r="C11718" s="1" t="s">
        <v>23213</v>
      </c>
      <c r="D11718" s="2">
        <v>40878</v>
      </c>
      <c r="E11718" s="1" t="s">
        <v>23216</v>
      </c>
      <c r="F11718" s="1" t="s">
        <v>13</v>
      </c>
    </row>
    <row r="11719" spans="1:6" ht="30" customHeight="1" x14ac:dyDescent="0.25">
      <c r="A11719" s="1" t="s">
        <v>23217</v>
      </c>
      <c r="B11719" s="1" t="str">
        <f>"9781908066961"</f>
        <v>9781908066961</v>
      </c>
      <c r="C11719" s="1" t="s">
        <v>23213</v>
      </c>
      <c r="D11719" s="2">
        <v>40848</v>
      </c>
      <c r="E11719" s="1" t="s">
        <v>23218</v>
      </c>
      <c r="F11719" s="1" t="s">
        <v>30</v>
      </c>
    </row>
    <row r="11720" spans="1:6" ht="30" customHeight="1" x14ac:dyDescent="0.25">
      <c r="A11720" s="1" t="s">
        <v>23219</v>
      </c>
      <c r="B11720" s="1" t="str">
        <f>"9781909810754"</f>
        <v>9781909810754</v>
      </c>
      <c r="C11720" s="1" t="s">
        <v>23220</v>
      </c>
      <c r="D11720" s="2">
        <v>41640</v>
      </c>
      <c r="E11720" s="1" t="s">
        <v>23221</v>
      </c>
      <c r="F11720" s="1" t="s">
        <v>114</v>
      </c>
    </row>
    <row r="11721" spans="1:6" ht="30" customHeight="1" x14ac:dyDescent="0.25">
      <c r="A11721" s="1" t="s">
        <v>23222</v>
      </c>
      <c r="B11721" s="1" t="str">
        <f>"9781909810624"</f>
        <v>9781909810624</v>
      </c>
      <c r="C11721" s="1" t="s">
        <v>23220</v>
      </c>
      <c r="D11721" s="2">
        <v>41640</v>
      </c>
      <c r="E11721" s="1" t="s">
        <v>23223</v>
      </c>
      <c r="F11721" s="1" t="s">
        <v>356</v>
      </c>
    </row>
    <row r="11722" spans="1:6" ht="30" customHeight="1" x14ac:dyDescent="0.25">
      <c r="A11722" s="1" t="s">
        <v>23224</v>
      </c>
      <c r="B11722" s="1" t="str">
        <f>"9781909810808"</f>
        <v>9781909810808</v>
      </c>
      <c r="C11722" s="1" t="s">
        <v>23220</v>
      </c>
      <c r="D11722" s="2">
        <v>41758</v>
      </c>
      <c r="E11722" s="1" t="s">
        <v>23223</v>
      </c>
      <c r="F11722" s="1" t="s">
        <v>356</v>
      </c>
    </row>
    <row r="11723" spans="1:6" ht="30" customHeight="1" x14ac:dyDescent="0.25">
      <c r="A11723" s="1" t="s">
        <v>23225</v>
      </c>
      <c r="B11723" s="1" t="str">
        <f>"9781937661809"</f>
        <v>9781937661809</v>
      </c>
      <c r="C11723" s="1" t="s">
        <v>23226</v>
      </c>
      <c r="D11723" s="2">
        <v>41030</v>
      </c>
      <c r="E11723" s="1" t="s">
        <v>23227</v>
      </c>
      <c r="F11723" s="1" t="s">
        <v>30</v>
      </c>
    </row>
    <row r="11724" spans="1:6" ht="30" customHeight="1" x14ac:dyDescent="0.25">
      <c r="A11724" s="1" t="s">
        <v>23228</v>
      </c>
      <c r="B11724" s="1" t="str">
        <f>"9781842435533"</f>
        <v>9781842435533</v>
      </c>
      <c r="C11724" s="1" t="s">
        <v>23229</v>
      </c>
      <c r="D11724" s="2">
        <v>37196</v>
      </c>
      <c r="E11724" s="1" t="s">
        <v>23230</v>
      </c>
      <c r="F11724" s="1" t="s">
        <v>3393</v>
      </c>
    </row>
    <row r="11725" spans="1:6" ht="30" customHeight="1" x14ac:dyDescent="0.25">
      <c r="A11725" s="1" t="s">
        <v>23231</v>
      </c>
      <c r="B11725" s="1" t="str">
        <f>"9781849640503"</f>
        <v>9781849640503</v>
      </c>
      <c r="C11725" s="1" t="s">
        <v>23232</v>
      </c>
      <c r="D11725" s="2">
        <v>36239</v>
      </c>
      <c r="E11725" s="1" t="s">
        <v>23233</v>
      </c>
      <c r="F11725" s="1" t="s">
        <v>304</v>
      </c>
    </row>
    <row r="11726" spans="1:6" ht="30" customHeight="1" x14ac:dyDescent="0.25">
      <c r="A11726" s="1" t="s">
        <v>23234</v>
      </c>
      <c r="B11726" s="1" t="str">
        <f>"9781849644051"</f>
        <v>9781849644051</v>
      </c>
      <c r="C11726" s="1" t="s">
        <v>23232</v>
      </c>
      <c r="D11726" s="2">
        <v>39619</v>
      </c>
      <c r="E11726" s="1" t="s">
        <v>23235</v>
      </c>
      <c r="F11726" s="1" t="s">
        <v>13</v>
      </c>
    </row>
    <row r="11727" spans="1:6" ht="30" customHeight="1" x14ac:dyDescent="0.25">
      <c r="A11727" s="1" t="s">
        <v>23236</v>
      </c>
      <c r="B11727" s="1" t="str">
        <f>"9781849643894"</f>
        <v>9781849643894</v>
      </c>
      <c r="C11727" s="1" t="s">
        <v>23232</v>
      </c>
      <c r="D11727" s="2">
        <v>39345</v>
      </c>
      <c r="E11727" s="1" t="s">
        <v>23237</v>
      </c>
      <c r="F11727" s="1" t="s">
        <v>30</v>
      </c>
    </row>
    <row r="11728" spans="1:6" ht="30" customHeight="1" x14ac:dyDescent="0.25">
      <c r="A11728" s="1" t="s">
        <v>23238</v>
      </c>
      <c r="B11728" s="1" t="str">
        <f>"9781849642712"</f>
        <v>9781849642712</v>
      </c>
      <c r="C11728" s="1" t="s">
        <v>23232</v>
      </c>
      <c r="D11728" s="2">
        <v>39010</v>
      </c>
      <c r="E11728" s="1" t="s">
        <v>23239</v>
      </c>
      <c r="F11728" s="1" t="s">
        <v>3916</v>
      </c>
    </row>
    <row r="11729" spans="1:6" ht="30" customHeight="1" x14ac:dyDescent="0.25">
      <c r="A11729" s="1" t="s">
        <v>23240</v>
      </c>
      <c r="B11729" s="1" t="str">
        <f>"9781849643740"</f>
        <v>9781849643740</v>
      </c>
      <c r="C11729" s="1" t="s">
        <v>23232</v>
      </c>
      <c r="D11729" s="2">
        <v>39619</v>
      </c>
      <c r="E11729" s="1" t="s">
        <v>23241</v>
      </c>
      <c r="F11729" s="1" t="s">
        <v>30</v>
      </c>
    </row>
    <row r="11730" spans="1:6" ht="30" customHeight="1" x14ac:dyDescent="0.25">
      <c r="A11730" s="1" t="s">
        <v>23242</v>
      </c>
      <c r="B11730" s="1" t="str">
        <f>"9781849646970"</f>
        <v>9781849646970</v>
      </c>
      <c r="C11730" s="1" t="s">
        <v>23232</v>
      </c>
      <c r="D11730" s="2">
        <v>40823</v>
      </c>
      <c r="E11730" s="1" t="s">
        <v>23243</v>
      </c>
      <c r="F11730" s="1" t="s">
        <v>30</v>
      </c>
    </row>
    <row r="11731" spans="1:6" ht="30" customHeight="1" x14ac:dyDescent="0.25">
      <c r="A11731" s="1" t="s">
        <v>23244</v>
      </c>
      <c r="B11731" s="1" t="str">
        <f>"9781849641982"</f>
        <v>9781849641982</v>
      </c>
      <c r="C11731" s="1" t="s">
        <v>23232</v>
      </c>
      <c r="D11731" s="2">
        <v>37822</v>
      </c>
      <c r="E11731" s="1" t="s">
        <v>23245</v>
      </c>
      <c r="F11731" s="1" t="s">
        <v>95</v>
      </c>
    </row>
    <row r="11732" spans="1:6" ht="30" customHeight="1" x14ac:dyDescent="0.25">
      <c r="A11732" s="1" t="s">
        <v>23246</v>
      </c>
      <c r="B11732" s="1" t="str">
        <f>"9781849642347"</f>
        <v>9781849642347</v>
      </c>
      <c r="C11732" s="1" t="s">
        <v>23232</v>
      </c>
      <c r="D11732" s="2">
        <v>38188</v>
      </c>
      <c r="E11732" s="1" t="s">
        <v>23247</v>
      </c>
      <c r="F11732" s="1" t="s">
        <v>30</v>
      </c>
    </row>
    <row r="11733" spans="1:6" ht="30" customHeight="1" x14ac:dyDescent="0.25">
      <c r="A11733" s="1" t="s">
        <v>23248</v>
      </c>
      <c r="B11733" s="1" t="str">
        <f>""</f>
        <v/>
      </c>
      <c r="C11733" s="1" t="s">
        <v>23249</v>
      </c>
      <c r="D11733" s="2">
        <v>36100</v>
      </c>
      <c r="E11733" s="1" t="s">
        <v>23250</v>
      </c>
      <c r="F11733" s="1" t="s">
        <v>13</v>
      </c>
    </row>
    <row r="11734" spans="1:6" ht="30" customHeight="1" x14ac:dyDescent="0.25">
      <c r="A11734" s="1" t="s">
        <v>23251</v>
      </c>
      <c r="B11734" s="1" t="str">
        <f>""</f>
        <v/>
      </c>
      <c r="C11734" s="1" t="s">
        <v>23249</v>
      </c>
      <c r="D11734" s="2">
        <v>36495</v>
      </c>
      <c r="E11734" s="1" t="s">
        <v>23252</v>
      </c>
      <c r="F11734" s="1" t="s">
        <v>13</v>
      </c>
    </row>
    <row r="11735" spans="1:6" ht="30" customHeight="1" x14ac:dyDescent="0.25">
      <c r="A11735" s="1" t="s">
        <v>23253</v>
      </c>
      <c r="B11735" s="1" t="str">
        <f>"9781607950790"</f>
        <v>9781607950790</v>
      </c>
      <c r="C11735" s="1" t="s">
        <v>23249</v>
      </c>
      <c r="D11735" s="2">
        <v>39142</v>
      </c>
      <c r="E11735" s="1" t="s">
        <v>23254</v>
      </c>
      <c r="F11735" s="1" t="s">
        <v>13</v>
      </c>
    </row>
    <row r="11736" spans="1:6" ht="30" customHeight="1" x14ac:dyDescent="0.25">
      <c r="A11736" s="1" t="s">
        <v>23255</v>
      </c>
      <c r="B11736" s="1" t="str">
        <f>""</f>
        <v/>
      </c>
      <c r="C11736" s="1" t="s">
        <v>23249</v>
      </c>
      <c r="D11736" s="2">
        <v>36586</v>
      </c>
      <c r="E11736" s="1" t="s">
        <v>23256</v>
      </c>
      <c r="F11736" s="1" t="s">
        <v>13</v>
      </c>
    </row>
    <row r="11737" spans="1:6" ht="30" customHeight="1" x14ac:dyDescent="0.25">
      <c r="A11737" s="1" t="s">
        <v>23257</v>
      </c>
      <c r="B11737" s="1" t="str">
        <f>""</f>
        <v/>
      </c>
      <c r="C11737" s="1" t="s">
        <v>23249</v>
      </c>
      <c r="D11737" s="2">
        <v>36434</v>
      </c>
      <c r="E11737" s="1" t="s">
        <v>23258</v>
      </c>
      <c r="F11737" s="1" t="s">
        <v>650</v>
      </c>
    </row>
    <row r="11738" spans="1:6" ht="30" customHeight="1" x14ac:dyDescent="0.25">
      <c r="A11738" s="1" t="s">
        <v>23259</v>
      </c>
      <c r="B11738" s="1" t="str">
        <f>""</f>
        <v/>
      </c>
      <c r="C11738" s="1" t="s">
        <v>23249</v>
      </c>
      <c r="D11738" s="2">
        <v>39142</v>
      </c>
      <c r="E11738" s="1" t="s">
        <v>23260</v>
      </c>
      <c r="F11738" s="1" t="s">
        <v>13</v>
      </c>
    </row>
    <row r="11739" spans="1:6" ht="30" customHeight="1" x14ac:dyDescent="0.25">
      <c r="A11739" s="1" t="s">
        <v>23261</v>
      </c>
      <c r="B11739" s="1" t="str">
        <f>""</f>
        <v/>
      </c>
      <c r="C11739" s="1" t="s">
        <v>23249</v>
      </c>
      <c r="D11739" s="2">
        <v>36586</v>
      </c>
      <c r="E11739" s="1" t="s">
        <v>23262</v>
      </c>
      <c r="F11739" s="1" t="s">
        <v>13</v>
      </c>
    </row>
    <row r="11740" spans="1:6" ht="30" customHeight="1" x14ac:dyDescent="0.25">
      <c r="A11740" s="1" t="s">
        <v>23263</v>
      </c>
      <c r="B11740" s="1" t="str">
        <f>""</f>
        <v/>
      </c>
      <c r="C11740" s="1" t="s">
        <v>23249</v>
      </c>
      <c r="D11740" s="2">
        <v>39142</v>
      </c>
      <c r="E11740" s="1" t="s">
        <v>23264</v>
      </c>
      <c r="F11740" s="1" t="s">
        <v>13</v>
      </c>
    </row>
    <row r="11741" spans="1:6" ht="30" customHeight="1" x14ac:dyDescent="0.25">
      <c r="A11741" s="1" t="s">
        <v>23265</v>
      </c>
      <c r="B11741" s="1" t="str">
        <f>""</f>
        <v/>
      </c>
      <c r="C11741" s="1" t="s">
        <v>23249</v>
      </c>
      <c r="D11741" s="2">
        <v>39142</v>
      </c>
      <c r="E11741" s="1" t="s">
        <v>23266</v>
      </c>
      <c r="F11741" s="1" t="s">
        <v>13</v>
      </c>
    </row>
    <row r="11742" spans="1:6" ht="30" customHeight="1" x14ac:dyDescent="0.25">
      <c r="A11742" s="1" t="s">
        <v>23267</v>
      </c>
      <c r="B11742" s="1" t="str">
        <f>""</f>
        <v/>
      </c>
      <c r="C11742" s="1" t="s">
        <v>23249</v>
      </c>
      <c r="D11742" s="2">
        <v>39142</v>
      </c>
      <c r="E11742" s="1" t="s">
        <v>23268</v>
      </c>
      <c r="F11742" s="1" t="s">
        <v>13</v>
      </c>
    </row>
    <row r="11743" spans="1:6" ht="30" customHeight="1" x14ac:dyDescent="0.25">
      <c r="A11743" s="1" t="s">
        <v>23269</v>
      </c>
      <c r="B11743" s="1" t="str">
        <f>""</f>
        <v/>
      </c>
      <c r="C11743" s="1" t="s">
        <v>23249</v>
      </c>
      <c r="D11743" s="2">
        <v>39142</v>
      </c>
      <c r="E11743" s="1" t="s">
        <v>23270</v>
      </c>
      <c r="F11743" s="1" t="s">
        <v>13</v>
      </c>
    </row>
    <row r="11744" spans="1:6" ht="30" customHeight="1" x14ac:dyDescent="0.25">
      <c r="A11744" s="1" t="s">
        <v>23271</v>
      </c>
      <c r="B11744" s="1" t="str">
        <f>"9781607950738"</f>
        <v>9781607950738</v>
      </c>
      <c r="C11744" s="1" t="s">
        <v>23272</v>
      </c>
      <c r="D11744" s="2">
        <v>39539</v>
      </c>
      <c r="E11744" s="1" t="s">
        <v>23273</v>
      </c>
      <c r="F11744" s="1" t="s">
        <v>13</v>
      </c>
    </row>
    <row r="11745" spans="1:6" ht="30" customHeight="1" x14ac:dyDescent="0.25">
      <c r="A11745" s="1" t="s">
        <v>23274</v>
      </c>
      <c r="B11745" s="1" t="str">
        <f>"9781607950578"</f>
        <v>9781607950578</v>
      </c>
      <c r="C11745" s="1" t="s">
        <v>23272</v>
      </c>
      <c r="D11745" s="2">
        <v>39845</v>
      </c>
      <c r="E11745" s="1" t="s">
        <v>23275</v>
      </c>
      <c r="F11745" s="1" t="s">
        <v>13</v>
      </c>
    </row>
    <row r="11746" spans="1:6" ht="30" customHeight="1" x14ac:dyDescent="0.25">
      <c r="A11746" s="1" t="s">
        <v>23276</v>
      </c>
      <c r="B11746" s="1" t="str">
        <f>"9781607950776"</f>
        <v>9781607950776</v>
      </c>
      <c r="C11746" s="1" t="s">
        <v>23272</v>
      </c>
      <c r="D11746" s="2">
        <v>37622</v>
      </c>
      <c r="E11746" s="1" t="s">
        <v>23277</v>
      </c>
      <c r="F11746" s="1" t="s">
        <v>17935</v>
      </c>
    </row>
    <row r="11747" spans="1:6" ht="30" customHeight="1" x14ac:dyDescent="0.25">
      <c r="A11747" s="1" t="s">
        <v>23278</v>
      </c>
      <c r="B11747" s="1" t="str">
        <f>"9781607951339"</f>
        <v>9781607951339</v>
      </c>
      <c r="C11747" s="1" t="s">
        <v>23272</v>
      </c>
      <c r="D11747" s="2">
        <v>36526</v>
      </c>
      <c r="E11747" s="1" t="s">
        <v>23279</v>
      </c>
      <c r="F11747" s="1" t="s">
        <v>13</v>
      </c>
    </row>
    <row r="11748" spans="1:6" ht="30" customHeight="1" x14ac:dyDescent="0.25">
      <c r="A11748" s="1" t="s">
        <v>23280</v>
      </c>
      <c r="B11748" s="1" t="str">
        <f>"9781607950660"</f>
        <v>9781607950660</v>
      </c>
      <c r="C11748" s="1" t="s">
        <v>23272</v>
      </c>
      <c r="D11748" s="2">
        <v>39539</v>
      </c>
      <c r="E11748" s="1" t="s">
        <v>23281</v>
      </c>
      <c r="F11748" s="1" t="s">
        <v>13</v>
      </c>
    </row>
    <row r="11749" spans="1:6" ht="30" customHeight="1" x14ac:dyDescent="0.25">
      <c r="A11749" s="1" t="s">
        <v>23282</v>
      </c>
      <c r="B11749" s="1" t="str">
        <f>"9781607951261"</f>
        <v>9781607951261</v>
      </c>
      <c r="C11749" s="1" t="s">
        <v>23272</v>
      </c>
      <c r="D11749" s="2">
        <v>39814</v>
      </c>
      <c r="E11749" s="1" t="s">
        <v>23283</v>
      </c>
      <c r="F11749" s="1" t="s">
        <v>13</v>
      </c>
    </row>
    <row r="11750" spans="1:6" ht="30" customHeight="1" x14ac:dyDescent="0.25">
      <c r="A11750" s="1" t="s">
        <v>23284</v>
      </c>
      <c r="B11750" s="1" t="str">
        <f>"9781607950721"</f>
        <v>9781607950721</v>
      </c>
      <c r="C11750" s="1" t="s">
        <v>23272</v>
      </c>
      <c r="D11750" s="2">
        <v>39355</v>
      </c>
      <c r="E11750" s="1" t="s">
        <v>23285</v>
      </c>
      <c r="F11750" s="1" t="s">
        <v>95</v>
      </c>
    </row>
    <row r="11751" spans="1:6" ht="30" customHeight="1" x14ac:dyDescent="0.25">
      <c r="A11751" s="1" t="s">
        <v>23286</v>
      </c>
      <c r="B11751" s="1" t="str">
        <f>"9781607951322"</f>
        <v>9781607951322</v>
      </c>
      <c r="C11751" s="1" t="s">
        <v>23272</v>
      </c>
      <c r="D11751" s="2">
        <v>36526</v>
      </c>
      <c r="E11751" s="1" t="s">
        <v>23287</v>
      </c>
      <c r="F11751" s="1" t="s">
        <v>13</v>
      </c>
    </row>
    <row r="11752" spans="1:6" ht="30" customHeight="1" x14ac:dyDescent="0.25">
      <c r="A11752" s="1" t="s">
        <v>23288</v>
      </c>
      <c r="B11752" s="1" t="str">
        <f>"9781607951360"</f>
        <v>9781607951360</v>
      </c>
      <c r="C11752" s="1" t="s">
        <v>23272</v>
      </c>
      <c r="D11752" s="2">
        <v>36526</v>
      </c>
      <c r="E11752" s="1" t="s">
        <v>23289</v>
      </c>
      <c r="F11752" s="1" t="s">
        <v>148</v>
      </c>
    </row>
    <row r="11753" spans="1:6" ht="30" customHeight="1" x14ac:dyDescent="0.25">
      <c r="A11753" s="1" t="s">
        <v>23290</v>
      </c>
      <c r="B11753" s="1" t="str">
        <f>"9781607951162"</f>
        <v>9781607951162</v>
      </c>
      <c r="C11753" s="1" t="s">
        <v>23272</v>
      </c>
      <c r="D11753" s="2">
        <v>41773</v>
      </c>
      <c r="E11753" s="1" t="s">
        <v>23291</v>
      </c>
      <c r="F11753" s="1" t="s">
        <v>359</v>
      </c>
    </row>
    <row r="11754" spans="1:6" ht="30" customHeight="1" x14ac:dyDescent="0.25">
      <c r="A11754" s="1" t="s">
        <v>23292</v>
      </c>
      <c r="B11754" s="1" t="str">
        <f>"9781607951193"</f>
        <v>9781607951193</v>
      </c>
      <c r="C11754" s="1" t="s">
        <v>23272</v>
      </c>
      <c r="D11754" s="2">
        <v>40148</v>
      </c>
      <c r="E11754" s="1" t="s">
        <v>23293</v>
      </c>
      <c r="F11754" s="1" t="s">
        <v>13</v>
      </c>
    </row>
    <row r="11755" spans="1:6" ht="30" customHeight="1" x14ac:dyDescent="0.25">
      <c r="A11755" s="1" t="s">
        <v>23294</v>
      </c>
      <c r="B11755" s="1" t="str">
        <f>"9781607950615"</f>
        <v>9781607950615</v>
      </c>
      <c r="C11755" s="1" t="s">
        <v>23272</v>
      </c>
      <c r="D11755" s="2">
        <v>41773</v>
      </c>
      <c r="E11755" s="1" t="s">
        <v>23295</v>
      </c>
      <c r="F11755" s="1" t="s">
        <v>13</v>
      </c>
    </row>
    <row r="11756" spans="1:6" ht="30" customHeight="1" x14ac:dyDescent="0.25">
      <c r="A11756" s="1" t="s">
        <v>23296</v>
      </c>
      <c r="B11756" s="1" t="str">
        <f>"9781607950653"</f>
        <v>9781607950653</v>
      </c>
      <c r="C11756" s="1" t="s">
        <v>23272</v>
      </c>
      <c r="D11756" s="2">
        <v>39845</v>
      </c>
      <c r="E11756" s="1" t="s">
        <v>23297</v>
      </c>
      <c r="F11756" s="1" t="s">
        <v>13</v>
      </c>
    </row>
    <row r="11757" spans="1:6" ht="30" customHeight="1" x14ac:dyDescent="0.25">
      <c r="A11757" s="1" t="s">
        <v>23298</v>
      </c>
      <c r="B11757" s="1" t="str">
        <f>"9781607950851"</f>
        <v>9781607950851</v>
      </c>
      <c r="C11757" s="1" t="s">
        <v>23272</v>
      </c>
      <c r="D11757" s="2">
        <v>36229</v>
      </c>
      <c r="E11757" s="1" t="s">
        <v>23299</v>
      </c>
      <c r="F11757" s="1" t="s">
        <v>13</v>
      </c>
    </row>
    <row r="11758" spans="1:6" ht="30" customHeight="1" x14ac:dyDescent="0.25">
      <c r="A11758" s="1" t="s">
        <v>23300</v>
      </c>
      <c r="B11758" s="1" t="str">
        <f>"9781607951254"</f>
        <v>9781607951254</v>
      </c>
      <c r="C11758" s="1" t="s">
        <v>23272</v>
      </c>
      <c r="D11758" s="2">
        <v>36526</v>
      </c>
      <c r="E11758" s="1" t="s">
        <v>23301</v>
      </c>
      <c r="F11758" s="1" t="s">
        <v>13</v>
      </c>
    </row>
    <row r="11759" spans="1:6" ht="30" customHeight="1" x14ac:dyDescent="0.25">
      <c r="A11759" s="1" t="s">
        <v>23302</v>
      </c>
      <c r="B11759" s="1" t="str">
        <f>"9781607951315"</f>
        <v>9781607951315</v>
      </c>
      <c r="C11759" s="1" t="s">
        <v>23272</v>
      </c>
      <c r="D11759" s="2">
        <v>41773</v>
      </c>
      <c r="E11759" s="1" t="s">
        <v>23303</v>
      </c>
      <c r="F11759" s="1" t="s">
        <v>158</v>
      </c>
    </row>
    <row r="11760" spans="1:6" ht="30" customHeight="1" x14ac:dyDescent="0.25">
      <c r="A11760" s="1" t="s">
        <v>23304</v>
      </c>
      <c r="B11760" s="1" t="str">
        <f>"9781607951353"</f>
        <v>9781607951353</v>
      </c>
      <c r="C11760" s="1" t="s">
        <v>23272</v>
      </c>
      <c r="D11760" s="2">
        <v>36526</v>
      </c>
      <c r="E11760" s="1" t="s">
        <v>23305</v>
      </c>
      <c r="F11760" s="1" t="s">
        <v>158</v>
      </c>
    </row>
    <row r="11761" spans="1:6" ht="30" customHeight="1" x14ac:dyDescent="0.25">
      <c r="A11761" s="1" t="s">
        <v>23306</v>
      </c>
      <c r="B11761" s="1" t="str">
        <f>"9781607951155"</f>
        <v>9781607951155</v>
      </c>
      <c r="C11761" s="1" t="s">
        <v>23272</v>
      </c>
      <c r="D11761" s="2">
        <v>36526</v>
      </c>
      <c r="E11761" s="1" t="s">
        <v>23307</v>
      </c>
      <c r="F11761" s="1" t="s">
        <v>13</v>
      </c>
    </row>
    <row r="11762" spans="1:6" ht="30" customHeight="1" x14ac:dyDescent="0.25">
      <c r="A11762" s="1" t="s">
        <v>23308</v>
      </c>
      <c r="B11762" s="1" t="str">
        <f>"9781607951186"</f>
        <v>9781607951186</v>
      </c>
      <c r="C11762" s="1" t="s">
        <v>23272</v>
      </c>
      <c r="D11762" s="2">
        <v>36526</v>
      </c>
      <c r="E11762" s="1" t="s">
        <v>23309</v>
      </c>
      <c r="F11762" s="1" t="s">
        <v>13</v>
      </c>
    </row>
    <row r="11763" spans="1:6" ht="30" customHeight="1" x14ac:dyDescent="0.25">
      <c r="A11763" s="1" t="s">
        <v>23310</v>
      </c>
      <c r="B11763" s="1" t="str">
        <f>"9781607950608"</f>
        <v>9781607950608</v>
      </c>
      <c r="C11763" s="1" t="s">
        <v>23272</v>
      </c>
      <c r="D11763" s="2">
        <v>36526</v>
      </c>
      <c r="E11763" s="1" t="s">
        <v>23311</v>
      </c>
      <c r="F11763" s="1" t="s">
        <v>13</v>
      </c>
    </row>
    <row r="11764" spans="1:6" ht="30" customHeight="1" x14ac:dyDescent="0.25">
      <c r="A11764" s="1" t="s">
        <v>23312</v>
      </c>
      <c r="B11764" s="1" t="str">
        <f>"9781607950646"</f>
        <v>9781607950646</v>
      </c>
      <c r="C11764" s="1" t="s">
        <v>23272</v>
      </c>
      <c r="D11764" s="2">
        <v>36526</v>
      </c>
      <c r="E11764" s="1" t="s">
        <v>23313</v>
      </c>
      <c r="F11764" s="1" t="s">
        <v>13</v>
      </c>
    </row>
    <row r="11765" spans="1:6" ht="30" customHeight="1" x14ac:dyDescent="0.25">
      <c r="A11765" s="1" t="s">
        <v>23314</v>
      </c>
      <c r="B11765" s="1" t="str">
        <f>"9781607951247"</f>
        <v>9781607951247</v>
      </c>
      <c r="C11765" s="1" t="s">
        <v>23272</v>
      </c>
      <c r="D11765" s="2">
        <v>39814</v>
      </c>
      <c r="E11765" s="1" t="s">
        <v>23315</v>
      </c>
      <c r="F11765" s="1" t="s">
        <v>13</v>
      </c>
    </row>
    <row r="11766" spans="1:6" ht="30" customHeight="1" x14ac:dyDescent="0.25">
      <c r="A11766" s="1" t="s">
        <v>23316</v>
      </c>
      <c r="B11766" s="1" t="str">
        <f>"9781607950707"</f>
        <v>9781607950707</v>
      </c>
      <c r="C11766" s="1" t="s">
        <v>23272</v>
      </c>
      <c r="D11766" s="2">
        <v>37618</v>
      </c>
      <c r="E11766" s="1" t="s">
        <v>23317</v>
      </c>
      <c r="F11766" s="1" t="s">
        <v>13</v>
      </c>
    </row>
    <row r="11767" spans="1:6" ht="30" customHeight="1" x14ac:dyDescent="0.25">
      <c r="A11767" s="1" t="s">
        <v>23318</v>
      </c>
      <c r="B11767" s="1" t="str">
        <f>"9781607951308"</f>
        <v>9781607951308</v>
      </c>
      <c r="C11767" s="1" t="s">
        <v>23272</v>
      </c>
      <c r="D11767" s="2">
        <v>36526</v>
      </c>
      <c r="E11767" s="1" t="s">
        <v>23319</v>
      </c>
      <c r="F11767" s="1" t="s">
        <v>13</v>
      </c>
    </row>
    <row r="11768" spans="1:6" ht="30" customHeight="1" x14ac:dyDescent="0.25">
      <c r="A11768" s="1" t="s">
        <v>23320</v>
      </c>
      <c r="B11768" s="1" t="str">
        <f>"9781607951346"</f>
        <v>9781607951346</v>
      </c>
      <c r="C11768" s="1" t="s">
        <v>23272</v>
      </c>
      <c r="D11768" s="2">
        <v>36526</v>
      </c>
      <c r="E11768" s="1" t="s">
        <v>23321</v>
      </c>
      <c r="F11768" s="1" t="s">
        <v>13</v>
      </c>
    </row>
    <row r="11769" spans="1:6" ht="30" customHeight="1" x14ac:dyDescent="0.25">
      <c r="A11769" s="1" t="s">
        <v>23322</v>
      </c>
      <c r="B11769" s="1" t="str">
        <f>"9781607951230"</f>
        <v>9781607951230</v>
      </c>
      <c r="C11769" s="1" t="s">
        <v>23272</v>
      </c>
      <c r="D11769" s="2">
        <v>36526</v>
      </c>
      <c r="E11769" s="1" t="s">
        <v>23323</v>
      </c>
      <c r="F11769" s="1" t="s">
        <v>359</v>
      </c>
    </row>
    <row r="11770" spans="1:6" ht="30" customHeight="1" x14ac:dyDescent="0.25">
      <c r="A11770" s="1" t="s">
        <v>23324</v>
      </c>
      <c r="B11770" s="1" t="str">
        <f>"9781607951179"</f>
        <v>9781607951179</v>
      </c>
      <c r="C11770" s="1" t="s">
        <v>23272</v>
      </c>
      <c r="D11770" s="2">
        <v>36526</v>
      </c>
      <c r="E11770" s="1" t="s">
        <v>23325</v>
      </c>
      <c r="F11770" s="1" t="s">
        <v>95</v>
      </c>
    </row>
    <row r="11771" spans="1:6" ht="30" customHeight="1" x14ac:dyDescent="0.25">
      <c r="A11771" s="1" t="s">
        <v>23326</v>
      </c>
      <c r="B11771" s="1" t="str">
        <f>"9781607950639"</f>
        <v>9781607950639</v>
      </c>
      <c r="C11771" s="1" t="s">
        <v>23272</v>
      </c>
      <c r="D11771" s="2">
        <v>37109</v>
      </c>
      <c r="E11771" s="1" t="s">
        <v>23327</v>
      </c>
      <c r="F11771" s="1" t="s">
        <v>438</v>
      </c>
    </row>
    <row r="11772" spans="1:6" ht="30" customHeight="1" x14ac:dyDescent="0.25">
      <c r="A11772" s="1" t="s">
        <v>23328</v>
      </c>
      <c r="B11772" s="1" t="str">
        <f>"9781607950837"</f>
        <v>9781607950837</v>
      </c>
      <c r="C11772" s="1" t="s">
        <v>23272</v>
      </c>
      <c r="D11772" s="2">
        <v>41773</v>
      </c>
      <c r="E11772" s="1" t="s">
        <v>23329</v>
      </c>
      <c r="F11772" s="1" t="s">
        <v>13</v>
      </c>
    </row>
    <row r="11773" spans="1:6" ht="30" customHeight="1" x14ac:dyDescent="0.25">
      <c r="A11773" s="1" t="s">
        <v>23330</v>
      </c>
      <c r="B11773" s="1" t="str">
        <f>"9781607950677"</f>
        <v>9781607950677</v>
      </c>
      <c r="C11773" s="1" t="s">
        <v>23272</v>
      </c>
      <c r="D11773" s="2">
        <v>39416</v>
      </c>
      <c r="E11773" s="1" t="s">
        <v>23331</v>
      </c>
      <c r="F11773" s="1" t="s">
        <v>13</v>
      </c>
    </row>
    <row r="11774" spans="1:6" ht="30" customHeight="1" x14ac:dyDescent="0.25">
      <c r="A11774" s="1" t="s">
        <v>23332</v>
      </c>
      <c r="B11774" s="1" t="str">
        <f>"9781607951278"</f>
        <v>9781607951278</v>
      </c>
      <c r="C11774" s="1" t="s">
        <v>23272</v>
      </c>
      <c r="D11774" s="2">
        <v>36526</v>
      </c>
      <c r="E11774" s="1" t="s">
        <v>23333</v>
      </c>
      <c r="F11774" s="1" t="s">
        <v>13</v>
      </c>
    </row>
    <row r="11775" spans="1:6" ht="30" customHeight="1" x14ac:dyDescent="0.25">
      <c r="A11775" s="1" t="s">
        <v>23334</v>
      </c>
      <c r="B11775" s="1" t="str">
        <f>"9781607951216"</f>
        <v>9781607951216</v>
      </c>
      <c r="C11775" s="1" t="s">
        <v>23272</v>
      </c>
      <c r="D11775" s="2">
        <v>36526</v>
      </c>
      <c r="E11775" s="1" t="s">
        <v>23335</v>
      </c>
      <c r="F11775" s="1" t="s">
        <v>137</v>
      </c>
    </row>
    <row r="11776" spans="1:6" ht="30" customHeight="1" x14ac:dyDescent="0.25">
      <c r="A11776" s="1" t="s">
        <v>23336</v>
      </c>
      <c r="B11776" s="1" t="str">
        <f>"9781607952572"</f>
        <v>9781607952572</v>
      </c>
      <c r="C11776" s="1" t="s">
        <v>23337</v>
      </c>
      <c r="D11776" s="2">
        <v>39539</v>
      </c>
      <c r="E11776" s="1" t="s">
        <v>23338</v>
      </c>
      <c r="F11776" s="1" t="s">
        <v>13</v>
      </c>
    </row>
    <row r="11777" spans="1:6" ht="30" customHeight="1" x14ac:dyDescent="0.25">
      <c r="A11777" s="1" t="s">
        <v>23339</v>
      </c>
      <c r="B11777" s="1" t="str">
        <f>"9781607952510"</f>
        <v>9781607952510</v>
      </c>
      <c r="C11777" s="1" t="s">
        <v>23337</v>
      </c>
      <c r="D11777" s="2">
        <v>40238</v>
      </c>
      <c r="E11777" s="1" t="s">
        <v>23340</v>
      </c>
      <c r="F11777" s="1" t="s">
        <v>13</v>
      </c>
    </row>
    <row r="11778" spans="1:6" ht="30" customHeight="1" x14ac:dyDescent="0.25">
      <c r="A11778" s="1" t="s">
        <v>23341</v>
      </c>
      <c r="B11778" s="1" t="str">
        <f>"9781607952312"</f>
        <v>9781607952312</v>
      </c>
      <c r="C11778" s="1" t="s">
        <v>23337</v>
      </c>
      <c r="D11778" s="2">
        <v>39753</v>
      </c>
      <c r="E11778" s="1" t="s">
        <v>23342</v>
      </c>
      <c r="F11778" s="1" t="s">
        <v>13</v>
      </c>
    </row>
    <row r="11779" spans="1:6" ht="30" customHeight="1" x14ac:dyDescent="0.25">
      <c r="A11779" s="1" t="s">
        <v>23343</v>
      </c>
      <c r="B11779" s="1" t="str">
        <f>"9781607952206"</f>
        <v>9781607952206</v>
      </c>
      <c r="C11779" s="1" t="s">
        <v>23337</v>
      </c>
      <c r="D11779" s="2">
        <v>40118</v>
      </c>
      <c r="E11779" s="1" t="s">
        <v>23344</v>
      </c>
      <c r="F11779" s="1" t="s">
        <v>13</v>
      </c>
    </row>
    <row r="11780" spans="1:6" ht="30" customHeight="1" x14ac:dyDescent="0.25">
      <c r="A11780" s="1" t="s">
        <v>23345</v>
      </c>
      <c r="B11780" s="1" t="str">
        <f>"9781607952527"</f>
        <v>9781607952527</v>
      </c>
      <c r="C11780" s="1" t="s">
        <v>23337</v>
      </c>
      <c r="D11780" s="2">
        <v>41273</v>
      </c>
      <c r="E11780" s="1" t="s">
        <v>23346</v>
      </c>
      <c r="F11780" s="1" t="s">
        <v>13</v>
      </c>
    </row>
    <row r="11781" spans="1:6" ht="30" customHeight="1" x14ac:dyDescent="0.25">
      <c r="A11781" s="1" t="s">
        <v>23347</v>
      </c>
      <c r="B11781" s="1" t="str">
        <f>"9781607952534"</f>
        <v>9781607952534</v>
      </c>
      <c r="C11781" s="1" t="s">
        <v>23337</v>
      </c>
      <c r="D11781" s="2">
        <v>41363</v>
      </c>
      <c r="E11781" s="1" t="s">
        <v>23348</v>
      </c>
      <c r="F11781" s="1" t="s">
        <v>13</v>
      </c>
    </row>
    <row r="11782" spans="1:6" ht="30" customHeight="1" x14ac:dyDescent="0.25">
      <c r="A11782" s="1" t="s">
        <v>23349</v>
      </c>
      <c r="B11782" s="1" t="str">
        <f>"9781607952770"</f>
        <v>9781607952770</v>
      </c>
      <c r="C11782" s="1" t="s">
        <v>23337</v>
      </c>
      <c r="D11782" s="2">
        <v>41306</v>
      </c>
      <c r="E11782" s="1" t="s">
        <v>23350</v>
      </c>
      <c r="F11782" s="1" t="s">
        <v>13</v>
      </c>
    </row>
    <row r="11783" spans="1:6" ht="30" customHeight="1" x14ac:dyDescent="0.25">
      <c r="A11783" s="1" t="s">
        <v>23351</v>
      </c>
      <c r="B11783" s="1" t="str">
        <f>"9781607952282"</f>
        <v>9781607952282</v>
      </c>
      <c r="C11783" s="1" t="s">
        <v>23352</v>
      </c>
      <c r="D11783" s="2">
        <v>40940</v>
      </c>
      <c r="E11783" s="1" t="s">
        <v>23353</v>
      </c>
      <c r="F11783" s="1" t="s">
        <v>13</v>
      </c>
    </row>
    <row r="11784" spans="1:6" ht="30" customHeight="1" x14ac:dyDescent="0.25">
      <c r="A11784" s="1" t="s">
        <v>23354</v>
      </c>
      <c r="B11784" s="1" t="str">
        <f>"9781607952091"</f>
        <v>9781607952091</v>
      </c>
      <c r="C11784" s="1" t="s">
        <v>23352</v>
      </c>
      <c r="D11784" s="2">
        <v>40603</v>
      </c>
      <c r="E11784" s="1" t="s">
        <v>23355</v>
      </c>
      <c r="F11784" s="1" t="s">
        <v>13</v>
      </c>
    </row>
    <row r="11785" spans="1:6" ht="30" customHeight="1" x14ac:dyDescent="0.25">
      <c r="A11785" s="1" t="s">
        <v>23356</v>
      </c>
      <c r="B11785" s="1" t="str">
        <f>"9781607952275"</f>
        <v>9781607952275</v>
      </c>
      <c r="C11785" s="1" t="s">
        <v>23352</v>
      </c>
      <c r="D11785" s="2">
        <v>40817</v>
      </c>
      <c r="E11785" s="1" t="s">
        <v>23357</v>
      </c>
      <c r="F11785" s="1" t="s">
        <v>13</v>
      </c>
    </row>
    <row r="11786" spans="1:6" ht="30" customHeight="1" x14ac:dyDescent="0.25">
      <c r="A11786" s="1" t="s">
        <v>23358</v>
      </c>
      <c r="B11786" s="1" t="str">
        <f>"9781607952435"</f>
        <v>9781607952435</v>
      </c>
      <c r="C11786" s="1" t="s">
        <v>23352</v>
      </c>
      <c r="D11786" s="2">
        <v>40909</v>
      </c>
      <c r="E11786" s="1" t="s">
        <v>23359</v>
      </c>
      <c r="F11786" s="1" t="s">
        <v>13</v>
      </c>
    </row>
    <row r="11787" spans="1:6" ht="30" customHeight="1" x14ac:dyDescent="0.25">
      <c r="A11787" s="1" t="s">
        <v>23360</v>
      </c>
      <c r="B11787" s="1" t="str">
        <f>"9781607952565"</f>
        <v>9781607952565</v>
      </c>
      <c r="C11787" s="1" t="s">
        <v>23352</v>
      </c>
      <c r="D11787" s="2">
        <v>41244</v>
      </c>
      <c r="E11787" s="1" t="s">
        <v>23361</v>
      </c>
      <c r="F11787" s="1" t="s">
        <v>205</v>
      </c>
    </row>
    <row r="11788" spans="1:6" ht="30" customHeight="1" x14ac:dyDescent="0.25">
      <c r="A11788" s="1" t="s">
        <v>23362</v>
      </c>
      <c r="B11788" s="1" t="str">
        <f>"9781607952176"</f>
        <v>9781607952176</v>
      </c>
      <c r="C11788" s="1" t="s">
        <v>23352</v>
      </c>
      <c r="D11788" s="2">
        <v>41773</v>
      </c>
      <c r="E11788" s="1" t="s">
        <v>23363</v>
      </c>
      <c r="F11788" s="1" t="s">
        <v>13</v>
      </c>
    </row>
    <row r="11789" spans="1:6" ht="30" customHeight="1" x14ac:dyDescent="0.25">
      <c r="A11789" s="1" t="s">
        <v>23364</v>
      </c>
      <c r="B11789" s="1" t="str">
        <f>"9781607952114"</f>
        <v>9781607952114</v>
      </c>
      <c r="C11789" s="1" t="s">
        <v>23352</v>
      </c>
      <c r="D11789" s="2">
        <v>40878</v>
      </c>
      <c r="E11789" s="1" t="s">
        <v>23365</v>
      </c>
      <c r="F11789" s="1" t="s">
        <v>13</v>
      </c>
    </row>
    <row r="11790" spans="1:6" ht="30" customHeight="1" x14ac:dyDescent="0.25">
      <c r="A11790" s="1" t="s">
        <v>23366</v>
      </c>
      <c r="B11790" s="1" t="str">
        <f>"9781607959366"</f>
        <v>9781607959366</v>
      </c>
      <c r="C11790" s="1" t="s">
        <v>23352</v>
      </c>
      <c r="D11790" s="2">
        <v>40756</v>
      </c>
      <c r="E11790" s="1" t="s">
        <v>23367</v>
      </c>
      <c r="F11790" s="1" t="s">
        <v>33</v>
      </c>
    </row>
    <row r="11791" spans="1:6" ht="30" customHeight="1" x14ac:dyDescent="0.25">
      <c r="A11791" s="1" t="s">
        <v>23368</v>
      </c>
      <c r="B11791" s="1" t="str">
        <f>"9781607952428"</f>
        <v>9781607952428</v>
      </c>
      <c r="C11791" s="1" t="s">
        <v>23352</v>
      </c>
      <c r="D11791" s="2">
        <v>40787</v>
      </c>
      <c r="E11791" s="1" t="s">
        <v>23367</v>
      </c>
      <c r="F11791" s="1" t="s">
        <v>13</v>
      </c>
    </row>
    <row r="11792" spans="1:6" ht="30" customHeight="1" x14ac:dyDescent="0.25">
      <c r="A11792" s="1" t="s">
        <v>23369</v>
      </c>
      <c r="B11792" s="1" t="str">
        <f>"9781607952244"</f>
        <v>9781607952244</v>
      </c>
      <c r="C11792" s="1" t="s">
        <v>23352</v>
      </c>
      <c r="D11792" s="2">
        <v>40878</v>
      </c>
      <c r="E11792" s="1" t="s">
        <v>23370</v>
      </c>
      <c r="F11792" s="1" t="s">
        <v>13</v>
      </c>
    </row>
    <row r="11793" spans="1:6" ht="30" customHeight="1" x14ac:dyDescent="0.25">
      <c r="A11793" s="1" t="s">
        <v>23371</v>
      </c>
      <c r="B11793" s="1" t="str">
        <f>"9781607959373"</f>
        <v>9781607959373</v>
      </c>
      <c r="C11793" s="1" t="s">
        <v>23352</v>
      </c>
      <c r="D11793" s="2">
        <v>40878</v>
      </c>
      <c r="E11793" s="1" t="s">
        <v>23372</v>
      </c>
      <c r="F11793" s="1" t="s">
        <v>13</v>
      </c>
    </row>
    <row r="11794" spans="1:6" ht="30" customHeight="1" x14ac:dyDescent="0.25">
      <c r="A11794" s="1" t="s">
        <v>23373</v>
      </c>
      <c r="B11794" s="1" t="str">
        <f>"9781607952268"</f>
        <v>9781607952268</v>
      </c>
      <c r="C11794" s="1" t="s">
        <v>23352</v>
      </c>
      <c r="D11794" s="2">
        <v>40817</v>
      </c>
      <c r="E11794" s="1" t="s">
        <v>23374</v>
      </c>
      <c r="F11794" s="1" t="s">
        <v>13</v>
      </c>
    </row>
    <row r="11795" spans="1:6" ht="30" customHeight="1" x14ac:dyDescent="0.25">
      <c r="A11795" s="1" t="s">
        <v>23375</v>
      </c>
      <c r="B11795" s="1" t="str">
        <f>"9781607952596"</f>
        <v>9781607952596</v>
      </c>
      <c r="C11795" s="1" t="s">
        <v>23352</v>
      </c>
      <c r="D11795" s="2">
        <v>40787</v>
      </c>
      <c r="E11795" s="1" t="s">
        <v>23376</v>
      </c>
      <c r="F11795" s="1" t="s">
        <v>95</v>
      </c>
    </row>
    <row r="11796" spans="1:6" ht="30" customHeight="1" x14ac:dyDescent="0.25">
      <c r="A11796" s="1" t="s">
        <v>23377</v>
      </c>
      <c r="B11796" s="1" t="str">
        <f>"9781607952541"</f>
        <v>9781607952541</v>
      </c>
      <c r="C11796" s="1" t="s">
        <v>23352</v>
      </c>
      <c r="D11796" s="2">
        <v>41183</v>
      </c>
      <c r="E11796" s="1" t="s">
        <v>23359</v>
      </c>
      <c r="F11796" s="1" t="s">
        <v>13</v>
      </c>
    </row>
    <row r="11797" spans="1:6" ht="30" customHeight="1" x14ac:dyDescent="0.25">
      <c r="A11797" s="1" t="s">
        <v>23378</v>
      </c>
      <c r="B11797" s="1" t="str">
        <f>"9781607952169"</f>
        <v>9781607952169</v>
      </c>
      <c r="C11797" s="1" t="s">
        <v>23352</v>
      </c>
      <c r="D11797" s="2">
        <v>40664</v>
      </c>
      <c r="E11797" s="1" t="s">
        <v>23363</v>
      </c>
      <c r="F11797" s="1" t="s">
        <v>13</v>
      </c>
    </row>
    <row r="11798" spans="1:6" ht="30" customHeight="1" x14ac:dyDescent="0.25">
      <c r="A11798" s="1" t="s">
        <v>23379</v>
      </c>
      <c r="B11798" s="1" t="str">
        <f>"9781607952183"</f>
        <v>9781607952183</v>
      </c>
      <c r="C11798" s="1" t="s">
        <v>23352</v>
      </c>
      <c r="D11798" s="2">
        <v>36861</v>
      </c>
      <c r="E11798" s="1" t="s">
        <v>23380</v>
      </c>
      <c r="F11798" s="1" t="s">
        <v>13</v>
      </c>
    </row>
    <row r="11799" spans="1:6" ht="30" customHeight="1" x14ac:dyDescent="0.25">
      <c r="A11799" s="1" t="s">
        <v>23381</v>
      </c>
      <c r="B11799" s="1" t="str">
        <f>"9781607951469"</f>
        <v>9781607951469</v>
      </c>
      <c r="C11799" s="1" t="s">
        <v>23352</v>
      </c>
      <c r="D11799" s="2">
        <v>40573</v>
      </c>
      <c r="E11799" s="1" t="s">
        <v>23382</v>
      </c>
      <c r="F11799" s="1" t="s">
        <v>137</v>
      </c>
    </row>
    <row r="11800" spans="1:6" ht="30" customHeight="1" x14ac:dyDescent="0.25">
      <c r="A11800" s="1" t="s">
        <v>23383</v>
      </c>
      <c r="B11800" s="1" t="str">
        <f>"9781607952152"</f>
        <v>9781607952152</v>
      </c>
      <c r="C11800" s="1" t="s">
        <v>23352</v>
      </c>
      <c r="D11800" s="2">
        <v>41153</v>
      </c>
      <c r="E11800" s="1" t="s">
        <v>23384</v>
      </c>
      <c r="F11800" s="1" t="s">
        <v>30</v>
      </c>
    </row>
    <row r="11801" spans="1:6" ht="30" customHeight="1" x14ac:dyDescent="0.25">
      <c r="A11801" s="1" t="s">
        <v>23385</v>
      </c>
      <c r="B11801" s="1" t="str">
        <f>"9781607952251"</f>
        <v>9781607952251</v>
      </c>
      <c r="C11801" s="1" t="s">
        <v>23352</v>
      </c>
      <c r="D11801" s="2">
        <v>40756</v>
      </c>
      <c r="E11801" s="1" t="s">
        <v>23386</v>
      </c>
      <c r="F11801" s="1" t="s">
        <v>13</v>
      </c>
    </row>
    <row r="11802" spans="1:6" ht="30" customHeight="1" x14ac:dyDescent="0.25">
      <c r="A11802" s="1" t="s">
        <v>23387</v>
      </c>
      <c r="B11802" s="1" t="str">
        <f>"9781607952626"</f>
        <v>9781607952626</v>
      </c>
      <c r="C11802" s="1" t="s">
        <v>23352</v>
      </c>
      <c r="D11802" s="2">
        <v>41030</v>
      </c>
      <c r="E11802" s="1" t="s">
        <v>23388</v>
      </c>
      <c r="F11802" s="1" t="s">
        <v>13</v>
      </c>
    </row>
    <row r="11803" spans="1:6" ht="30" customHeight="1" x14ac:dyDescent="0.25">
      <c r="A11803" s="1" t="s">
        <v>23389</v>
      </c>
      <c r="B11803" s="1" t="str">
        <f>"9781607952299"</f>
        <v>9781607952299</v>
      </c>
      <c r="C11803" s="1" t="s">
        <v>23352</v>
      </c>
      <c r="D11803" s="2">
        <v>40878</v>
      </c>
      <c r="E11803" s="1" t="s">
        <v>23390</v>
      </c>
      <c r="F11803" s="1" t="s">
        <v>13</v>
      </c>
    </row>
    <row r="11804" spans="1:6" ht="30" customHeight="1" x14ac:dyDescent="0.25">
      <c r="A11804" s="1" t="s">
        <v>23391</v>
      </c>
      <c r="B11804" s="1" t="str">
        <f>"9781607952145"</f>
        <v>9781607952145</v>
      </c>
      <c r="C11804" s="1" t="s">
        <v>23352</v>
      </c>
      <c r="D11804" s="2">
        <v>41000</v>
      </c>
      <c r="E11804" s="1" t="s">
        <v>23392</v>
      </c>
      <c r="F11804" s="1" t="s">
        <v>13</v>
      </c>
    </row>
    <row r="11805" spans="1:6" ht="30" customHeight="1" x14ac:dyDescent="0.25">
      <c r="A11805" s="1" t="s">
        <v>23393</v>
      </c>
      <c r="B11805" s="1" t="str">
        <f>"9781607952084"</f>
        <v>9781607952084</v>
      </c>
      <c r="C11805" s="1" t="s">
        <v>23352</v>
      </c>
      <c r="D11805" s="2">
        <v>40575</v>
      </c>
      <c r="E11805" s="1" t="s">
        <v>23394</v>
      </c>
      <c r="F11805" s="1" t="s">
        <v>30</v>
      </c>
    </row>
    <row r="11806" spans="1:6" ht="30" customHeight="1" x14ac:dyDescent="0.25">
      <c r="A11806" s="1" t="s">
        <v>23395</v>
      </c>
      <c r="B11806" s="1" t="str">
        <f>"9781607951445"</f>
        <v>9781607951445</v>
      </c>
      <c r="C11806" s="1" t="s">
        <v>23352</v>
      </c>
      <c r="D11806" s="2">
        <v>40452</v>
      </c>
      <c r="E11806" s="1" t="s">
        <v>23396</v>
      </c>
      <c r="F11806" s="1" t="s">
        <v>13</v>
      </c>
    </row>
    <row r="11807" spans="1:6" ht="30" customHeight="1" x14ac:dyDescent="0.25">
      <c r="A11807" s="1" t="s">
        <v>23397</v>
      </c>
      <c r="B11807" s="1" t="str">
        <f>"9781607952800"</f>
        <v>9781607952800</v>
      </c>
      <c r="C11807" s="1" t="s">
        <v>23352</v>
      </c>
      <c r="D11807" s="2">
        <v>41883</v>
      </c>
      <c r="E11807" s="1" t="s">
        <v>23398</v>
      </c>
      <c r="F11807" s="1" t="s">
        <v>13</v>
      </c>
    </row>
    <row r="11808" spans="1:6" ht="30" customHeight="1" x14ac:dyDescent="0.25">
      <c r="A11808" s="1" t="s">
        <v>23399</v>
      </c>
      <c r="B11808" s="1" t="str">
        <f>"9781607952787"</f>
        <v>9781607952787</v>
      </c>
      <c r="C11808" s="1" t="s">
        <v>23337</v>
      </c>
      <c r="D11808" s="2">
        <v>40817</v>
      </c>
      <c r="E11808" s="1" t="s">
        <v>23400</v>
      </c>
      <c r="F11808" s="1" t="s">
        <v>13</v>
      </c>
    </row>
    <row r="11809" spans="1:6" ht="30" customHeight="1" x14ac:dyDescent="0.25">
      <c r="A11809" s="1" t="s">
        <v>23401</v>
      </c>
      <c r="B11809" s="1" t="str">
        <f>""</f>
        <v/>
      </c>
      <c r="C11809" s="1" t="s">
        <v>19739</v>
      </c>
      <c r="D11809" s="2">
        <v>36770</v>
      </c>
      <c r="E11809" s="1" t="s">
        <v>23402</v>
      </c>
      <c r="F11809" s="1" t="s">
        <v>158</v>
      </c>
    </row>
    <row r="11810" spans="1:6" ht="30" customHeight="1" x14ac:dyDescent="0.25">
      <c r="A11810" s="1" t="s">
        <v>23403</v>
      </c>
      <c r="B11810" s="1" t="str">
        <f>"9781906985301"</f>
        <v>9781906985301</v>
      </c>
      <c r="C11810" s="1" t="s">
        <v>23404</v>
      </c>
      <c r="D11810" s="2">
        <v>40330</v>
      </c>
      <c r="E11810" s="1" t="s">
        <v>23405</v>
      </c>
      <c r="F11810" s="1" t="s">
        <v>356</v>
      </c>
    </row>
    <row r="11811" spans="1:6" ht="30" customHeight="1" x14ac:dyDescent="0.25">
      <c r="A11811" s="1" t="s">
        <v>23406</v>
      </c>
      <c r="B11811" s="1" t="str">
        <f>"9781906985516"</f>
        <v>9781906985516</v>
      </c>
      <c r="C11811" s="1" t="s">
        <v>23404</v>
      </c>
      <c r="D11811" s="2">
        <v>40452</v>
      </c>
      <c r="E11811" s="1" t="s">
        <v>23407</v>
      </c>
      <c r="F11811" s="1" t="s">
        <v>13</v>
      </c>
    </row>
    <row r="11812" spans="1:6" ht="30" customHeight="1" x14ac:dyDescent="0.25">
      <c r="A11812" s="1" t="s">
        <v>23408</v>
      </c>
      <c r="B11812" s="1" t="str">
        <f>"9781904752806"</f>
        <v>9781904752806</v>
      </c>
      <c r="C11812" s="1" t="s">
        <v>23404</v>
      </c>
      <c r="D11812" s="2">
        <v>38808</v>
      </c>
      <c r="E11812" s="1" t="s">
        <v>23409</v>
      </c>
      <c r="F11812" s="1" t="s">
        <v>13</v>
      </c>
    </row>
    <row r="11813" spans="1:6" ht="30" customHeight="1" x14ac:dyDescent="0.25">
      <c r="A11813" s="1" t="s">
        <v>4253</v>
      </c>
      <c r="B11813" s="1" t="str">
        <f>"9781904752745"</f>
        <v>9781904752745</v>
      </c>
      <c r="C11813" s="1" t="s">
        <v>23404</v>
      </c>
      <c r="D11813" s="2">
        <v>39539</v>
      </c>
      <c r="E11813" s="1" t="s">
        <v>23410</v>
      </c>
      <c r="F11813" s="1" t="s">
        <v>13</v>
      </c>
    </row>
    <row r="11814" spans="1:6" ht="30" customHeight="1" x14ac:dyDescent="0.25">
      <c r="A11814" s="1" t="s">
        <v>23411</v>
      </c>
      <c r="B11814" s="1" t="str">
        <f>"9781904752783"</f>
        <v>9781904752783</v>
      </c>
      <c r="C11814" s="1" t="s">
        <v>23404</v>
      </c>
      <c r="D11814" s="2">
        <v>38384</v>
      </c>
      <c r="E11814" s="1" t="s">
        <v>23412</v>
      </c>
      <c r="F11814" s="1" t="s">
        <v>13</v>
      </c>
    </row>
    <row r="11815" spans="1:6" ht="30" customHeight="1" x14ac:dyDescent="0.25">
      <c r="A11815" s="1" t="s">
        <v>23413</v>
      </c>
      <c r="B11815" s="1" t="str">
        <f>"9781906985523"</f>
        <v>9781906985523</v>
      </c>
      <c r="C11815" s="1" t="s">
        <v>23404</v>
      </c>
      <c r="D11815" s="2">
        <v>39934</v>
      </c>
      <c r="E11815" s="1" t="s">
        <v>23414</v>
      </c>
      <c r="F11815" s="1" t="s">
        <v>13</v>
      </c>
    </row>
    <row r="11816" spans="1:6" ht="30" customHeight="1" x14ac:dyDescent="0.25">
      <c r="A11816" s="1" t="s">
        <v>23415</v>
      </c>
      <c r="B11816" s="1" t="str">
        <f>"9781904752738"</f>
        <v>9781904752738</v>
      </c>
      <c r="C11816" s="1" t="s">
        <v>23404</v>
      </c>
      <c r="D11816" s="2">
        <v>39722</v>
      </c>
      <c r="E11816" s="1" t="s">
        <v>23416</v>
      </c>
      <c r="F11816" s="1" t="s">
        <v>13</v>
      </c>
    </row>
    <row r="11817" spans="1:6" ht="30" customHeight="1" x14ac:dyDescent="0.25">
      <c r="A11817" s="1" t="s">
        <v>23417</v>
      </c>
      <c r="B11817" s="1" t="str">
        <f>"9781904752776"</f>
        <v>9781904752776</v>
      </c>
      <c r="C11817" s="1" t="s">
        <v>23404</v>
      </c>
      <c r="D11817" s="2">
        <v>38534</v>
      </c>
      <c r="E11817" s="1" t="s">
        <v>23418</v>
      </c>
      <c r="F11817" s="1" t="s">
        <v>13</v>
      </c>
    </row>
    <row r="11818" spans="1:6" ht="30" customHeight="1" x14ac:dyDescent="0.25">
      <c r="A11818" s="1" t="s">
        <v>23419</v>
      </c>
      <c r="B11818" s="1" t="str">
        <f>"9781906985295"</f>
        <v>9781906985295</v>
      </c>
      <c r="C11818" s="1" t="s">
        <v>23404</v>
      </c>
      <c r="D11818" s="2">
        <v>40057</v>
      </c>
      <c r="E11818" s="1" t="s">
        <v>23420</v>
      </c>
      <c r="F11818" s="1" t="s">
        <v>13</v>
      </c>
    </row>
    <row r="11819" spans="1:6" ht="30" customHeight="1" x14ac:dyDescent="0.25">
      <c r="A11819" s="1" t="s">
        <v>7644</v>
      </c>
      <c r="B11819" s="1" t="str">
        <f>"9781904752660"</f>
        <v>9781904752660</v>
      </c>
      <c r="C11819" s="1" t="s">
        <v>23404</v>
      </c>
      <c r="D11819" s="2">
        <v>40330</v>
      </c>
      <c r="E11819" s="1" t="s">
        <v>23421</v>
      </c>
      <c r="F11819" s="1" t="s">
        <v>13</v>
      </c>
    </row>
    <row r="11820" spans="1:6" ht="30" customHeight="1" x14ac:dyDescent="0.25">
      <c r="A11820" s="1" t="s">
        <v>23422</v>
      </c>
      <c r="B11820" s="1" t="str">
        <f>"9781904752721"</f>
        <v>9781904752721</v>
      </c>
      <c r="C11820" s="1" t="s">
        <v>23404</v>
      </c>
      <c r="D11820" s="2">
        <v>39234</v>
      </c>
      <c r="E11820" s="1" t="s">
        <v>23423</v>
      </c>
      <c r="F11820" s="1" t="s">
        <v>63</v>
      </c>
    </row>
    <row r="11821" spans="1:6" ht="30" customHeight="1" x14ac:dyDescent="0.25">
      <c r="A11821" s="1" t="s">
        <v>23424</v>
      </c>
      <c r="B11821" s="1" t="str">
        <f>"9781904752714"</f>
        <v>9781904752714</v>
      </c>
      <c r="C11821" s="1" t="s">
        <v>23404</v>
      </c>
      <c r="D11821" s="2">
        <v>39083</v>
      </c>
      <c r="E11821" s="1" t="s">
        <v>23425</v>
      </c>
      <c r="F11821" s="1" t="s">
        <v>13</v>
      </c>
    </row>
    <row r="11822" spans="1:6" ht="30" customHeight="1" x14ac:dyDescent="0.25">
      <c r="A11822" s="1" t="s">
        <v>23426</v>
      </c>
      <c r="B11822" s="1" t="str">
        <f>"9781904752790"</f>
        <v>9781904752790</v>
      </c>
      <c r="C11822" s="1" t="s">
        <v>23404</v>
      </c>
      <c r="D11822" s="2">
        <v>39508</v>
      </c>
      <c r="E11822" s="1" t="s">
        <v>23427</v>
      </c>
      <c r="F11822" s="1" t="s">
        <v>13</v>
      </c>
    </row>
    <row r="11823" spans="1:6" ht="30" customHeight="1" x14ac:dyDescent="0.25">
      <c r="A11823" s="1" t="s">
        <v>23428</v>
      </c>
      <c r="B11823" s="1" t="str">
        <f>"9788792982919"</f>
        <v>9788792982919</v>
      </c>
      <c r="C11823" s="1" t="s">
        <v>23429</v>
      </c>
      <c r="D11823" s="2">
        <v>41243</v>
      </c>
      <c r="E11823" s="1" t="s">
        <v>23430</v>
      </c>
      <c r="F11823" s="1" t="s">
        <v>21689</v>
      </c>
    </row>
    <row r="11824" spans="1:6" ht="30" customHeight="1" x14ac:dyDescent="0.25">
      <c r="A11824" s="1" t="s">
        <v>23431</v>
      </c>
      <c r="B11824" s="1" t="str">
        <f>"9788792982933"</f>
        <v>9788792982933</v>
      </c>
      <c r="C11824" s="1" t="s">
        <v>23429</v>
      </c>
      <c r="D11824" s="2">
        <v>41260</v>
      </c>
      <c r="E11824" s="1" t="s">
        <v>23432</v>
      </c>
      <c r="F11824" s="1" t="s">
        <v>95</v>
      </c>
    </row>
    <row r="11825" spans="1:6" ht="30" customHeight="1" x14ac:dyDescent="0.25">
      <c r="A11825" s="1" t="s">
        <v>23433</v>
      </c>
      <c r="B11825" s="1" t="str">
        <f>"9781931332927"</f>
        <v>9781931332927</v>
      </c>
      <c r="C11825" s="1" t="s">
        <v>23434</v>
      </c>
      <c r="D11825" s="2">
        <v>41334</v>
      </c>
      <c r="E11825" s="1" t="s">
        <v>23435</v>
      </c>
      <c r="F11825" s="1" t="s">
        <v>13</v>
      </c>
    </row>
    <row r="11826" spans="1:6" ht="30" customHeight="1" x14ac:dyDescent="0.25">
      <c r="A11826" s="1" t="s">
        <v>23436</v>
      </c>
      <c r="B11826" s="1" t="str">
        <f>"9781578086054"</f>
        <v>9781578086054</v>
      </c>
      <c r="C11826" s="1" t="s">
        <v>23437</v>
      </c>
      <c r="D11826" s="2">
        <v>39479</v>
      </c>
      <c r="E11826" s="1" t="s">
        <v>23438</v>
      </c>
      <c r="F11826" s="1" t="s">
        <v>117</v>
      </c>
    </row>
    <row r="11827" spans="1:6" ht="30" customHeight="1" x14ac:dyDescent="0.25">
      <c r="A11827" s="1" t="s">
        <v>23439</v>
      </c>
      <c r="B11827" s="1" t="str">
        <f>"9781578085989"</f>
        <v>9781578085989</v>
      </c>
      <c r="C11827" s="1" t="s">
        <v>99</v>
      </c>
      <c r="D11827" s="2">
        <v>42479</v>
      </c>
      <c r="E11827" s="1" t="s">
        <v>23440</v>
      </c>
      <c r="F11827" s="1" t="s">
        <v>23441</v>
      </c>
    </row>
    <row r="11828" spans="1:6" ht="30" customHeight="1" x14ac:dyDescent="0.25">
      <c r="A11828" s="1" t="s">
        <v>23442</v>
      </c>
      <c r="B11828" s="1" t="str">
        <f>"9781578085484"</f>
        <v>9781578085484</v>
      </c>
      <c r="C11828" s="1" t="s">
        <v>23437</v>
      </c>
      <c r="D11828" s="2">
        <v>38869</v>
      </c>
      <c r="E11828" s="1" t="s">
        <v>23443</v>
      </c>
      <c r="F11828" s="1" t="s">
        <v>13</v>
      </c>
    </row>
    <row r="11829" spans="1:6" ht="30" customHeight="1" x14ac:dyDescent="0.25">
      <c r="A11829" s="1" t="s">
        <v>23444</v>
      </c>
      <c r="B11829" s="1" t="str">
        <f>"9781578086467"</f>
        <v>9781578086467</v>
      </c>
      <c r="C11829" s="1" t="s">
        <v>23437</v>
      </c>
      <c r="D11829" s="2">
        <v>38777</v>
      </c>
      <c r="E11829" s="1" t="s">
        <v>23445</v>
      </c>
      <c r="F11829" s="1" t="s">
        <v>13</v>
      </c>
    </row>
    <row r="11830" spans="1:6" ht="30" customHeight="1" x14ac:dyDescent="0.25">
      <c r="A11830" s="1" t="s">
        <v>23446</v>
      </c>
      <c r="B11830" s="1" t="str">
        <f>"9781438443492"</f>
        <v>9781438443492</v>
      </c>
      <c r="C11830" s="1" t="s">
        <v>23447</v>
      </c>
      <c r="D11830" s="2">
        <v>35502</v>
      </c>
      <c r="E11830" s="1" t="s">
        <v>23448</v>
      </c>
      <c r="F11830" s="1" t="s">
        <v>95</v>
      </c>
    </row>
    <row r="11831" spans="1:6" ht="30" customHeight="1" x14ac:dyDescent="0.25">
      <c r="A11831" s="1" t="s">
        <v>23449</v>
      </c>
      <c r="B11831" s="1" t="str">
        <f>"9781438429540"</f>
        <v>9781438429540</v>
      </c>
      <c r="C11831" s="1" t="s">
        <v>23447</v>
      </c>
      <c r="D11831" s="2">
        <v>40179</v>
      </c>
      <c r="E11831" s="1" t="s">
        <v>23450</v>
      </c>
      <c r="F11831" s="1" t="s">
        <v>30</v>
      </c>
    </row>
    <row r="11832" spans="1:6" ht="30" customHeight="1" x14ac:dyDescent="0.25">
      <c r="A11832" s="1" t="s">
        <v>23451</v>
      </c>
      <c r="B11832" s="1" t="str">
        <f>"9781438433530"</f>
        <v>9781438433530</v>
      </c>
      <c r="C11832" s="1" t="s">
        <v>23447</v>
      </c>
      <c r="D11832" s="2">
        <v>40391</v>
      </c>
      <c r="E11832" s="1" t="s">
        <v>23452</v>
      </c>
      <c r="F11832" s="1" t="s">
        <v>13</v>
      </c>
    </row>
    <row r="11833" spans="1:6" ht="30" customHeight="1" x14ac:dyDescent="0.25">
      <c r="A11833" s="1" t="s">
        <v>23453</v>
      </c>
      <c r="B11833" s="1" t="str">
        <f>"9781438430256"</f>
        <v>9781438430256</v>
      </c>
      <c r="C11833" s="1" t="s">
        <v>23447</v>
      </c>
      <c r="D11833" s="2">
        <v>40238</v>
      </c>
      <c r="E11833" s="1" t="s">
        <v>23454</v>
      </c>
      <c r="F11833" s="1" t="s">
        <v>13</v>
      </c>
    </row>
    <row r="11834" spans="1:6" ht="30" customHeight="1" x14ac:dyDescent="0.25">
      <c r="A11834" s="1" t="s">
        <v>23455</v>
      </c>
      <c r="B11834" s="1" t="str">
        <f>"9781438433950"</f>
        <v>9781438433950</v>
      </c>
      <c r="C11834" s="1" t="s">
        <v>23447</v>
      </c>
      <c r="D11834" s="2">
        <v>40391</v>
      </c>
      <c r="E11834" s="1" t="s">
        <v>23456</v>
      </c>
      <c r="F11834" s="1" t="s">
        <v>13</v>
      </c>
    </row>
    <row r="11835" spans="1:6" ht="30" customHeight="1" x14ac:dyDescent="0.25">
      <c r="A11835" s="1" t="s">
        <v>23457</v>
      </c>
      <c r="B11835" s="1" t="str">
        <f>"9781438430928"</f>
        <v>9781438430928</v>
      </c>
      <c r="C11835" s="1" t="s">
        <v>23447</v>
      </c>
      <c r="D11835" s="2">
        <v>40269</v>
      </c>
      <c r="E11835" s="1" t="s">
        <v>23458</v>
      </c>
      <c r="F11835" s="1" t="s">
        <v>13</v>
      </c>
    </row>
    <row r="11836" spans="1:6" ht="30" customHeight="1" x14ac:dyDescent="0.25">
      <c r="A11836" s="1" t="s">
        <v>23459</v>
      </c>
      <c r="B11836" s="1" t="str">
        <f>"9780791481059"</f>
        <v>9780791481059</v>
      </c>
      <c r="C11836" s="1" t="s">
        <v>23447</v>
      </c>
      <c r="D11836" s="2">
        <v>39022</v>
      </c>
      <c r="E11836" s="1" t="s">
        <v>23460</v>
      </c>
      <c r="F11836" s="1" t="s">
        <v>13</v>
      </c>
    </row>
    <row r="11837" spans="1:6" ht="30" customHeight="1" x14ac:dyDescent="0.25">
      <c r="A11837" s="1" t="s">
        <v>23461</v>
      </c>
      <c r="B11837" s="1" t="str">
        <f>"9780791480502"</f>
        <v>9780791480502</v>
      </c>
      <c r="C11837" s="1" t="s">
        <v>23447</v>
      </c>
      <c r="D11837" s="2">
        <v>39083</v>
      </c>
      <c r="E11837" s="1" t="s">
        <v>23462</v>
      </c>
      <c r="F11837" s="1" t="s">
        <v>158</v>
      </c>
    </row>
    <row r="11838" spans="1:6" ht="30" customHeight="1" x14ac:dyDescent="0.25">
      <c r="A11838" s="1" t="s">
        <v>23463</v>
      </c>
      <c r="B11838" s="1" t="str">
        <f>"9780791479643"</f>
        <v>9780791479643</v>
      </c>
      <c r="C11838" s="1" t="s">
        <v>23447</v>
      </c>
      <c r="D11838" s="2">
        <v>39295</v>
      </c>
      <c r="E11838" s="1" t="s">
        <v>23464</v>
      </c>
      <c r="F11838" s="1" t="s">
        <v>13</v>
      </c>
    </row>
    <row r="11839" spans="1:6" ht="30" customHeight="1" x14ac:dyDescent="0.25">
      <c r="A11839" s="1" t="s">
        <v>23465</v>
      </c>
      <c r="B11839" s="1" t="str">
        <f>"9780791479582"</f>
        <v>9780791479582</v>
      </c>
      <c r="C11839" s="1" t="s">
        <v>23447</v>
      </c>
      <c r="D11839" s="2">
        <v>39295</v>
      </c>
      <c r="E11839" s="1" t="s">
        <v>23466</v>
      </c>
      <c r="F11839" s="1" t="s">
        <v>13</v>
      </c>
    </row>
    <row r="11840" spans="1:6" ht="30" customHeight="1" x14ac:dyDescent="0.25">
      <c r="A11840" s="1" t="s">
        <v>23467</v>
      </c>
      <c r="B11840" s="1" t="str">
        <f>"9780791480137"</f>
        <v>9780791480137</v>
      </c>
      <c r="C11840" s="1" t="s">
        <v>23447</v>
      </c>
      <c r="D11840" s="2">
        <v>39173</v>
      </c>
      <c r="E11840" s="1" t="s">
        <v>23468</v>
      </c>
      <c r="F11840" s="1" t="s">
        <v>13</v>
      </c>
    </row>
    <row r="11841" spans="1:6" ht="30" customHeight="1" x14ac:dyDescent="0.25">
      <c r="A11841" s="1" t="s">
        <v>23469</v>
      </c>
      <c r="B11841" s="1" t="str">
        <f>"9780791483947"</f>
        <v>9780791483947</v>
      </c>
      <c r="C11841" s="1" t="s">
        <v>23447</v>
      </c>
      <c r="D11841" s="2">
        <v>38384</v>
      </c>
      <c r="E11841" s="1" t="s">
        <v>23470</v>
      </c>
      <c r="F11841" s="1" t="s">
        <v>13</v>
      </c>
    </row>
    <row r="11842" spans="1:6" ht="30" customHeight="1" x14ac:dyDescent="0.25">
      <c r="A11842" s="1" t="s">
        <v>23471</v>
      </c>
      <c r="B11842" s="1" t="str">
        <f>"9780791481356"</f>
        <v>9780791481356</v>
      </c>
      <c r="C11842" s="1" t="s">
        <v>23447</v>
      </c>
      <c r="D11842" s="2">
        <v>38930</v>
      </c>
      <c r="E11842" s="1" t="s">
        <v>23472</v>
      </c>
      <c r="F11842" s="1" t="s">
        <v>30</v>
      </c>
    </row>
    <row r="11843" spans="1:6" ht="30" customHeight="1" x14ac:dyDescent="0.25">
      <c r="A11843" s="1" t="s">
        <v>23473</v>
      </c>
      <c r="B11843" s="1" t="str">
        <f>"9780791483657"</f>
        <v>9780791483657</v>
      </c>
      <c r="C11843" s="1" t="s">
        <v>23447</v>
      </c>
      <c r="D11843" s="2">
        <v>38473</v>
      </c>
      <c r="E11843" s="1" t="s">
        <v>23474</v>
      </c>
      <c r="F11843" s="1" t="s">
        <v>286</v>
      </c>
    </row>
    <row r="11844" spans="1:6" ht="30" customHeight="1" x14ac:dyDescent="0.25">
      <c r="A11844" s="1" t="s">
        <v>23475</v>
      </c>
      <c r="B11844" s="1" t="str">
        <f>"9780791483428"</f>
        <v>9780791483428</v>
      </c>
      <c r="C11844" s="1" t="s">
        <v>23447</v>
      </c>
      <c r="D11844" s="2">
        <v>38443</v>
      </c>
      <c r="E11844" s="1" t="s">
        <v>23476</v>
      </c>
      <c r="F11844" s="1" t="s">
        <v>176</v>
      </c>
    </row>
    <row r="11845" spans="1:6" ht="30" customHeight="1" x14ac:dyDescent="0.25">
      <c r="A11845" s="1" t="s">
        <v>23477</v>
      </c>
      <c r="B11845" s="1" t="str">
        <f>"9780791481851"</f>
        <v>9780791481851</v>
      </c>
      <c r="C11845" s="1" t="s">
        <v>23447</v>
      </c>
      <c r="D11845" s="2">
        <v>38808</v>
      </c>
      <c r="E11845" s="1" t="s">
        <v>23478</v>
      </c>
      <c r="F11845" s="1" t="s">
        <v>4861</v>
      </c>
    </row>
    <row r="11846" spans="1:6" ht="30" customHeight="1" x14ac:dyDescent="0.25">
      <c r="A11846" s="1" t="s">
        <v>23479</v>
      </c>
      <c r="B11846" s="1" t="str">
        <f>"9780791482063"</f>
        <v>9780791482063</v>
      </c>
      <c r="C11846" s="1" t="s">
        <v>23447</v>
      </c>
      <c r="D11846" s="2">
        <v>38777</v>
      </c>
      <c r="E11846" s="1" t="s">
        <v>23480</v>
      </c>
      <c r="F11846" s="1" t="s">
        <v>13</v>
      </c>
    </row>
    <row r="11847" spans="1:6" ht="30" customHeight="1" x14ac:dyDescent="0.25">
      <c r="A11847" s="1" t="s">
        <v>23481</v>
      </c>
      <c r="B11847" s="1" t="str">
        <f>"9780791489802"</f>
        <v>9780791489802</v>
      </c>
      <c r="C11847" s="1" t="s">
        <v>23447</v>
      </c>
      <c r="D11847" s="2">
        <v>37226</v>
      </c>
      <c r="E11847" s="1" t="s">
        <v>23482</v>
      </c>
      <c r="F11847" s="1" t="s">
        <v>13</v>
      </c>
    </row>
    <row r="11848" spans="1:6" ht="30" customHeight="1" x14ac:dyDescent="0.25">
      <c r="A11848" s="1" t="s">
        <v>23483</v>
      </c>
      <c r="B11848" s="1" t="str">
        <f>"9780791487594"</f>
        <v>9780791487594</v>
      </c>
      <c r="C11848" s="1" t="s">
        <v>23447</v>
      </c>
      <c r="D11848" s="2">
        <v>37530</v>
      </c>
      <c r="E11848" s="1" t="s">
        <v>23484</v>
      </c>
      <c r="F11848" s="1" t="s">
        <v>13</v>
      </c>
    </row>
    <row r="11849" spans="1:6" ht="30" customHeight="1" x14ac:dyDescent="0.25">
      <c r="A11849" s="1" t="s">
        <v>23485</v>
      </c>
      <c r="B11849" s="1" t="str">
        <f>"9780791493861"</f>
        <v>9780791493861</v>
      </c>
      <c r="C11849" s="1" t="s">
        <v>23447</v>
      </c>
      <c r="D11849" s="2">
        <v>39845</v>
      </c>
      <c r="E11849" s="1" t="s">
        <v>23486</v>
      </c>
      <c r="F11849" s="1" t="s">
        <v>200</v>
      </c>
    </row>
    <row r="11850" spans="1:6" ht="30" customHeight="1" x14ac:dyDescent="0.25">
      <c r="A11850" s="1" t="s">
        <v>23487</v>
      </c>
      <c r="B11850" s="1" t="str">
        <f>"9780791491522"</f>
        <v>9780791491522</v>
      </c>
      <c r="C11850" s="1" t="s">
        <v>23447</v>
      </c>
      <c r="D11850" s="2">
        <v>36800</v>
      </c>
      <c r="E11850" s="1" t="s">
        <v>23484</v>
      </c>
      <c r="F11850" s="1" t="s">
        <v>5085</v>
      </c>
    </row>
    <row r="11851" spans="1:6" ht="30" customHeight="1" x14ac:dyDescent="0.25">
      <c r="A11851" s="1" t="s">
        <v>23488</v>
      </c>
      <c r="B11851" s="1" t="str">
        <f>"9780791489604"</f>
        <v>9780791489604</v>
      </c>
      <c r="C11851" s="1" t="s">
        <v>23447</v>
      </c>
      <c r="D11851" s="2">
        <v>37257</v>
      </c>
      <c r="E11851" s="1" t="s">
        <v>23489</v>
      </c>
      <c r="F11851" s="1" t="s">
        <v>95</v>
      </c>
    </row>
    <row r="11852" spans="1:6" ht="30" customHeight="1" x14ac:dyDescent="0.25">
      <c r="A11852" s="1" t="s">
        <v>23490</v>
      </c>
      <c r="B11852" s="1" t="str">
        <f>"9781438425368"</f>
        <v>9781438425368</v>
      </c>
      <c r="C11852" s="1" t="s">
        <v>23447</v>
      </c>
      <c r="D11852" s="2">
        <v>40148</v>
      </c>
      <c r="E11852" s="1" t="s">
        <v>23491</v>
      </c>
      <c r="F11852" s="1" t="s">
        <v>176</v>
      </c>
    </row>
    <row r="11853" spans="1:6" ht="30" customHeight="1" x14ac:dyDescent="0.25">
      <c r="A11853" s="1" t="s">
        <v>23492</v>
      </c>
      <c r="B11853" s="1" t="str">
        <f>"9780791485330"</f>
        <v>9780791485330</v>
      </c>
      <c r="C11853" s="1" t="s">
        <v>23447</v>
      </c>
      <c r="D11853" s="2">
        <v>38018</v>
      </c>
      <c r="E11853" s="1" t="s">
        <v>23493</v>
      </c>
      <c r="F11853" s="1" t="s">
        <v>70</v>
      </c>
    </row>
    <row r="11854" spans="1:6" ht="30" customHeight="1" x14ac:dyDescent="0.25">
      <c r="A11854" s="1" t="s">
        <v>23494</v>
      </c>
      <c r="B11854" s="1" t="str">
        <f>"9780791485170"</f>
        <v>9780791485170</v>
      </c>
      <c r="C11854" s="1" t="s">
        <v>23447</v>
      </c>
      <c r="D11854" s="2">
        <v>38231</v>
      </c>
      <c r="E11854" s="1" t="s">
        <v>23495</v>
      </c>
      <c r="F11854" s="1" t="s">
        <v>126</v>
      </c>
    </row>
    <row r="11855" spans="1:6" ht="30" customHeight="1" x14ac:dyDescent="0.25">
      <c r="A11855" s="1" t="s">
        <v>23496</v>
      </c>
      <c r="B11855" s="1" t="str">
        <f>"9780791485255"</f>
        <v>9780791485255</v>
      </c>
      <c r="C11855" s="1" t="s">
        <v>23447</v>
      </c>
      <c r="D11855" s="2">
        <v>38169</v>
      </c>
      <c r="E11855" s="1" t="s">
        <v>23497</v>
      </c>
      <c r="F11855" s="1" t="s">
        <v>95</v>
      </c>
    </row>
    <row r="11856" spans="1:6" ht="30" customHeight="1" x14ac:dyDescent="0.25">
      <c r="A11856" s="1" t="s">
        <v>23498</v>
      </c>
      <c r="B11856" s="1" t="str">
        <f>"9780791487068"</f>
        <v>9780791487068</v>
      </c>
      <c r="C11856" s="1" t="s">
        <v>23447</v>
      </c>
      <c r="D11856" s="2">
        <v>37681</v>
      </c>
      <c r="E11856" s="1" t="s">
        <v>23499</v>
      </c>
      <c r="F11856" s="1" t="s">
        <v>13</v>
      </c>
    </row>
    <row r="11857" spans="1:6" ht="30" customHeight="1" x14ac:dyDescent="0.25">
      <c r="A11857" s="1" t="s">
        <v>23500</v>
      </c>
      <c r="B11857" s="1" t="str">
        <f>"9780791486818"</f>
        <v>9780791486818</v>
      </c>
      <c r="C11857" s="1" t="s">
        <v>23447</v>
      </c>
      <c r="D11857" s="2">
        <v>37777</v>
      </c>
      <c r="E11857" s="1" t="s">
        <v>23501</v>
      </c>
      <c r="F11857" s="1" t="s">
        <v>13</v>
      </c>
    </row>
    <row r="11858" spans="1:6" ht="30" customHeight="1" x14ac:dyDescent="0.25">
      <c r="A11858" s="1" t="s">
        <v>23502</v>
      </c>
      <c r="B11858" s="1" t="str">
        <f>"9780791484678"</f>
        <v>9780791484678</v>
      </c>
      <c r="C11858" s="1" t="s">
        <v>23447</v>
      </c>
      <c r="D11858" s="2">
        <v>38534</v>
      </c>
      <c r="E11858" s="1" t="s">
        <v>23503</v>
      </c>
      <c r="F11858" s="1" t="s">
        <v>95</v>
      </c>
    </row>
    <row r="11859" spans="1:6" ht="30" customHeight="1" x14ac:dyDescent="0.25">
      <c r="A11859" s="1" t="s">
        <v>23504</v>
      </c>
      <c r="B11859" s="1" t="str">
        <f>"9781438443881"</f>
        <v>9781438443881</v>
      </c>
      <c r="C11859" s="1" t="s">
        <v>23447</v>
      </c>
      <c r="D11859" s="2">
        <v>41214</v>
      </c>
      <c r="E11859" s="1" t="s">
        <v>23505</v>
      </c>
      <c r="F11859" s="1" t="s">
        <v>13</v>
      </c>
    </row>
    <row r="11860" spans="1:6" ht="30" customHeight="1" x14ac:dyDescent="0.25">
      <c r="A11860" s="1" t="s">
        <v>23506</v>
      </c>
      <c r="B11860" s="1" t="str">
        <f>"9781438442754"</f>
        <v>9781438442754</v>
      </c>
      <c r="C11860" s="1" t="s">
        <v>23447</v>
      </c>
      <c r="D11860" s="2">
        <v>41091</v>
      </c>
      <c r="E11860" s="1" t="s">
        <v>23507</v>
      </c>
      <c r="F11860" s="1" t="s">
        <v>148</v>
      </c>
    </row>
    <row r="11861" spans="1:6" ht="30" customHeight="1" x14ac:dyDescent="0.25">
      <c r="A11861" s="1" t="s">
        <v>23508</v>
      </c>
      <c r="B11861" s="1" t="str">
        <f>"9781438445540"</f>
        <v>9781438445540</v>
      </c>
      <c r="C11861" s="1" t="s">
        <v>23447</v>
      </c>
      <c r="D11861" s="2">
        <v>41289</v>
      </c>
      <c r="E11861" s="1" t="s">
        <v>23509</v>
      </c>
      <c r="F11861" s="1" t="s">
        <v>205</v>
      </c>
    </row>
    <row r="11862" spans="1:6" ht="30" customHeight="1" x14ac:dyDescent="0.25">
      <c r="A11862" s="1" t="s">
        <v>23510</v>
      </c>
      <c r="B11862" s="1" t="str">
        <f>"9781438446158"</f>
        <v>9781438446158</v>
      </c>
      <c r="C11862" s="1" t="s">
        <v>23447</v>
      </c>
      <c r="D11862" s="2">
        <v>41409</v>
      </c>
      <c r="E11862" s="1" t="s">
        <v>23511</v>
      </c>
      <c r="F11862" s="1" t="s">
        <v>13</v>
      </c>
    </row>
    <row r="11863" spans="1:6" ht="30" customHeight="1" x14ac:dyDescent="0.25">
      <c r="A11863" s="1" t="s">
        <v>23512</v>
      </c>
      <c r="B11863" s="1" t="str">
        <f>"9780791478165"</f>
        <v>9780791478165</v>
      </c>
      <c r="C11863" s="1" t="s">
        <v>23447</v>
      </c>
      <c r="D11863" s="2">
        <v>39630</v>
      </c>
      <c r="E11863" s="1" t="s">
        <v>23513</v>
      </c>
      <c r="F11863" s="1" t="s">
        <v>13</v>
      </c>
    </row>
    <row r="11864" spans="1:6" ht="30" customHeight="1" x14ac:dyDescent="0.25">
      <c r="A11864" s="1" t="s">
        <v>23514</v>
      </c>
      <c r="B11864" s="1" t="str">
        <f>"9781438450087"</f>
        <v>9781438450087</v>
      </c>
      <c r="C11864" s="1" t="s">
        <v>23447</v>
      </c>
      <c r="D11864" s="2">
        <v>41730</v>
      </c>
      <c r="E11864" s="1" t="s">
        <v>23515</v>
      </c>
      <c r="F11864" s="1" t="s">
        <v>95</v>
      </c>
    </row>
    <row r="11865" spans="1:6" ht="30" customHeight="1" x14ac:dyDescent="0.25">
      <c r="A11865" s="1" t="s">
        <v>23516</v>
      </c>
      <c r="B11865" s="1" t="str">
        <f>"9780877856085"</f>
        <v>9780877856085</v>
      </c>
      <c r="C11865" s="1" t="s">
        <v>23517</v>
      </c>
      <c r="D11865" s="2">
        <v>40248</v>
      </c>
      <c r="E11865" s="1" t="s">
        <v>23518</v>
      </c>
      <c r="F11865" s="1" t="s">
        <v>13</v>
      </c>
    </row>
    <row r="11866" spans="1:6" ht="30" customHeight="1" x14ac:dyDescent="0.25">
      <c r="A11866" s="1" t="s">
        <v>23519</v>
      </c>
      <c r="B11866" s="1" t="str">
        <f>"9780815651406"</f>
        <v>9780815651406</v>
      </c>
      <c r="C11866" s="1" t="s">
        <v>23520</v>
      </c>
      <c r="D11866" s="2">
        <v>33008</v>
      </c>
      <c r="E11866" s="1" t="s">
        <v>23521</v>
      </c>
      <c r="F11866" s="1" t="s">
        <v>33</v>
      </c>
    </row>
    <row r="11867" spans="1:6" ht="30" customHeight="1" x14ac:dyDescent="0.25">
      <c r="A11867" s="1" t="s">
        <v>23522</v>
      </c>
      <c r="B11867" s="1" t="str">
        <f>"9780815651314"</f>
        <v>9780815651314</v>
      </c>
      <c r="C11867" s="1" t="s">
        <v>23520</v>
      </c>
      <c r="D11867" s="2">
        <v>40064</v>
      </c>
      <c r="E11867" s="1" t="s">
        <v>23523</v>
      </c>
      <c r="F11867" s="1" t="s">
        <v>13</v>
      </c>
    </row>
    <row r="11868" spans="1:6" ht="30" customHeight="1" x14ac:dyDescent="0.25">
      <c r="A11868" s="1" t="s">
        <v>23524</v>
      </c>
      <c r="B11868" s="1" t="str">
        <f>"9780815651963"</f>
        <v>9780815651963</v>
      </c>
      <c r="C11868" s="1" t="s">
        <v>23520</v>
      </c>
      <c r="D11868" s="2">
        <v>41228</v>
      </c>
      <c r="E11868" s="1" t="s">
        <v>23525</v>
      </c>
      <c r="F11868" s="1" t="s">
        <v>13</v>
      </c>
    </row>
    <row r="11869" spans="1:6" ht="30" customHeight="1" x14ac:dyDescent="0.25">
      <c r="A11869" s="1" t="s">
        <v>23526</v>
      </c>
      <c r="B11869" s="1" t="str">
        <f>"9781908986863"</f>
        <v>9781908986863</v>
      </c>
      <c r="C11869" s="1" t="s">
        <v>23527</v>
      </c>
      <c r="D11869" s="2">
        <v>40787</v>
      </c>
      <c r="E11869" s="1" t="s">
        <v>23528</v>
      </c>
      <c r="F11869" s="1" t="s">
        <v>13</v>
      </c>
    </row>
    <row r="11870" spans="1:6" ht="30" customHeight="1" x14ac:dyDescent="0.25">
      <c r="A11870" s="1" t="s">
        <v>23529</v>
      </c>
      <c r="B11870" s="1" t="str">
        <f>"9781908986924"</f>
        <v>9781908986924</v>
      </c>
      <c r="C11870" s="1" t="s">
        <v>23527</v>
      </c>
      <c r="D11870" s="2">
        <v>41183</v>
      </c>
      <c r="E11870" s="1" t="s">
        <v>23530</v>
      </c>
      <c r="F11870" s="1" t="s">
        <v>13</v>
      </c>
    </row>
    <row r="11871" spans="1:6" ht="30" customHeight="1" x14ac:dyDescent="0.25">
      <c r="A11871" s="1" t="s">
        <v>23531</v>
      </c>
      <c r="B11871" s="1" t="str">
        <f>"9781908986566"</f>
        <v>9781908986566</v>
      </c>
      <c r="C11871" s="1" t="s">
        <v>23527</v>
      </c>
      <c r="D11871" s="2">
        <v>40422</v>
      </c>
      <c r="E11871" s="1" t="s">
        <v>23532</v>
      </c>
      <c r="F11871" s="1" t="s">
        <v>13</v>
      </c>
    </row>
    <row r="11872" spans="1:6" ht="30" customHeight="1" x14ac:dyDescent="0.25">
      <c r="A11872" s="1" t="s">
        <v>23533</v>
      </c>
      <c r="B11872" s="1" t="str">
        <f>"9781908986351"</f>
        <v>9781908986351</v>
      </c>
      <c r="C11872" s="1" t="s">
        <v>23527</v>
      </c>
      <c r="D11872" s="2">
        <v>39934</v>
      </c>
      <c r="E11872" s="1" t="s">
        <v>23534</v>
      </c>
      <c r="F11872" s="1" t="s">
        <v>13</v>
      </c>
    </row>
    <row r="11873" spans="1:6" ht="30" customHeight="1" x14ac:dyDescent="0.25">
      <c r="A11873" s="1" t="s">
        <v>23535</v>
      </c>
      <c r="B11873" s="1" t="str">
        <f>"9781908986412"</f>
        <v>9781908986412</v>
      </c>
      <c r="C11873" s="1" t="s">
        <v>23527</v>
      </c>
      <c r="D11873" s="2">
        <v>39539</v>
      </c>
      <c r="E11873" s="1" t="s">
        <v>23536</v>
      </c>
      <c r="F11873" s="1" t="s">
        <v>13</v>
      </c>
    </row>
    <row r="11874" spans="1:6" ht="30" customHeight="1" x14ac:dyDescent="0.25">
      <c r="A11874" s="1" t="s">
        <v>23537</v>
      </c>
      <c r="B11874" s="1" t="str">
        <f>"9781908986658"</f>
        <v>9781908986658</v>
      </c>
      <c r="C11874" s="1" t="s">
        <v>23527</v>
      </c>
      <c r="D11874" s="2">
        <v>40422</v>
      </c>
      <c r="E11874" s="1" t="s">
        <v>23538</v>
      </c>
      <c r="F11874" s="1" t="s">
        <v>13</v>
      </c>
    </row>
    <row r="11875" spans="1:6" ht="30" customHeight="1" x14ac:dyDescent="0.25">
      <c r="A11875" s="1" t="s">
        <v>23539</v>
      </c>
      <c r="B11875" s="1" t="str">
        <f>"9781908986894"</f>
        <v>9781908986894</v>
      </c>
      <c r="C11875" s="1" t="s">
        <v>23527</v>
      </c>
      <c r="D11875" s="2">
        <v>40940</v>
      </c>
      <c r="E11875" s="1" t="s">
        <v>23540</v>
      </c>
      <c r="F11875" s="1" t="s">
        <v>13</v>
      </c>
    </row>
    <row r="11876" spans="1:6" ht="30" customHeight="1" x14ac:dyDescent="0.25">
      <c r="A11876" s="1" t="s">
        <v>23541</v>
      </c>
      <c r="B11876" s="1" t="str">
        <f>"9781908986719"</f>
        <v>9781908986719</v>
      </c>
      <c r="C11876" s="1" t="s">
        <v>23527</v>
      </c>
      <c r="D11876" s="2">
        <v>41183</v>
      </c>
      <c r="E11876" s="1" t="s">
        <v>23542</v>
      </c>
      <c r="F11876" s="1" t="s">
        <v>13</v>
      </c>
    </row>
    <row r="11877" spans="1:6" ht="30" customHeight="1" x14ac:dyDescent="0.25">
      <c r="A11877" s="1" t="s">
        <v>23543</v>
      </c>
      <c r="B11877" s="1" t="str">
        <f>"9781908986955"</f>
        <v>9781908986955</v>
      </c>
      <c r="C11877" s="1" t="s">
        <v>23527</v>
      </c>
      <c r="D11877" s="2">
        <v>41275</v>
      </c>
      <c r="E11877" s="1" t="s">
        <v>23544</v>
      </c>
      <c r="F11877" s="1" t="s">
        <v>13</v>
      </c>
    </row>
    <row r="11878" spans="1:6" ht="30" customHeight="1" x14ac:dyDescent="0.25">
      <c r="A11878" s="1" t="s">
        <v>23545</v>
      </c>
      <c r="B11878" s="1" t="str">
        <f>"9781903378984"</f>
        <v>9781903378984</v>
      </c>
      <c r="C11878" s="1" t="s">
        <v>23527</v>
      </c>
      <c r="D11878" s="2">
        <v>41548</v>
      </c>
      <c r="E11878" s="1" t="s">
        <v>23546</v>
      </c>
      <c r="F11878" s="1" t="s">
        <v>13</v>
      </c>
    </row>
    <row r="11879" spans="1:6" ht="30" customHeight="1" x14ac:dyDescent="0.25">
      <c r="A11879" s="1" t="s">
        <v>23547</v>
      </c>
      <c r="B11879" s="1" t="str">
        <f>"9781908986597"</f>
        <v>9781908986597</v>
      </c>
      <c r="C11879" s="1" t="s">
        <v>23527</v>
      </c>
      <c r="D11879" s="2">
        <v>40422</v>
      </c>
      <c r="E11879" s="1" t="s">
        <v>23548</v>
      </c>
      <c r="F11879" s="1" t="s">
        <v>13</v>
      </c>
    </row>
    <row r="11880" spans="1:6" ht="30" customHeight="1" x14ac:dyDescent="0.25">
      <c r="A11880" s="1" t="s">
        <v>23549</v>
      </c>
      <c r="B11880" s="1" t="str">
        <f>"9781908986382"</f>
        <v>9781908986382</v>
      </c>
      <c r="C11880" s="1" t="s">
        <v>23527</v>
      </c>
      <c r="D11880" s="2">
        <v>39934</v>
      </c>
      <c r="E11880" s="1" t="s">
        <v>23550</v>
      </c>
      <c r="F11880" s="1" t="s">
        <v>13</v>
      </c>
    </row>
    <row r="11881" spans="1:6" ht="30" customHeight="1" x14ac:dyDescent="0.25">
      <c r="A11881" s="1" t="s">
        <v>23551</v>
      </c>
      <c r="B11881" s="1" t="str">
        <f>"9781908986801"</f>
        <v>9781908986801</v>
      </c>
      <c r="C11881" s="1" t="s">
        <v>23527</v>
      </c>
      <c r="D11881" s="2">
        <v>40909</v>
      </c>
      <c r="E11881" s="1" t="s">
        <v>23552</v>
      </c>
      <c r="F11881" s="1" t="s">
        <v>13</v>
      </c>
    </row>
    <row r="11882" spans="1:6" ht="30" customHeight="1" x14ac:dyDescent="0.25">
      <c r="A11882" s="1" t="s">
        <v>23553</v>
      </c>
      <c r="B11882" s="1" t="str">
        <f>"9781908986443"</f>
        <v>9781908986443</v>
      </c>
      <c r="C11882" s="1" t="s">
        <v>23527</v>
      </c>
      <c r="D11882" s="2">
        <v>40057</v>
      </c>
      <c r="E11882" s="1" t="s">
        <v>23554</v>
      </c>
      <c r="F11882" s="1" t="s">
        <v>13</v>
      </c>
    </row>
    <row r="11883" spans="1:6" ht="30" customHeight="1" x14ac:dyDescent="0.25">
      <c r="A11883" s="1" t="s">
        <v>23555</v>
      </c>
      <c r="B11883" s="1" t="str">
        <f>"9781908986504"</f>
        <v>9781908986504</v>
      </c>
      <c r="C11883" s="1" t="s">
        <v>23527</v>
      </c>
      <c r="D11883" s="2">
        <v>40057</v>
      </c>
      <c r="E11883" s="1" t="s">
        <v>23556</v>
      </c>
      <c r="F11883" s="1" t="s">
        <v>13</v>
      </c>
    </row>
    <row r="11884" spans="1:6" ht="30" customHeight="1" x14ac:dyDescent="0.25">
      <c r="A11884" s="1" t="s">
        <v>23557</v>
      </c>
      <c r="B11884" s="1" t="str">
        <f>"9781908986740"</f>
        <v>9781908986740</v>
      </c>
      <c r="C11884" s="1" t="s">
        <v>23527</v>
      </c>
      <c r="D11884" s="2">
        <v>40787</v>
      </c>
      <c r="E11884" s="1" t="s">
        <v>23558</v>
      </c>
      <c r="F11884" s="1" t="s">
        <v>13</v>
      </c>
    </row>
    <row r="11885" spans="1:6" ht="30" customHeight="1" x14ac:dyDescent="0.25">
      <c r="A11885" s="1" t="s">
        <v>23559</v>
      </c>
      <c r="B11885" s="1" t="str">
        <f>"9781908986689"</f>
        <v>9781908986689</v>
      </c>
      <c r="C11885" s="1" t="s">
        <v>23527</v>
      </c>
      <c r="D11885" s="2">
        <v>40695</v>
      </c>
      <c r="E11885" s="1" t="s">
        <v>23560</v>
      </c>
      <c r="F11885" s="1" t="s">
        <v>13</v>
      </c>
    </row>
    <row r="11886" spans="1:6" ht="30" customHeight="1" x14ac:dyDescent="0.25">
      <c r="A11886" s="1" t="s">
        <v>23561</v>
      </c>
      <c r="B11886" s="1" t="str">
        <f>"9781908986986"</f>
        <v>9781908986986</v>
      </c>
      <c r="C11886" s="1" t="s">
        <v>23527</v>
      </c>
      <c r="D11886" s="2">
        <v>41275</v>
      </c>
      <c r="E11886" s="1" t="s">
        <v>23562</v>
      </c>
      <c r="F11886" s="1" t="s">
        <v>13</v>
      </c>
    </row>
    <row r="11887" spans="1:6" ht="30" customHeight="1" x14ac:dyDescent="0.25">
      <c r="A11887" s="1" t="s">
        <v>23563</v>
      </c>
      <c r="B11887" s="1" t="str">
        <f>"9781908986832"</f>
        <v>9781908986832</v>
      </c>
      <c r="C11887" s="1" t="s">
        <v>23527</v>
      </c>
      <c r="D11887" s="2">
        <v>40544</v>
      </c>
      <c r="E11887" s="1" t="s">
        <v>23564</v>
      </c>
      <c r="F11887" s="1" t="s">
        <v>13</v>
      </c>
    </row>
    <row r="11888" spans="1:6" ht="30" customHeight="1" x14ac:dyDescent="0.25">
      <c r="A11888" s="1" t="s">
        <v>23565</v>
      </c>
      <c r="B11888" s="1" t="str">
        <f>"9781908986474"</f>
        <v>9781908986474</v>
      </c>
      <c r="C11888" s="1" t="s">
        <v>23527</v>
      </c>
      <c r="D11888" s="2">
        <v>39934</v>
      </c>
      <c r="E11888" s="1" t="s">
        <v>23566</v>
      </c>
      <c r="F11888" s="1" t="s">
        <v>13</v>
      </c>
    </row>
    <row r="11889" spans="1:6" ht="30" customHeight="1" x14ac:dyDescent="0.25">
      <c r="A11889" s="1" t="s">
        <v>23567</v>
      </c>
      <c r="B11889" s="1" t="str">
        <f>"9781908986535"</f>
        <v>9781908986535</v>
      </c>
      <c r="C11889" s="1" t="s">
        <v>23527</v>
      </c>
      <c r="D11889" s="2">
        <v>40603</v>
      </c>
      <c r="E11889" s="1" t="s">
        <v>23568</v>
      </c>
      <c r="F11889" s="1" t="s">
        <v>13</v>
      </c>
    </row>
    <row r="11890" spans="1:6" ht="30" customHeight="1" x14ac:dyDescent="0.25">
      <c r="A11890" s="1" t="s">
        <v>23569</v>
      </c>
      <c r="B11890" s="1" t="str">
        <f>"9781908986771"</f>
        <v>9781908986771</v>
      </c>
      <c r="C11890" s="1" t="s">
        <v>23527</v>
      </c>
      <c r="D11890" s="2">
        <v>41183</v>
      </c>
      <c r="E11890" s="1" t="s">
        <v>23570</v>
      </c>
      <c r="F11890" s="1" t="s">
        <v>13</v>
      </c>
    </row>
    <row r="11891" spans="1:6" ht="30" customHeight="1" x14ac:dyDescent="0.25">
      <c r="A11891" s="1" t="s">
        <v>23571</v>
      </c>
      <c r="B11891" s="1" t="str">
        <f>""</f>
        <v/>
      </c>
      <c r="C11891" s="1" t="s">
        <v>23572</v>
      </c>
      <c r="D11891" s="2">
        <v>37712</v>
      </c>
      <c r="E11891" s="1" t="s">
        <v>23573</v>
      </c>
      <c r="F11891" s="1" t="s">
        <v>13</v>
      </c>
    </row>
    <row r="11892" spans="1:6" ht="30" customHeight="1" x14ac:dyDescent="0.25">
      <c r="A11892" s="1" t="s">
        <v>23574</v>
      </c>
      <c r="B11892" s="1" t="str">
        <f>"9781612480268"</f>
        <v>9781612480268</v>
      </c>
      <c r="C11892" s="1" t="s">
        <v>23575</v>
      </c>
      <c r="D11892" s="2">
        <v>40634</v>
      </c>
      <c r="E11892" s="1" t="s">
        <v>23576</v>
      </c>
      <c r="F11892" s="1" t="s">
        <v>13</v>
      </c>
    </row>
    <row r="11893" spans="1:6" ht="30" customHeight="1" x14ac:dyDescent="0.25">
      <c r="A11893" s="1" t="s">
        <v>23577</v>
      </c>
      <c r="B11893" s="1" t="str">
        <f>"9780816599967"</f>
        <v>9780816599967</v>
      </c>
      <c r="C11893" s="1" t="s">
        <v>23578</v>
      </c>
      <c r="D11893" s="2">
        <v>41333</v>
      </c>
      <c r="E11893" s="1" t="s">
        <v>23579</v>
      </c>
      <c r="F11893" s="1" t="s">
        <v>8581</v>
      </c>
    </row>
    <row r="11894" spans="1:6" ht="30" customHeight="1" x14ac:dyDescent="0.25">
      <c r="A11894" s="1" t="s">
        <v>23580</v>
      </c>
      <c r="B11894" s="1" t="str">
        <f>"9780816599585"</f>
        <v>9780816599585</v>
      </c>
      <c r="C11894" s="1" t="s">
        <v>23578</v>
      </c>
      <c r="D11894" s="2">
        <v>40940</v>
      </c>
      <c r="E11894" s="1" t="s">
        <v>23581</v>
      </c>
      <c r="F11894" s="1" t="s">
        <v>137</v>
      </c>
    </row>
    <row r="11895" spans="1:6" ht="30" customHeight="1" x14ac:dyDescent="0.25">
      <c r="A11895" s="1" t="s">
        <v>23582</v>
      </c>
      <c r="B11895" s="1" t="str">
        <f>"9780816599950"</f>
        <v>9780816599950</v>
      </c>
      <c r="C11895" s="1" t="s">
        <v>23578</v>
      </c>
      <c r="D11895" s="2">
        <v>41396</v>
      </c>
      <c r="E11895" s="1" t="s">
        <v>23583</v>
      </c>
      <c r="F11895" s="1" t="s">
        <v>13</v>
      </c>
    </row>
    <row r="11896" spans="1:6" ht="30" customHeight="1" x14ac:dyDescent="0.25">
      <c r="A11896" s="1" t="s">
        <v>23584</v>
      </c>
      <c r="B11896" s="1" t="str">
        <f>"9780816599202"</f>
        <v>9780816599202</v>
      </c>
      <c r="C11896" s="1" t="s">
        <v>23578</v>
      </c>
      <c r="D11896" s="2">
        <v>41577</v>
      </c>
      <c r="E11896" s="1" t="s">
        <v>23585</v>
      </c>
      <c r="F11896" s="1" t="s">
        <v>95</v>
      </c>
    </row>
    <row r="11897" spans="1:6" ht="30" customHeight="1" x14ac:dyDescent="0.25">
      <c r="A11897" s="1" t="s">
        <v>23586</v>
      </c>
      <c r="B11897" s="1" t="str">
        <f>"9780774851398"</f>
        <v>9780774851398</v>
      </c>
      <c r="C11897" s="1" t="s">
        <v>23587</v>
      </c>
      <c r="D11897" s="2">
        <v>38245</v>
      </c>
      <c r="E11897" s="1" t="s">
        <v>23588</v>
      </c>
      <c r="F11897" s="1" t="s">
        <v>95</v>
      </c>
    </row>
    <row r="11898" spans="1:6" ht="30" customHeight="1" x14ac:dyDescent="0.25">
      <c r="A11898" s="1" t="s">
        <v>23589</v>
      </c>
      <c r="B11898" s="1" t="str">
        <f>"9780774854801"</f>
        <v>9780774854801</v>
      </c>
      <c r="C11898" s="1" t="s">
        <v>23587</v>
      </c>
      <c r="D11898" s="2">
        <v>32143</v>
      </c>
      <c r="E11898" s="1" t="s">
        <v>23590</v>
      </c>
      <c r="F11898" s="1" t="s">
        <v>87</v>
      </c>
    </row>
    <row r="11899" spans="1:6" ht="30" customHeight="1" x14ac:dyDescent="0.25">
      <c r="A11899" s="1" t="s">
        <v>23591</v>
      </c>
      <c r="B11899" s="1" t="str">
        <f>"9780774855365"</f>
        <v>9780774855365</v>
      </c>
      <c r="C11899" s="1" t="s">
        <v>23587</v>
      </c>
      <c r="D11899" s="2">
        <v>38838</v>
      </c>
      <c r="E11899" s="1" t="s">
        <v>23592</v>
      </c>
      <c r="F11899" s="1" t="s">
        <v>304</v>
      </c>
    </row>
    <row r="11900" spans="1:6" ht="30" customHeight="1" x14ac:dyDescent="0.25">
      <c r="A11900" s="1" t="s">
        <v>23593</v>
      </c>
      <c r="B11900" s="1" t="str">
        <f>"9780774855389"</f>
        <v>9780774855389</v>
      </c>
      <c r="C11900" s="1" t="s">
        <v>23587</v>
      </c>
      <c r="D11900" s="2">
        <v>39029</v>
      </c>
      <c r="E11900" s="1" t="s">
        <v>23594</v>
      </c>
      <c r="F11900" s="1" t="s">
        <v>95</v>
      </c>
    </row>
    <row r="11901" spans="1:6" ht="30" customHeight="1" x14ac:dyDescent="0.25">
      <c r="A11901" s="1" t="s">
        <v>23595</v>
      </c>
      <c r="B11901" s="1" t="str">
        <f>"9780774857178"</f>
        <v>9780774857178</v>
      </c>
      <c r="C11901" s="1" t="s">
        <v>23587</v>
      </c>
      <c r="D11901" s="2">
        <v>31048</v>
      </c>
      <c r="E11901" s="1" t="s">
        <v>23596</v>
      </c>
      <c r="F11901" s="1" t="s">
        <v>15294</v>
      </c>
    </row>
    <row r="11902" spans="1:6" ht="30" customHeight="1" x14ac:dyDescent="0.25">
      <c r="A11902" s="1" t="s">
        <v>23597</v>
      </c>
      <c r="B11902" s="1" t="str">
        <f>"9780774814782"</f>
        <v>9780774814782</v>
      </c>
      <c r="C11902" s="1" t="s">
        <v>23587</v>
      </c>
      <c r="D11902" s="2">
        <v>39814</v>
      </c>
      <c r="E11902" s="1" t="s">
        <v>19434</v>
      </c>
      <c r="F11902" s="1" t="s">
        <v>95</v>
      </c>
    </row>
    <row r="11903" spans="1:6" ht="30" customHeight="1" x14ac:dyDescent="0.25">
      <c r="A11903" s="1" t="s">
        <v>23598</v>
      </c>
      <c r="B11903" s="1" t="str">
        <f>"9780774855631"</f>
        <v>9780774855631</v>
      </c>
      <c r="C11903" s="1" t="s">
        <v>23587</v>
      </c>
      <c r="D11903" s="2">
        <v>39462</v>
      </c>
      <c r="E11903" s="1" t="s">
        <v>23599</v>
      </c>
      <c r="F11903" s="1" t="s">
        <v>70</v>
      </c>
    </row>
    <row r="11904" spans="1:6" ht="30" customHeight="1" x14ac:dyDescent="0.25">
      <c r="A11904" s="1" t="s">
        <v>23600</v>
      </c>
      <c r="B11904" s="1" t="str">
        <f>"9780774815116"</f>
        <v>9780774815116</v>
      </c>
      <c r="C11904" s="1" t="s">
        <v>23587</v>
      </c>
      <c r="D11904" s="2">
        <v>39728</v>
      </c>
      <c r="E11904" s="1" t="s">
        <v>23601</v>
      </c>
      <c r="F11904" s="1" t="s">
        <v>3787</v>
      </c>
    </row>
    <row r="11905" spans="1:6" ht="30" customHeight="1" x14ac:dyDescent="0.25">
      <c r="A11905" s="1" t="s">
        <v>23602</v>
      </c>
      <c r="B11905" s="1" t="str">
        <f>"9780774815598"</f>
        <v>9780774815598</v>
      </c>
      <c r="C11905" s="1" t="s">
        <v>23587</v>
      </c>
      <c r="D11905" s="2">
        <v>39773</v>
      </c>
      <c r="E11905" s="1" t="s">
        <v>23603</v>
      </c>
      <c r="F11905" s="1" t="s">
        <v>126</v>
      </c>
    </row>
    <row r="11906" spans="1:6" ht="30" customHeight="1" x14ac:dyDescent="0.25">
      <c r="A11906" s="1" t="s">
        <v>23604</v>
      </c>
      <c r="B11906" s="1" t="str">
        <f>"9780774818308"</f>
        <v>9780774818308</v>
      </c>
      <c r="C11906" s="1" t="s">
        <v>23587</v>
      </c>
      <c r="D11906" s="2">
        <v>40479</v>
      </c>
      <c r="E11906" s="1" t="s">
        <v>23605</v>
      </c>
      <c r="F11906" s="1" t="s">
        <v>95</v>
      </c>
    </row>
    <row r="11907" spans="1:6" ht="30" customHeight="1" x14ac:dyDescent="0.25">
      <c r="A11907" s="1" t="s">
        <v>23606</v>
      </c>
      <c r="B11907" s="1" t="str">
        <f>"9780774824347"</f>
        <v>9780774824347</v>
      </c>
      <c r="C11907" s="1" t="s">
        <v>23587</v>
      </c>
      <c r="D11907" s="2">
        <v>41736</v>
      </c>
      <c r="E11907" s="1" t="s">
        <v>23607</v>
      </c>
      <c r="F11907" s="1" t="s">
        <v>13</v>
      </c>
    </row>
    <row r="11908" spans="1:6" ht="30" customHeight="1" x14ac:dyDescent="0.25">
      <c r="A11908" s="1" t="s">
        <v>23608</v>
      </c>
      <c r="B11908" s="1" t="str">
        <f>"9781908258878"</f>
        <v>9781908258878</v>
      </c>
      <c r="C11908" s="1" t="s">
        <v>23609</v>
      </c>
      <c r="D11908" s="2">
        <v>38353</v>
      </c>
      <c r="E11908" s="1" t="s">
        <v>23610</v>
      </c>
      <c r="F11908" s="1" t="s">
        <v>8901</v>
      </c>
    </row>
    <row r="11909" spans="1:6" ht="30" customHeight="1" x14ac:dyDescent="0.25">
      <c r="A11909" s="1" t="s">
        <v>23611</v>
      </c>
      <c r="B11909" s="1" t="str">
        <f>"9781908258861"</f>
        <v>9781908258861</v>
      </c>
      <c r="C11909" s="1" t="s">
        <v>23609</v>
      </c>
      <c r="D11909" s="2">
        <v>41820</v>
      </c>
      <c r="E11909" s="1" t="s">
        <v>23612</v>
      </c>
      <c r="F11909" s="1" t="s">
        <v>30</v>
      </c>
    </row>
    <row r="11910" spans="1:6" ht="30" customHeight="1" x14ac:dyDescent="0.25">
      <c r="A11910" s="1" t="s">
        <v>23613</v>
      </c>
      <c r="B11910" s="1" t="str">
        <f>"9780824864804"</f>
        <v>9780824864804</v>
      </c>
      <c r="C11910" s="1" t="s">
        <v>23614</v>
      </c>
      <c r="D11910" s="2">
        <v>35765</v>
      </c>
      <c r="E11910" s="1" t="s">
        <v>23615</v>
      </c>
      <c r="F11910" s="1" t="s">
        <v>4314</v>
      </c>
    </row>
    <row r="11911" spans="1:6" ht="30" customHeight="1" x14ac:dyDescent="0.25">
      <c r="A11911" s="1" t="s">
        <v>23616</v>
      </c>
      <c r="B11911" s="1" t="str">
        <f>"9780824862916"</f>
        <v>9780824862916</v>
      </c>
      <c r="C11911" s="1" t="s">
        <v>23614</v>
      </c>
      <c r="D11911" s="2">
        <v>39583</v>
      </c>
      <c r="E11911" s="1" t="s">
        <v>23617</v>
      </c>
      <c r="F11911" s="1" t="s">
        <v>5085</v>
      </c>
    </row>
    <row r="11912" spans="1:6" ht="30" customHeight="1" x14ac:dyDescent="0.25">
      <c r="A11912" s="1" t="s">
        <v>23618</v>
      </c>
      <c r="B11912" s="1" t="str">
        <f>"9780824863470"</f>
        <v>9780824863470</v>
      </c>
      <c r="C11912" s="1" t="s">
        <v>23614</v>
      </c>
      <c r="D11912" s="2">
        <v>39577</v>
      </c>
      <c r="E11912" s="1" t="s">
        <v>23619</v>
      </c>
      <c r="F11912" s="1" t="s">
        <v>95</v>
      </c>
    </row>
    <row r="11913" spans="1:6" ht="30" customHeight="1" x14ac:dyDescent="0.25">
      <c r="A11913" s="1" t="s">
        <v>23620</v>
      </c>
      <c r="B11913" s="1" t="str">
        <f>"9780824863913"</f>
        <v>9780824863913</v>
      </c>
      <c r="C11913" s="1" t="s">
        <v>23614</v>
      </c>
      <c r="D11913" s="2">
        <v>39355</v>
      </c>
      <c r="E11913" s="1" t="s">
        <v>23621</v>
      </c>
      <c r="F11913" s="1" t="s">
        <v>70</v>
      </c>
    </row>
    <row r="11914" spans="1:6" ht="30" customHeight="1" x14ac:dyDescent="0.25">
      <c r="A11914" s="1" t="s">
        <v>23622</v>
      </c>
      <c r="B11914" s="1" t="str">
        <f>"9780824861858"</f>
        <v>9780824861858</v>
      </c>
      <c r="C11914" s="1" t="s">
        <v>23614</v>
      </c>
      <c r="D11914" s="2">
        <v>39721</v>
      </c>
      <c r="E11914" s="1" t="s">
        <v>23623</v>
      </c>
      <c r="F11914" s="1" t="s">
        <v>33</v>
      </c>
    </row>
    <row r="11915" spans="1:6" ht="30" customHeight="1" x14ac:dyDescent="0.25">
      <c r="A11915" s="1" t="s">
        <v>23624</v>
      </c>
      <c r="B11915" s="1" t="str">
        <f>"9780824865184"</f>
        <v>9780824865184</v>
      </c>
      <c r="C11915" s="1" t="s">
        <v>23614</v>
      </c>
      <c r="D11915" s="2">
        <v>39141</v>
      </c>
      <c r="E11915" s="1" t="s">
        <v>23625</v>
      </c>
      <c r="F11915" s="1" t="s">
        <v>127</v>
      </c>
    </row>
    <row r="11916" spans="1:6" ht="30" customHeight="1" x14ac:dyDescent="0.25">
      <c r="A11916" s="1" t="s">
        <v>23626</v>
      </c>
      <c r="B11916" s="1" t="str">
        <f>"9780824861971"</f>
        <v>9780824861971</v>
      </c>
      <c r="C11916" s="1" t="s">
        <v>23614</v>
      </c>
      <c r="D11916" s="2">
        <v>39919</v>
      </c>
      <c r="E11916" s="1" t="s">
        <v>23627</v>
      </c>
      <c r="F11916" s="1" t="s">
        <v>4434</v>
      </c>
    </row>
    <row r="11917" spans="1:6" ht="30" customHeight="1" x14ac:dyDescent="0.25">
      <c r="A11917" s="1" t="s">
        <v>23628</v>
      </c>
      <c r="B11917" s="1" t="str">
        <f>"9780824865795"</f>
        <v>9780824865795</v>
      </c>
      <c r="C11917" s="1" t="s">
        <v>23614</v>
      </c>
      <c r="D11917" s="2">
        <v>41296</v>
      </c>
      <c r="E11917" s="1" t="s">
        <v>23629</v>
      </c>
      <c r="F11917" s="1" t="s">
        <v>13</v>
      </c>
    </row>
    <row r="11918" spans="1:6" ht="30" customHeight="1" x14ac:dyDescent="0.25">
      <c r="A11918" s="1" t="s">
        <v>23630</v>
      </c>
      <c r="B11918" s="1" t="str">
        <f>"9780824837976"</f>
        <v>9780824837976</v>
      </c>
      <c r="C11918" s="1" t="s">
        <v>23614</v>
      </c>
      <c r="D11918" s="2">
        <v>41425</v>
      </c>
      <c r="E11918" s="1" t="s">
        <v>23631</v>
      </c>
      <c r="F11918" s="1" t="s">
        <v>70</v>
      </c>
    </row>
    <row r="11919" spans="1:6" ht="30" customHeight="1" x14ac:dyDescent="0.25">
      <c r="A11919" s="1" t="s">
        <v>23632</v>
      </c>
      <c r="B11919" s="1" t="str">
        <f>"9780824865801"</f>
        <v>9780824865801</v>
      </c>
      <c r="C11919" s="1" t="s">
        <v>23614</v>
      </c>
      <c r="D11919" s="2">
        <v>41182</v>
      </c>
      <c r="E11919" s="1" t="s">
        <v>23633</v>
      </c>
      <c r="F11919" s="1" t="s">
        <v>114</v>
      </c>
    </row>
    <row r="11920" spans="1:6" ht="30" customHeight="1" x14ac:dyDescent="0.25">
      <c r="A11920" s="1" t="s">
        <v>23634</v>
      </c>
      <c r="B11920" s="1" t="str">
        <f>"9780824860172"</f>
        <v>9780824860172</v>
      </c>
      <c r="C11920" s="1" t="s">
        <v>23614</v>
      </c>
      <c r="D11920" s="2">
        <v>40816</v>
      </c>
      <c r="E11920" s="1" t="s">
        <v>23635</v>
      </c>
      <c r="F11920" s="1" t="s">
        <v>13</v>
      </c>
    </row>
    <row r="11921" spans="1:6" ht="30" customHeight="1" x14ac:dyDescent="0.25">
      <c r="A11921" s="1" t="s">
        <v>23636</v>
      </c>
      <c r="B11921" s="1" t="str">
        <f>"9780252093159"</f>
        <v>9780252093159</v>
      </c>
      <c r="C11921" s="1" t="s">
        <v>23637</v>
      </c>
      <c r="D11921" s="2">
        <v>40695</v>
      </c>
      <c r="E11921" s="1" t="s">
        <v>23638</v>
      </c>
      <c r="F11921" s="1" t="s">
        <v>541</v>
      </c>
    </row>
    <row r="11922" spans="1:6" ht="30" customHeight="1" x14ac:dyDescent="0.25">
      <c r="A11922" s="1" t="s">
        <v>23639</v>
      </c>
      <c r="B11922" s="1" t="str">
        <f>"9780252092947"</f>
        <v>9780252092947</v>
      </c>
      <c r="C11922" s="1" t="s">
        <v>23637</v>
      </c>
      <c r="D11922" s="2">
        <v>39625</v>
      </c>
      <c r="E11922" s="1" t="s">
        <v>23640</v>
      </c>
      <c r="F11922" s="1" t="s">
        <v>599</v>
      </c>
    </row>
    <row r="11923" spans="1:6" ht="30" customHeight="1" x14ac:dyDescent="0.25">
      <c r="A11923" s="1" t="s">
        <v>23641</v>
      </c>
      <c r="B11923" s="1" t="str">
        <f>"9780252090073"</f>
        <v>9780252090073</v>
      </c>
      <c r="C11923" s="1" t="s">
        <v>23637</v>
      </c>
      <c r="D11923" s="2">
        <v>40487</v>
      </c>
      <c r="E11923" s="1" t="s">
        <v>23642</v>
      </c>
      <c r="F11923" s="1" t="s">
        <v>304</v>
      </c>
    </row>
    <row r="11924" spans="1:6" ht="30" customHeight="1" x14ac:dyDescent="0.25">
      <c r="A11924" s="1" t="s">
        <v>23643</v>
      </c>
      <c r="B11924" s="1" t="str">
        <f>"9780252094071"</f>
        <v>9780252094071</v>
      </c>
      <c r="C11924" s="1" t="s">
        <v>23637</v>
      </c>
      <c r="D11924" s="2">
        <v>41081</v>
      </c>
      <c r="E11924" s="1" t="s">
        <v>23644</v>
      </c>
      <c r="F11924" s="1" t="s">
        <v>176</v>
      </c>
    </row>
    <row r="11925" spans="1:6" ht="30" customHeight="1" x14ac:dyDescent="0.25">
      <c r="A11925" s="1" t="s">
        <v>23645</v>
      </c>
      <c r="B11925" s="1" t="str">
        <f>"9780252092435"</f>
        <v>9780252092435</v>
      </c>
      <c r="C11925" s="1" t="s">
        <v>23637</v>
      </c>
      <c r="D11925" s="2">
        <v>39370</v>
      </c>
      <c r="E11925" s="1" t="s">
        <v>23646</v>
      </c>
      <c r="F11925" s="1" t="s">
        <v>158</v>
      </c>
    </row>
    <row r="11926" spans="1:6" ht="30" customHeight="1" x14ac:dyDescent="0.25">
      <c r="A11926" s="1" t="s">
        <v>23647</v>
      </c>
      <c r="B11926" s="1" t="str">
        <f>"9780252092794"</f>
        <v>9780252092794</v>
      </c>
      <c r="C11926" s="1" t="s">
        <v>23637</v>
      </c>
      <c r="D11926" s="2">
        <v>38026</v>
      </c>
      <c r="E11926" s="1" t="s">
        <v>23648</v>
      </c>
      <c r="F11926" s="1" t="s">
        <v>137</v>
      </c>
    </row>
    <row r="11927" spans="1:6" ht="30" customHeight="1" x14ac:dyDescent="0.25">
      <c r="A11927" s="1" t="s">
        <v>23649</v>
      </c>
      <c r="B11927" s="1" t="str">
        <f>"9780252092381"</f>
        <v>9780252092381</v>
      </c>
      <c r="C11927" s="1" t="s">
        <v>23637</v>
      </c>
      <c r="D11927" s="2">
        <v>38487</v>
      </c>
      <c r="E11927" s="1" t="s">
        <v>23650</v>
      </c>
      <c r="F11927" s="1" t="s">
        <v>13</v>
      </c>
    </row>
    <row r="11928" spans="1:6" ht="30" customHeight="1" x14ac:dyDescent="0.25">
      <c r="A11928" s="1" t="s">
        <v>23651</v>
      </c>
      <c r="B11928" s="1" t="str">
        <f>"9780472021949"</f>
        <v>9780472021949</v>
      </c>
      <c r="C11928" s="1" t="s">
        <v>23652</v>
      </c>
      <c r="D11928" s="2">
        <v>39722</v>
      </c>
      <c r="E11928" s="1" t="s">
        <v>23653</v>
      </c>
      <c r="F11928" s="1" t="s">
        <v>87</v>
      </c>
    </row>
    <row r="11929" spans="1:6" ht="30" customHeight="1" x14ac:dyDescent="0.25">
      <c r="A11929" s="1" t="s">
        <v>23654</v>
      </c>
      <c r="B11929" s="1" t="str">
        <f>"9780472022854"</f>
        <v>9780472022854</v>
      </c>
      <c r="C11929" s="1" t="s">
        <v>23652</v>
      </c>
      <c r="D11929" s="2">
        <v>40067</v>
      </c>
      <c r="E11929" s="1" t="s">
        <v>23655</v>
      </c>
      <c r="F11929" s="1" t="s">
        <v>3261</v>
      </c>
    </row>
    <row r="11930" spans="1:6" ht="30" customHeight="1" x14ac:dyDescent="0.25">
      <c r="A11930" s="1" t="s">
        <v>23656</v>
      </c>
      <c r="B11930" s="1" t="str">
        <f>"9780472023028"</f>
        <v>9780472023028</v>
      </c>
      <c r="C11930" s="1" t="s">
        <v>23652</v>
      </c>
      <c r="D11930" s="2">
        <v>40071</v>
      </c>
      <c r="E11930" s="1" t="s">
        <v>23657</v>
      </c>
      <c r="F11930" s="1" t="s">
        <v>23658</v>
      </c>
    </row>
    <row r="11931" spans="1:6" ht="30" customHeight="1" x14ac:dyDescent="0.25">
      <c r="A11931" s="1" t="s">
        <v>23659</v>
      </c>
      <c r="B11931" s="1" t="str">
        <f>"9780472023523"</f>
        <v>9780472023523</v>
      </c>
      <c r="C11931" s="1" t="s">
        <v>23652</v>
      </c>
      <c r="D11931" s="2">
        <v>40133</v>
      </c>
      <c r="E11931" s="1" t="s">
        <v>23660</v>
      </c>
      <c r="F11931" s="1" t="s">
        <v>95</v>
      </c>
    </row>
    <row r="11932" spans="1:6" ht="30" customHeight="1" x14ac:dyDescent="0.25">
      <c r="A11932" s="1" t="s">
        <v>23661</v>
      </c>
      <c r="B11932" s="1" t="str">
        <f>"9780472025022"</f>
        <v>9780472025022</v>
      </c>
      <c r="C11932" s="1" t="s">
        <v>23652</v>
      </c>
      <c r="D11932" s="2">
        <v>40165</v>
      </c>
      <c r="E11932" s="1" t="s">
        <v>23662</v>
      </c>
      <c r="F11932" s="1" t="s">
        <v>95</v>
      </c>
    </row>
    <row r="11933" spans="1:6" ht="30" customHeight="1" x14ac:dyDescent="0.25">
      <c r="A11933" s="1" t="s">
        <v>23663</v>
      </c>
      <c r="B11933" s="1" t="str">
        <f>"9780472024575"</f>
        <v>9780472024575</v>
      </c>
      <c r="C11933" s="1" t="s">
        <v>23652</v>
      </c>
      <c r="D11933" s="2">
        <v>40165</v>
      </c>
      <c r="E11933" s="1" t="s">
        <v>23664</v>
      </c>
      <c r="F11933" s="1" t="s">
        <v>13</v>
      </c>
    </row>
    <row r="11934" spans="1:6" ht="30" customHeight="1" x14ac:dyDescent="0.25">
      <c r="A11934" s="1" t="s">
        <v>23665</v>
      </c>
      <c r="B11934" s="1" t="str">
        <f>"9780472025039"</f>
        <v>9780472025039</v>
      </c>
      <c r="C11934" s="1" t="s">
        <v>23652</v>
      </c>
      <c r="D11934" s="2">
        <v>40165</v>
      </c>
      <c r="E11934" s="1" t="s">
        <v>23666</v>
      </c>
      <c r="F11934" s="1" t="s">
        <v>158</v>
      </c>
    </row>
    <row r="11935" spans="1:6" ht="30" customHeight="1" x14ac:dyDescent="0.25">
      <c r="A11935" s="1" t="s">
        <v>23667</v>
      </c>
      <c r="B11935" s="1" t="str">
        <f>"9780472024391"</f>
        <v>9780472024391</v>
      </c>
      <c r="C11935" s="1" t="s">
        <v>23652</v>
      </c>
      <c r="D11935" s="2">
        <v>40169</v>
      </c>
      <c r="E11935" s="1" t="s">
        <v>23668</v>
      </c>
      <c r="F11935" s="1" t="s">
        <v>30</v>
      </c>
    </row>
    <row r="11936" spans="1:6" ht="30" customHeight="1" x14ac:dyDescent="0.25">
      <c r="A11936" s="1" t="s">
        <v>23669</v>
      </c>
      <c r="B11936" s="1" t="str">
        <f>"9780472024735"</f>
        <v>9780472024735</v>
      </c>
      <c r="C11936" s="1" t="s">
        <v>23652</v>
      </c>
      <c r="D11936" s="2">
        <v>40169</v>
      </c>
      <c r="E11936" s="1" t="s">
        <v>23670</v>
      </c>
      <c r="F11936" s="1" t="s">
        <v>30</v>
      </c>
    </row>
    <row r="11937" spans="1:6" ht="30" customHeight="1" x14ac:dyDescent="0.25">
      <c r="A11937" s="1" t="s">
        <v>23671</v>
      </c>
      <c r="B11937" s="1" t="str">
        <f>"9780472024681"</f>
        <v>9780472024681</v>
      </c>
      <c r="C11937" s="1" t="s">
        <v>23652</v>
      </c>
      <c r="D11937" s="2">
        <v>40214</v>
      </c>
      <c r="E11937" s="1" t="s">
        <v>23672</v>
      </c>
      <c r="F11937" s="1" t="s">
        <v>5085</v>
      </c>
    </row>
    <row r="11938" spans="1:6" ht="30" customHeight="1" x14ac:dyDescent="0.25">
      <c r="A11938" s="1" t="s">
        <v>23673</v>
      </c>
      <c r="B11938" s="1" t="str">
        <f>"9780472025756"</f>
        <v>9780472025756</v>
      </c>
      <c r="C11938" s="1" t="s">
        <v>23652</v>
      </c>
      <c r="D11938" s="2">
        <v>38718</v>
      </c>
      <c r="E11938" s="1" t="s">
        <v>23674</v>
      </c>
      <c r="F11938" s="1" t="s">
        <v>13</v>
      </c>
    </row>
    <row r="11939" spans="1:6" ht="30" customHeight="1" x14ac:dyDescent="0.25">
      <c r="A11939" s="1" t="s">
        <v>23675</v>
      </c>
      <c r="B11939" s="1" t="str">
        <f>"9780472023820"</f>
        <v>9780472023820</v>
      </c>
      <c r="C11939" s="1" t="s">
        <v>23652</v>
      </c>
      <c r="D11939" s="2">
        <v>39083</v>
      </c>
      <c r="E11939" s="1" t="s">
        <v>23676</v>
      </c>
      <c r="F11939" s="1" t="s">
        <v>599</v>
      </c>
    </row>
    <row r="11940" spans="1:6" ht="30" customHeight="1" x14ac:dyDescent="0.25">
      <c r="A11940" s="1" t="s">
        <v>23677</v>
      </c>
      <c r="B11940" s="1" t="str">
        <f>"9780472023721"</f>
        <v>9780472023721</v>
      </c>
      <c r="C11940" s="1" t="s">
        <v>23652</v>
      </c>
      <c r="D11940" s="2">
        <v>40210</v>
      </c>
      <c r="E11940" s="1" t="s">
        <v>23678</v>
      </c>
      <c r="F11940" s="1" t="s">
        <v>30</v>
      </c>
    </row>
    <row r="11941" spans="1:6" ht="30" customHeight="1" x14ac:dyDescent="0.25">
      <c r="A11941" s="1" t="s">
        <v>23679</v>
      </c>
      <c r="B11941" s="1" t="str">
        <f>"9780472025480"</f>
        <v>9780472025480</v>
      </c>
      <c r="C11941" s="1" t="s">
        <v>23652</v>
      </c>
      <c r="D11941" s="2">
        <v>39391</v>
      </c>
      <c r="E11941" s="1" t="s">
        <v>20422</v>
      </c>
      <c r="F11941" s="1" t="s">
        <v>13</v>
      </c>
    </row>
    <row r="11942" spans="1:6" ht="30" customHeight="1" x14ac:dyDescent="0.25">
      <c r="A11942" s="1" t="s">
        <v>23680</v>
      </c>
      <c r="B11942" s="1" t="str">
        <f>"9780472025046"</f>
        <v>9780472025046</v>
      </c>
      <c r="C11942" s="1" t="s">
        <v>23652</v>
      </c>
      <c r="D11942" s="2">
        <v>40248</v>
      </c>
      <c r="E11942" s="1" t="s">
        <v>23681</v>
      </c>
      <c r="F11942" s="1" t="s">
        <v>214</v>
      </c>
    </row>
    <row r="11943" spans="1:6" ht="30" customHeight="1" x14ac:dyDescent="0.25">
      <c r="A11943" s="1" t="s">
        <v>23682</v>
      </c>
      <c r="B11943" s="1" t="str">
        <f>"9780472024131"</f>
        <v>9780472024131</v>
      </c>
      <c r="C11943" s="1" t="s">
        <v>23652</v>
      </c>
      <c r="D11943" s="2">
        <v>40304</v>
      </c>
      <c r="E11943" s="1" t="s">
        <v>23683</v>
      </c>
      <c r="F11943" s="1" t="s">
        <v>6795</v>
      </c>
    </row>
    <row r="11944" spans="1:6" ht="30" customHeight="1" x14ac:dyDescent="0.25">
      <c r="A11944" s="1" t="s">
        <v>23684</v>
      </c>
      <c r="B11944" s="1" t="str">
        <f>"9780472021932"</f>
        <v>9780472021932</v>
      </c>
      <c r="C11944" s="1" t="s">
        <v>23652</v>
      </c>
      <c r="D11944" s="2">
        <v>37063</v>
      </c>
      <c r="E11944" s="1" t="s">
        <v>23668</v>
      </c>
      <c r="F11944" s="1" t="s">
        <v>148</v>
      </c>
    </row>
    <row r="11945" spans="1:6" ht="30" customHeight="1" x14ac:dyDescent="0.25">
      <c r="A11945" s="1" t="s">
        <v>23685</v>
      </c>
      <c r="B11945" s="1" t="str">
        <f>"9780472027576"</f>
        <v>9780472027576</v>
      </c>
      <c r="C11945" s="1" t="s">
        <v>23652</v>
      </c>
      <c r="D11945" s="2">
        <v>40416</v>
      </c>
      <c r="E11945" s="1" t="s">
        <v>23686</v>
      </c>
      <c r="F11945" s="1" t="s">
        <v>3843</v>
      </c>
    </row>
    <row r="11946" spans="1:6" ht="30" customHeight="1" x14ac:dyDescent="0.25">
      <c r="A11946" s="1" t="s">
        <v>23687</v>
      </c>
      <c r="B11946" s="1" t="str">
        <f>"9780472027989"</f>
        <v>9780472027989</v>
      </c>
      <c r="C11946" s="1" t="s">
        <v>23652</v>
      </c>
      <c r="D11946" s="2">
        <v>40591</v>
      </c>
      <c r="E11946" s="1" t="s">
        <v>23688</v>
      </c>
      <c r="F11946" s="1" t="s">
        <v>13</v>
      </c>
    </row>
    <row r="11947" spans="1:6" ht="30" customHeight="1" x14ac:dyDescent="0.25">
      <c r="A11947" s="1" t="s">
        <v>23689</v>
      </c>
      <c r="B11947" s="1" t="str">
        <f>"9780472028368"</f>
        <v>9780472028368</v>
      </c>
      <c r="C11947" s="1" t="s">
        <v>23652</v>
      </c>
      <c r="D11947" s="2">
        <v>41105</v>
      </c>
      <c r="E11947" s="1" t="s">
        <v>23690</v>
      </c>
      <c r="F11947" s="1" t="s">
        <v>13</v>
      </c>
    </row>
    <row r="11948" spans="1:6" ht="30" customHeight="1" x14ac:dyDescent="0.25">
      <c r="A11948" s="1" t="s">
        <v>23691</v>
      </c>
      <c r="B11948" s="1" t="str">
        <f>"9780472028863"</f>
        <v>9780472028863</v>
      </c>
      <c r="C11948" s="1" t="s">
        <v>23652</v>
      </c>
      <c r="D11948" s="2">
        <v>41302</v>
      </c>
      <c r="E11948" s="1" t="s">
        <v>23692</v>
      </c>
      <c r="F11948" s="1" t="s">
        <v>13</v>
      </c>
    </row>
    <row r="11949" spans="1:6" ht="30" customHeight="1" x14ac:dyDescent="0.25">
      <c r="A11949" s="1" t="s">
        <v>23693</v>
      </c>
      <c r="B11949" s="1" t="str">
        <f>"9780472028979"</f>
        <v>9780472028979</v>
      </c>
      <c r="C11949" s="1" t="s">
        <v>23652</v>
      </c>
      <c r="D11949" s="2">
        <v>41363</v>
      </c>
      <c r="E11949" s="1" t="s">
        <v>23694</v>
      </c>
      <c r="F11949" s="1" t="s">
        <v>13</v>
      </c>
    </row>
    <row r="11950" spans="1:6" ht="30" customHeight="1" x14ac:dyDescent="0.25">
      <c r="A11950" s="1" t="s">
        <v>23695</v>
      </c>
      <c r="B11950" s="1" t="str">
        <f>"9781906534509"</f>
        <v>9781906534509</v>
      </c>
      <c r="C11950" s="1" t="s">
        <v>23696</v>
      </c>
      <c r="D11950" s="2">
        <v>37323</v>
      </c>
      <c r="E11950" s="1" t="s">
        <v>23697</v>
      </c>
      <c r="F11950" s="1" t="s">
        <v>3460</v>
      </c>
    </row>
    <row r="11951" spans="1:6" ht="30" customHeight="1" x14ac:dyDescent="0.25">
      <c r="A11951" s="1" t="s">
        <v>23698</v>
      </c>
      <c r="B11951" s="1" t="str">
        <f>"9781908162328"</f>
        <v>9781908162328</v>
      </c>
      <c r="C11951" s="1" t="s">
        <v>23696</v>
      </c>
      <c r="D11951" s="2">
        <v>41360</v>
      </c>
      <c r="E11951" s="1" t="s">
        <v>23699</v>
      </c>
      <c r="F11951" s="1" t="s">
        <v>13</v>
      </c>
    </row>
    <row r="11952" spans="1:6" ht="30" customHeight="1" x14ac:dyDescent="0.25">
      <c r="A11952" s="1" t="s">
        <v>23700</v>
      </c>
      <c r="B11952" s="1" t="str">
        <f>"9780814335604"</f>
        <v>9780814335604</v>
      </c>
      <c r="C11952" s="1" t="s">
        <v>23701</v>
      </c>
      <c r="D11952" s="2">
        <v>39083</v>
      </c>
      <c r="E11952" s="1" t="s">
        <v>23702</v>
      </c>
      <c r="F11952" s="1" t="s">
        <v>13</v>
      </c>
    </row>
    <row r="11953" spans="1:6" ht="30" customHeight="1" x14ac:dyDescent="0.25">
      <c r="A11953" s="1" t="s">
        <v>23703</v>
      </c>
      <c r="B11953" s="1" t="str">
        <f>""</f>
        <v/>
      </c>
      <c r="C11953" s="1" t="s">
        <v>23704</v>
      </c>
      <c r="D11953" s="2">
        <v>37104</v>
      </c>
      <c r="E11953" s="1" t="s">
        <v>23705</v>
      </c>
      <c r="F11953" s="1" t="s">
        <v>30</v>
      </c>
    </row>
    <row r="11954" spans="1:6" ht="30" customHeight="1" x14ac:dyDescent="0.25">
      <c r="A11954" s="1" t="s">
        <v>23706</v>
      </c>
      <c r="B11954" s="1" t="str">
        <f>""</f>
        <v/>
      </c>
      <c r="C11954" s="1" t="s">
        <v>23704</v>
      </c>
      <c r="D11954" s="2">
        <v>36770</v>
      </c>
      <c r="E11954" s="1" t="s">
        <v>23707</v>
      </c>
      <c r="F11954" s="1" t="s">
        <v>6795</v>
      </c>
    </row>
    <row r="11955" spans="1:6" ht="30" customHeight="1" x14ac:dyDescent="0.25">
      <c r="A11955" s="1" t="s">
        <v>23708</v>
      </c>
      <c r="B11955" s="1" t="str">
        <f>"9780861719853"</f>
        <v>9780861719853</v>
      </c>
      <c r="C11955" s="1" t="s">
        <v>23709</v>
      </c>
      <c r="D11955" s="2">
        <v>39882</v>
      </c>
      <c r="E11955" s="1" t="s">
        <v>23710</v>
      </c>
      <c r="F11955" s="1" t="s">
        <v>13</v>
      </c>
    </row>
    <row r="11956" spans="1:6" ht="30" customHeight="1" x14ac:dyDescent="0.25">
      <c r="A11956" s="1" t="s">
        <v>23711</v>
      </c>
      <c r="B11956" s="1" t="str">
        <f>"9781614290636"</f>
        <v>9781614290636</v>
      </c>
      <c r="C11956" s="1" t="s">
        <v>23709</v>
      </c>
      <c r="D11956" s="2">
        <v>41232</v>
      </c>
      <c r="E11956" s="1" t="s">
        <v>23712</v>
      </c>
      <c r="F11956" s="1" t="s">
        <v>13</v>
      </c>
    </row>
    <row r="11957" spans="1:6" ht="30" customHeight="1" x14ac:dyDescent="0.25">
      <c r="A11957" s="1" t="s">
        <v>23713</v>
      </c>
      <c r="B11957" s="1" t="str">
        <f>"9781469879000"</f>
        <v>9781469879000</v>
      </c>
      <c r="C11957" s="1" t="s">
        <v>16613</v>
      </c>
      <c r="D11957" s="2">
        <v>41222</v>
      </c>
      <c r="E11957" s="1" t="s">
        <v>23714</v>
      </c>
      <c r="F11957" s="1" t="s">
        <v>13</v>
      </c>
    </row>
    <row r="11958" spans="1:6" ht="30" customHeight="1" x14ac:dyDescent="0.25">
      <c r="A11958" s="1" t="s">
        <v>23715</v>
      </c>
      <c r="B11958" s="1" t="str">
        <f>"9781469875910"</f>
        <v>9781469875910</v>
      </c>
      <c r="C11958" s="1" t="s">
        <v>23716</v>
      </c>
      <c r="D11958" s="2">
        <v>39745</v>
      </c>
      <c r="E11958" s="1" t="s">
        <v>20118</v>
      </c>
      <c r="F11958" s="1" t="s">
        <v>13</v>
      </c>
    </row>
    <row r="11959" spans="1:6" ht="30" customHeight="1" x14ac:dyDescent="0.25">
      <c r="A11959" s="1" t="s">
        <v>23717</v>
      </c>
      <c r="B11959" s="1" t="str">
        <f>"9781451116205"</f>
        <v>9781451116205</v>
      </c>
      <c r="C11959" s="1" t="s">
        <v>23716</v>
      </c>
      <c r="D11959" s="2">
        <v>38735</v>
      </c>
      <c r="E11959" s="1" t="s">
        <v>23718</v>
      </c>
      <c r="F11959" s="1" t="s">
        <v>13</v>
      </c>
    </row>
    <row r="11960" spans="1:6" ht="30" customHeight="1" x14ac:dyDescent="0.25">
      <c r="A11960" s="1" t="s">
        <v>23719</v>
      </c>
      <c r="B11960" s="1" t="str">
        <f>"9781469875644"</f>
        <v>9781469875644</v>
      </c>
      <c r="C11960" s="1" t="s">
        <v>23716</v>
      </c>
      <c r="D11960" s="2">
        <v>39713</v>
      </c>
      <c r="E11960" s="1" t="s">
        <v>23720</v>
      </c>
      <c r="F11960" s="1" t="s">
        <v>13</v>
      </c>
    </row>
    <row r="11961" spans="1:6" ht="30" customHeight="1" x14ac:dyDescent="0.25">
      <c r="A11961" s="1" t="s">
        <v>23721</v>
      </c>
      <c r="B11961" s="1" t="str">
        <f>"9781451160468"</f>
        <v>9781451160468</v>
      </c>
      <c r="C11961" s="1" t="s">
        <v>23716</v>
      </c>
      <c r="D11961" s="2">
        <v>40163</v>
      </c>
      <c r="E11961" s="1" t="s">
        <v>23722</v>
      </c>
      <c r="F11961" s="1" t="s">
        <v>13</v>
      </c>
    </row>
    <row r="11962" spans="1:6" ht="30" customHeight="1" x14ac:dyDescent="0.25">
      <c r="A11962" s="1" t="s">
        <v>23723</v>
      </c>
      <c r="B11962" s="1" t="str">
        <f>"9781451157086"</f>
        <v>9781451157086</v>
      </c>
      <c r="C11962" s="1" t="s">
        <v>23716</v>
      </c>
      <c r="D11962" s="2">
        <v>39561</v>
      </c>
      <c r="E11962" s="1" t="s">
        <v>23724</v>
      </c>
      <c r="F11962" s="1" t="s">
        <v>13</v>
      </c>
    </row>
    <row r="11963" spans="1:6" ht="30" customHeight="1" x14ac:dyDescent="0.25">
      <c r="A11963" s="1" t="s">
        <v>23725</v>
      </c>
      <c r="B11963" s="1" t="str">
        <f>"9781451166064"</f>
        <v>9781451166064</v>
      </c>
      <c r="C11963" s="1" t="s">
        <v>23716</v>
      </c>
      <c r="D11963" s="2">
        <v>36059</v>
      </c>
      <c r="E11963" s="1" t="s">
        <v>23726</v>
      </c>
      <c r="F11963" s="1" t="s">
        <v>13</v>
      </c>
    </row>
    <row r="11964" spans="1:6" ht="30" customHeight="1" x14ac:dyDescent="0.25">
      <c r="A11964" s="1" t="s">
        <v>23727</v>
      </c>
      <c r="B11964" s="1" t="str">
        <f>"9781469874715"</f>
        <v>9781469874715</v>
      </c>
      <c r="C11964" s="1" t="s">
        <v>23716</v>
      </c>
      <c r="D11964" s="2">
        <v>41400</v>
      </c>
      <c r="E11964" s="1" t="s">
        <v>23728</v>
      </c>
      <c r="F11964" s="1" t="s">
        <v>13</v>
      </c>
    </row>
    <row r="11965" spans="1:6" ht="30" customHeight="1" x14ac:dyDescent="0.25">
      <c r="A11965" s="1" t="s">
        <v>23729</v>
      </c>
      <c r="B11965" s="1" t="str">
        <f>"9781469874760"</f>
        <v>9781469874760</v>
      </c>
      <c r="C11965" s="1" t="s">
        <v>23716</v>
      </c>
      <c r="D11965" s="2">
        <v>41509</v>
      </c>
      <c r="E11965" s="1" t="s">
        <v>23730</v>
      </c>
      <c r="F11965" s="1" t="s">
        <v>13</v>
      </c>
    </row>
    <row r="11966" spans="1:6" ht="30" customHeight="1" x14ac:dyDescent="0.25">
      <c r="A11966" s="1" t="s">
        <v>23731</v>
      </c>
      <c r="B11966" s="1" t="str">
        <f>"9781469880990"</f>
        <v>9781469880990</v>
      </c>
      <c r="C11966" s="1" t="s">
        <v>23716</v>
      </c>
      <c r="D11966" s="2">
        <v>41199</v>
      </c>
      <c r="E11966" s="1" t="s">
        <v>16720</v>
      </c>
      <c r="F11966" s="1" t="s">
        <v>126</v>
      </c>
    </row>
    <row r="11967" spans="1:6" ht="30" customHeight="1" x14ac:dyDescent="0.25">
      <c r="A11967" s="1" t="s">
        <v>23732</v>
      </c>
      <c r="B11967" s="1" t="str">
        <f>"9781469875125"</f>
        <v>9781469875125</v>
      </c>
      <c r="C11967" s="1" t="s">
        <v>23716</v>
      </c>
      <c r="D11967" s="2">
        <v>41522</v>
      </c>
      <c r="E11967" s="1" t="s">
        <v>23733</v>
      </c>
      <c r="F11967" s="1" t="s">
        <v>13</v>
      </c>
    </row>
    <row r="11968" spans="1:6" ht="30" customHeight="1" x14ac:dyDescent="0.25">
      <c r="A11968" s="1" t="s">
        <v>23734</v>
      </c>
      <c r="B11968" s="1" t="str">
        <f>"9781469831640"</f>
        <v>9781469831640</v>
      </c>
      <c r="C11968" s="1" t="s">
        <v>16613</v>
      </c>
      <c r="D11968" s="2">
        <v>42118</v>
      </c>
      <c r="E11968" s="1" t="s">
        <v>23735</v>
      </c>
      <c r="F11968" s="1" t="s">
        <v>13</v>
      </c>
    </row>
    <row r="11969" spans="1:6" ht="30" customHeight="1" x14ac:dyDescent="0.25">
      <c r="A11969" s="1" t="s">
        <v>23736</v>
      </c>
      <c r="B11969" s="1" t="str">
        <f>"9781451181456"</f>
        <v>9781451181456</v>
      </c>
      <c r="C11969" s="1" t="s">
        <v>23716</v>
      </c>
      <c r="D11969" s="2">
        <v>41080</v>
      </c>
      <c r="E11969" s="1" t="s">
        <v>23737</v>
      </c>
      <c r="F11969" s="1" t="s">
        <v>13</v>
      </c>
    </row>
    <row r="11970" spans="1:6" ht="30" customHeight="1" x14ac:dyDescent="0.25">
      <c r="A11970" s="1" t="s">
        <v>23738</v>
      </c>
      <c r="B11970" s="1" t="str">
        <f>"9781469877228"</f>
        <v>9781469877228</v>
      </c>
      <c r="C11970" s="1" t="s">
        <v>23716</v>
      </c>
      <c r="D11970" s="2">
        <v>41050</v>
      </c>
      <c r="E11970" s="1" t="s">
        <v>23739</v>
      </c>
      <c r="F11970" s="1" t="s">
        <v>13</v>
      </c>
    </row>
    <row r="11971" spans="1:6" ht="30" customHeight="1" x14ac:dyDescent="0.25">
      <c r="A11971" s="1" t="s">
        <v>23740</v>
      </c>
      <c r="B11971" s="1" t="str">
        <f>"9781469874487"</f>
        <v>9781469874487</v>
      </c>
      <c r="C11971" s="1" t="s">
        <v>23716</v>
      </c>
      <c r="D11971" s="2">
        <v>41193</v>
      </c>
      <c r="E11971" s="1" t="s">
        <v>23741</v>
      </c>
      <c r="F11971" s="1" t="s">
        <v>13</v>
      </c>
    </row>
    <row r="11972" spans="1:6" ht="30" customHeight="1" x14ac:dyDescent="0.25">
      <c r="A11972" s="1" t="s">
        <v>23742</v>
      </c>
      <c r="B11972" s="1" t="str">
        <f>"9781469875262"</f>
        <v>9781469875262</v>
      </c>
      <c r="C11972" s="1" t="s">
        <v>16613</v>
      </c>
      <c r="D11972" s="2">
        <v>41540</v>
      </c>
      <c r="E11972" s="1" t="s">
        <v>23743</v>
      </c>
      <c r="F11972" s="1" t="s">
        <v>13</v>
      </c>
    </row>
    <row r="11973" spans="1:6" ht="30" customHeight="1" x14ac:dyDescent="0.25">
      <c r="A11973" s="1" t="s">
        <v>23744</v>
      </c>
      <c r="B11973" s="1" t="str">
        <f>"9781469879727"</f>
        <v>9781469879727</v>
      </c>
      <c r="C11973" s="1" t="s">
        <v>16613</v>
      </c>
      <c r="D11973" s="2">
        <v>41197</v>
      </c>
      <c r="E11973" s="1" t="s">
        <v>23745</v>
      </c>
      <c r="F11973" s="1" t="s">
        <v>13</v>
      </c>
    </row>
    <row r="11974" spans="1:6" ht="30" customHeight="1" x14ac:dyDescent="0.25">
      <c r="A11974" s="1" t="s">
        <v>23746</v>
      </c>
      <c r="B11974" s="1" t="str">
        <f>"9781469876788"</f>
        <v>9781469876788</v>
      </c>
      <c r="C11974" s="1" t="s">
        <v>23716</v>
      </c>
      <c r="D11974" s="2">
        <v>41205</v>
      </c>
      <c r="E11974" s="1" t="s">
        <v>23747</v>
      </c>
      <c r="F11974" s="1" t="s">
        <v>13</v>
      </c>
    </row>
    <row r="11975" spans="1:6" ht="30" customHeight="1" x14ac:dyDescent="0.25">
      <c r="A11975" s="1" t="s">
        <v>23748</v>
      </c>
      <c r="B11975" s="1" t="str">
        <f>"9781469875507"</f>
        <v>9781469875507</v>
      </c>
      <c r="C11975" s="1" t="s">
        <v>23716</v>
      </c>
      <c r="D11975" s="2">
        <v>39870</v>
      </c>
      <c r="E11975" s="1" t="s">
        <v>23749</v>
      </c>
      <c r="F11975" s="1" t="s">
        <v>13</v>
      </c>
    </row>
    <row r="11976" spans="1:6" ht="30" customHeight="1" x14ac:dyDescent="0.25">
      <c r="A11976" s="1" t="s">
        <v>23750</v>
      </c>
      <c r="B11976" s="1" t="str">
        <f>"9781469874036"</f>
        <v>9781469874036</v>
      </c>
      <c r="C11976" s="1" t="s">
        <v>23716</v>
      </c>
      <c r="D11976" s="2">
        <v>41481</v>
      </c>
      <c r="E11976" s="1" t="s">
        <v>23751</v>
      </c>
      <c r="F11976" s="1" t="s">
        <v>13</v>
      </c>
    </row>
    <row r="11977" spans="1:6" ht="30" customHeight="1" x14ac:dyDescent="0.25">
      <c r="A11977" s="1" t="s">
        <v>23752</v>
      </c>
      <c r="B11977" s="1" t="str">
        <f>"9781469874258"</f>
        <v>9781469874258</v>
      </c>
      <c r="C11977" s="1" t="s">
        <v>23716</v>
      </c>
      <c r="D11977" s="2">
        <v>41584</v>
      </c>
      <c r="E11977" s="1" t="s">
        <v>14714</v>
      </c>
      <c r="F11977" s="1" t="s">
        <v>148</v>
      </c>
    </row>
    <row r="11978" spans="1:6" ht="30" customHeight="1" x14ac:dyDescent="0.25">
      <c r="A11978" s="1" t="s">
        <v>23753</v>
      </c>
      <c r="B11978" s="1" t="str">
        <f>"9781469877235"</f>
        <v>9781469877235</v>
      </c>
      <c r="C11978" s="1" t="s">
        <v>23716</v>
      </c>
      <c r="D11978" s="2">
        <v>41190</v>
      </c>
      <c r="E11978" s="1" t="s">
        <v>23754</v>
      </c>
      <c r="F11978" s="1" t="s">
        <v>13</v>
      </c>
    </row>
    <row r="11979" spans="1:6" ht="30" customHeight="1" x14ac:dyDescent="0.25">
      <c r="A11979" s="1" t="s">
        <v>23755</v>
      </c>
      <c r="B11979" s="1" t="str">
        <f>"9781469830278"</f>
        <v>9781469830278</v>
      </c>
      <c r="C11979" s="1" t="s">
        <v>23716</v>
      </c>
      <c r="D11979" s="2">
        <v>40497</v>
      </c>
      <c r="E11979" s="1" t="s">
        <v>23756</v>
      </c>
      <c r="F11979" s="1" t="s">
        <v>13</v>
      </c>
    </row>
    <row r="11980" spans="1:6" ht="30" customHeight="1" x14ac:dyDescent="0.25">
      <c r="A11980" s="1" t="s">
        <v>23757</v>
      </c>
      <c r="B11980" s="1" t="str">
        <f>"9781469874746"</f>
        <v>9781469874746</v>
      </c>
      <c r="C11980" s="1" t="s">
        <v>23716</v>
      </c>
      <c r="D11980" s="2">
        <v>41285</v>
      </c>
      <c r="E11980" s="1" t="s">
        <v>23758</v>
      </c>
      <c r="F11980" s="1" t="s">
        <v>13</v>
      </c>
    </row>
    <row r="11981" spans="1:6" ht="30" customHeight="1" x14ac:dyDescent="0.25">
      <c r="A11981" s="1" t="s">
        <v>23759</v>
      </c>
      <c r="B11981" s="1" t="str">
        <f>"9781469822570"</f>
        <v>9781469822570</v>
      </c>
      <c r="C11981" s="1" t="s">
        <v>23716</v>
      </c>
      <c r="D11981" s="2">
        <v>41267</v>
      </c>
      <c r="E11981" s="1" t="s">
        <v>23760</v>
      </c>
      <c r="F11981" s="1" t="s">
        <v>13</v>
      </c>
    </row>
    <row r="11982" spans="1:6" ht="30" customHeight="1" x14ac:dyDescent="0.25">
      <c r="A11982" s="1" t="s">
        <v>23761</v>
      </c>
      <c r="B11982" s="1" t="str">
        <f>"9781469875255"</f>
        <v>9781469875255</v>
      </c>
      <c r="C11982" s="1" t="s">
        <v>23716</v>
      </c>
      <c r="D11982" s="2">
        <v>41509</v>
      </c>
      <c r="E11982" s="1" t="s">
        <v>23762</v>
      </c>
      <c r="F11982" s="1" t="s">
        <v>13</v>
      </c>
    </row>
    <row r="11983" spans="1:6" ht="30" customHeight="1" x14ac:dyDescent="0.25">
      <c r="A11983" s="1" t="s">
        <v>23763</v>
      </c>
      <c r="B11983" s="1" t="str">
        <f>"9781469880204"</f>
        <v>9781469880204</v>
      </c>
      <c r="C11983" s="1" t="s">
        <v>23716</v>
      </c>
      <c r="D11983" s="2">
        <v>41198</v>
      </c>
      <c r="E11983" s="1" t="s">
        <v>23764</v>
      </c>
      <c r="F11983" s="1" t="s">
        <v>13</v>
      </c>
    </row>
    <row r="11984" spans="1:6" ht="30" customHeight="1" x14ac:dyDescent="0.25">
      <c r="A11984" s="1" t="s">
        <v>23765</v>
      </c>
      <c r="B11984" s="1" t="str">
        <f>"9781469877129"</f>
        <v>9781469877129</v>
      </c>
      <c r="C11984" s="1" t="s">
        <v>23716</v>
      </c>
      <c r="D11984" s="2">
        <v>41537</v>
      </c>
      <c r="E11984" s="1" t="s">
        <v>23766</v>
      </c>
      <c r="F11984" s="1" t="s">
        <v>13</v>
      </c>
    </row>
    <row r="11985" spans="1:6" ht="30" customHeight="1" x14ac:dyDescent="0.25">
      <c r="A11985" s="1" t="s">
        <v>23767</v>
      </c>
      <c r="B11985" s="1" t="str">
        <f>"9781469830032"</f>
        <v>9781469830032</v>
      </c>
      <c r="C11985" s="1" t="s">
        <v>23716</v>
      </c>
      <c r="D11985" s="2">
        <v>39541</v>
      </c>
      <c r="E11985" s="1" t="s">
        <v>23756</v>
      </c>
      <c r="F11985" s="1" t="s">
        <v>13</v>
      </c>
    </row>
    <row r="11986" spans="1:6" ht="30" customHeight="1" x14ac:dyDescent="0.25">
      <c r="A11986" s="1" t="s">
        <v>23768</v>
      </c>
      <c r="B11986" s="1" t="str">
        <f>"9781469880624"</f>
        <v>9781469880624</v>
      </c>
      <c r="C11986" s="1" t="s">
        <v>23716</v>
      </c>
      <c r="D11986" s="2">
        <v>40787</v>
      </c>
      <c r="E11986" s="1" t="s">
        <v>23769</v>
      </c>
      <c r="F11986" s="1" t="s">
        <v>13</v>
      </c>
    </row>
    <row r="11987" spans="1:6" ht="30" customHeight="1" x14ac:dyDescent="0.25">
      <c r="A11987" s="1" t="s">
        <v>23770</v>
      </c>
      <c r="B11987" s="1" t="str">
        <f>"9781469877105"</f>
        <v>9781469877105</v>
      </c>
      <c r="C11987" s="1" t="s">
        <v>23716</v>
      </c>
      <c r="D11987" s="2">
        <v>41001</v>
      </c>
      <c r="E11987" s="1" t="s">
        <v>23771</v>
      </c>
      <c r="F11987" s="1" t="s">
        <v>13</v>
      </c>
    </row>
    <row r="11988" spans="1:6" ht="30" customHeight="1" x14ac:dyDescent="0.25">
      <c r="A11988" s="1" t="s">
        <v>23772</v>
      </c>
      <c r="B11988" s="1" t="str">
        <f>"9781469880235"</f>
        <v>9781469880235</v>
      </c>
      <c r="C11988" s="1" t="s">
        <v>16613</v>
      </c>
      <c r="D11988" s="2">
        <v>41247</v>
      </c>
      <c r="E11988" s="1" t="s">
        <v>23773</v>
      </c>
      <c r="F11988" s="1" t="s">
        <v>13</v>
      </c>
    </row>
    <row r="11989" spans="1:6" ht="30" customHeight="1" x14ac:dyDescent="0.25">
      <c r="A11989" s="1" t="s">
        <v>23774</v>
      </c>
      <c r="B11989" s="1" t="str">
        <f>"9781469880259"</f>
        <v>9781469880259</v>
      </c>
      <c r="C11989" s="1" t="s">
        <v>16613</v>
      </c>
      <c r="D11989" s="2">
        <v>41577</v>
      </c>
      <c r="E11989" s="1" t="s">
        <v>23775</v>
      </c>
      <c r="F11989" s="1" t="s">
        <v>13</v>
      </c>
    </row>
    <row r="11990" spans="1:6" ht="30" customHeight="1" x14ac:dyDescent="0.25">
      <c r="A11990" s="1" t="s">
        <v>23776</v>
      </c>
      <c r="B11990" s="1" t="str">
        <f>"9781469875699"</f>
        <v>9781469875699</v>
      </c>
      <c r="C11990" s="1" t="s">
        <v>23716</v>
      </c>
      <c r="D11990" s="2">
        <v>41401</v>
      </c>
      <c r="E11990" s="1" t="s">
        <v>23777</v>
      </c>
      <c r="F11990" s="1" t="s">
        <v>13</v>
      </c>
    </row>
    <row r="11991" spans="1:6" ht="30" customHeight="1" x14ac:dyDescent="0.25">
      <c r="A11991" s="1" t="s">
        <v>23778</v>
      </c>
      <c r="B11991" s="1" t="str">
        <f>"9781469875521"</f>
        <v>9781469875521</v>
      </c>
      <c r="C11991" s="1" t="s">
        <v>23716</v>
      </c>
      <c r="D11991" s="2">
        <v>41192</v>
      </c>
      <c r="E11991" s="1" t="s">
        <v>23779</v>
      </c>
      <c r="F11991" s="1" t="s">
        <v>13</v>
      </c>
    </row>
    <row r="11992" spans="1:6" ht="30" customHeight="1" x14ac:dyDescent="0.25">
      <c r="A11992" s="1" t="s">
        <v>16772</v>
      </c>
      <c r="B11992" s="1" t="str">
        <f>"9781469826998"</f>
        <v>9781469826998</v>
      </c>
      <c r="C11992" s="1" t="s">
        <v>23716</v>
      </c>
      <c r="D11992" s="2">
        <v>39818</v>
      </c>
      <c r="E11992" s="1" t="s">
        <v>16773</v>
      </c>
      <c r="F11992" s="1" t="s">
        <v>126</v>
      </c>
    </row>
    <row r="11993" spans="1:6" ht="30" customHeight="1" x14ac:dyDescent="0.25">
      <c r="A11993" s="1" t="s">
        <v>23780</v>
      </c>
      <c r="B11993" s="1" t="str">
        <f>"9781451179019"</f>
        <v>9781451179019</v>
      </c>
      <c r="C11993" s="1" t="s">
        <v>16613</v>
      </c>
      <c r="D11993" s="2">
        <v>41249</v>
      </c>
      <c r="E11993" s="1" t="s">
        <v>23781</v>
      </c>
      <c r="F11993" s="1" t="s">
        <v>126</v>
      </c>
    </row>
    <row r="11994" spans="1:6" ht="30" customHeight="1" x14ac:dyDescent="0.25">
      <c r="A11994" s="1" t="s">
        <v>23782</v>
      </c>
      <c r="B11994" s="1" t="str">
        <f>"9781469877648"</f>
        <v>9781469877648</v>
      </c>
      <c r="C11994" s="1" t="s">
        <v>23716</v>
      </c>
      <c r="D11994" s="2">
        <v>41004</v>
      </c>
      <c r="E11994" s="1" t="s">
        <v>16841</v>
      </c>
      <c r="F11994" s="1" t="s">
        <v>13</v>
      </c>
    </row>
    <row r="11995" spans="1:6" ht="30" customHeight="1" x14ac:dyDescent="0.25">
      <c r="A11995" s="1" t="s">
        <v>23783</v>
      </c>
      <c r="B11995" s="1" t="str">
        <f>"9781469880228"</f>
        <v>9781469880228</v>
      </c>
      <c r="C11995" s="1" t="s">
        <v>23716</v>
      </c>
      <c r="D11995" s="2">
        <v>40893</v>
      </c>
      <c r="E11995" s="1" t="s">
        <v>23784</v>
      </c>
      <c r="F11995" s="1" t="s">
        <v>13</v>
      </c>
    </row>
    <row r="11996" spans="1:6" ht="30" customHeight="1" x14ac:dyDescent="0.25">
      <c r="A11996" s="1" t="s">
        <v>23785</v>
      </c>
      <c r="B11996" s="1" t="str">
        <f>"9781469875132"</f>
        <v>9781469875132</v>
      </c>
      <c r="C11996" s="1" t="s">
        <v>23716</v>
      </c>
      <c r="D11996" s="2">
        <v>41547</v>
      </c>
      <c r="E11996" s="1" t="s">
        <v>23786</v>
      </c>
      <c r="F11996" s="1" t="s">
        <v>13</v>
      </c>
    </row>
    <row r="11997" spans="1:6" ht="30" customHeight="1" x14ac:dyDescent="0.25">
      <c r="A11997" s="1" t="s">
        <v>23787</v>
      </c>
      <c r="B11997" s="1" t="str">
        <f>"9781469876801"</f>
        <v>9781469876801</v>
      </c>
      <c r="C11997" s="1" t="s">
        <v>23716</v>
      </c>
      <c r="D11997" s="2">
        <v>41191</v>
      </c>
      <c r="E11997" s="1" t="s">
        <v>23788</v>
      </c>
      <c r="F11997" s="1" t="s">
        <v>13</v>
      </c>
    </row>
    <row r="11998" spans="1:6" ht="30" customHeight="1" x14ac:dyDescent="0.25">
      <c r="A11998" s="1" t="s">
        <v>23789</v>
      </c>
      <c r="B11998" s="1" t="str">
        <f>"9781469874043"</f>
        <v>9781469874043</v>
      </c>
      <c r="C11998" s="1" t="s">
        <v>23716</v>
      </c>
      <c r="D11998" s="2">
        <v>41498</v>
      </c>
      <c r="E11998" s="1" t="s">
        <v>23790</v>
      </c>
      <c r="F11998" s="1" t="s">
        <v>13</v>
      </c>
    </row>
    <row r="11999" spans="1:6" ht="30" customHeight="1" x14ac:dyDescent="0.25">
      <c r="A11999" s="1" t="s">
        <v>23791</v>
      </c>
      <c r="B11999" s="1" t="str">
        <f>"9781469877860"</f>
        <v>9781469877860</v>
      </c>
      <c r="C11999" s="1" t="s">
        <v>23716</v>
      </c>
      <c r="D11999" s="2">
        <v>40889</v>
      </c>
      <c r="E11999" s="1" t="s">
        <v>23792</v>
      </c>
      <c r="F11999" s="1" t="s">
        <v>13</v>
      </c>
    </row>
    <row r="12000" spans="1:6" ht="30" customHeight="1" x14ac:dyDescent="0.25">
      <c r="A12000" s="1" t="s">
        <v>23793</v>
      </c>
      <c r="B12000" s="1" t="str">
        <f>"9781451115628"</f>
        <v>9781451115628</v>
      </c>
      <c r="C12000" s="1" t="s">
        <v>23716</v>
      </c>
      <c r="D12000" s="2">
        <v>37530</v>
      </c>
      <c r="E12000" s="1" t="s">
        <v>16778</v>
      </c>
      <c r="F12000" s="1" t="s">
        <v>13</v>
      </c>
    </row>
    <row r="12001" spans="1:6" ht="30" customHeight="1" x14ac:dyDescent="0.25">
      <c r="A12001" s="1" t="s">
        <v>23794</v>
      </c>
      <c r="B12001" s="1" t="str">
        <f>"9781451167085"</f>
        <v>9781451167085</v>
      </c>
      <c r="C12001" s="1" t="s">
        <v>23716</v>
      </c>
      <c r="D12001" s="2">
        <v>38628</v>
      </c>
      <c r="E12001" s="1" t="s">
        <v>23795</v>
      </c>
      <c r="F12001" s="1" t="s">
        <v>137</v>
      </c>
    </row>
    <row r="12002" spans="1:6" ht="30" customHeight="1" x14ac:dyDescent="0.25">
      <c r="A12002" s="1" t="s">
        <v>23796</v>
      </c>
      <c r="B12002" s="1" t="str">
        <f>"9781469876955"</f>
        <v>9781469876955</v>
      </c>
      <c r="C12002" s="1" t="s">
        <v>23716</v>
      </c>
      <c r="D12002" s="2">
        <v>40176</v>
      </c>
      <c r="E12002" s="1" t="s">
        <v>23797</v>
      </c>
      <c r="F12002" s="1" t="s">
        <v>13</v>
      </c>
    </row>
    <row r="12003" spans="1:6" ht="30" customHeight="1" x14ac:dyDescent="0.25">
      <c r="A12003" s="1" t="s">
        <v>23798</v>
      </c>
      <c r="B12003" s="1" t="str">
        <f>"9781469876962"</f>
        <v>9781469876962</v>
      </c>
      <c r="C12003" s="1" t="s">
        <v>23716</v>
      </c>
      <c r="D12003" s="2">
        <v>40893</v>
      </c>
      <c r="E12003" s="1" t="s">
        <v>23799</v>
      </c>
      <c r="F12003" s="1" t="s">
        <v>13</v>
      </c>
    </row>
    <row r="12004" spans="1:6" ht="30" customHeight="1" x14ac:dyDescent="0.25">
      <c r="A12004" s="1" t="s">
        <v>23800</v>
      </c>
      <c r="B12004" s="1" t="str">
        <f>"9781469874364"</f>
        <v>9781469874364</v>
      </c>
      <c r="C12004" s="1" t="s">
        <v>23716</v>
      </c>
      <c r="D12004" s="2">
        <v>38443</v>
      </c>
      <c r="E12004" s="1" t="s">
        <v>23801</v>
      </c>
      <c r="F12004" s="1" t="s">
        <v>95</v>
      </c>
    </row>
    <row r="12005" spans="1:6" ht="30" customHeight="1" x14ac:dyDescent="0.25">
      <c r="A12005" s="1" t="s">
        <v>23802</v>
      </c>
      <c r="B12005" s="1" t="str">
        <f>"9781451166538"</f>
        <v>9781451166538</v>
      </c>
      <c r="C12005" s="1" t="s">
        <v>23716</v>
      </c>
      <c r="D12005" s="2">
        <v>40163</v>
      </c>
      <c r="E12005" s="1" t="s">
        <v>23803</v>
      </c>
      <c r="F12005" s="1" t="s">
        <v>13</v>
      </c>
    </row>
    <row r="12006" spans="1:6" ht="30" customHeight="1" x14ac:dyDescent="0.25">
      <c r="A12006" s="1" t="s">
        <v>23804</v>
      </c>
      <c r="B12006" s="1" t="str">
        <f>"9781451166354"</f>
        <v>9781451166354</v>
      </c>
      <c r="C12006" s="1" t="s">
        <v>23716</v>
      </c>
      <c r="D12006" s="2">
        <v>38608</v>
      </c>
      <c r="E12006" s="1" t="s">
        <v>23805</v>
      </c>
      <c r="F12006" s="1" t="s">
        <v>137</v>
      </c>
    </row>
    <row r="12007" spans="1:6" ht="30" customHeight="1" x14ac:dyDescent="0.25">
      <c r="A12007" s="1" t="s">
        <v>23806</v>
      </c>
      <c r="B12007" s="1" t="str">
        <f>"9781469877600"</f>
        <v>9781469877600</v>
      </c>
      <c r="C12007" s="1" t="s">
        <v>23716</v>
      </c>
      <c r="D12007" s="2">
        <v>41031</v>
      </c>
      <c r="E12007" s="1" t="s">
        <v>23807</v>
      </c>
      <c r="F12007" s="1" t="s">
        <v>13</v>
      </c>
    </row>
    <row r="12008" spans="1:6" ht="30" customHeight="1" x14ac:dyDescent="0.25">
      <c r="A12008" s="1" t="s">
        <v>23808</v>
      </c>
      <c r="B12008" s="1" t="str">
        <f>"9781469874340"</f>
        <v>9781469874340</v>
      </c>
      <c r="C12008" s="1" t="s">
        <v>23716</v>
      </c>
      <c r="D12008" s="2">
        <v>38608</v>
      </c>
      <c r="E12008" s="1" t="s">
        <v>23809</v>
      </c>
      <c r="F12008" s="1" t="s">
        <v>158</v>
      </c>
    </row>
    <row r="12009" spans="1:6" ht="30" customHeight="1" x14ac:dyDescent="0.25">
      <c r="A12009" s="1" t="s">
        <v>23810</v>
      </c>
      <c r="B12009" s="1" t="str">
        <f>"9781451166392"</f>
        <v>9781451166392</v>
      </c>
      <c r="C12009" s="1" t="s">
        <v>23716</v>
      </c>
      <c r="D12009" s="2">
        <v>38294</v>
      </c>
      <c r="E12009" s="1" t="s">
        <v>23811</v>
      </c>
      <c r="F12009" s="1" t="s">
        <v>13</v>
      </c>
    </row>
    <row r="12010" spans="1:6" ht="30" customHeight="1" x14ac:dyDescent="0.25">
      <c r="A12010" s="1" t="s">
        <v>23812</v>
      </c>
      <c r="B12010" s="1" t="str">
        <f>"9781469806303"</f>
        <v>9781469806303</v>
      </c>
      <c r="C12010" s="1" t="s">
        <v>23716</v>
      </c>
      <c r="D12010" s="2">
        <v>40031</v>
      </c>
      <c r="E12010" s="1" t="s">
        <v>23813</v>
      </c>
      <c r="F12010" s="1" t="s">
        <v>13</v>
      </c>
    </row>
    <row r="12011" spans="1:6" ht="30" customHeight="1" x14ac:dyDescent="0.25">
      <c r="A12011" s="1" t="s">
        <v>23814</v>
      </c>
      <c r="B12011" s="1" t="str">
        <f>"9781451166071"</f>
        <v>9781451166071</v>
      </c>
      <c r="C12011" s="1" t="s">
        <v>23716</v>
      </c>
      <c r="D12011" s="2">
        <v>40120</v>
      </c>
      <c r="E12011" s="1" t="s">
        <v>23815</v>
      </c>
      <c r="F12011" s="1" t="s">
        <v>13</v>
      </c>
    </row>
    <row r="12012" spans="1:6" ht="30" customHeight="1" x14ac:dyDescent="0.25">
      <c r="A12012" s="1" t="s">
        <v>23816</v>
      </c>
      <c r="B12012" s="1" t="str">
        <f>"9781469875057"</f>
        <v>9781469875057</v>
      </c>
      <c r="C12012" s="1" t="s">
        <v>23716</v>
      </c>
      <c r="D12012" s="2">
        <v>40483</v>
      </c>
      <c r="E12012" s="1" t="s">
        <v>23817</v>
      </c>
      <c r="F12012" s="1" t="s">
        <v>13</v>
      </c>
    </row>
    <row r="12013" spans="1:6" ht="30" customHeight="1" x14ac:dyDescent="0.25">
      <c r="A12013" s="1" t="s">
        <v>23818</v>
      </c>
      <c r="B12013" s="1" t="str">
        <f>"9781469821498"</f>
        <v>9781469821498</v>
      </c>
      <c r="C12013" s="1" t="s">
        <v>23716</v>
      </c>
      <c r="D12013" s="2">
        <v>41197</v>
      </c>
      <c r="E12013" s="1" t="s">
        <v>23819</v>
      </c>
      <c r="F12013" s="1" t="s">
        <v>13</v>
      </c>
    </row>
    <row r="12014" spans="1:6" ht="30" customHeight="1" x14ac:dyDescent="0.25">
      <c r="A12014" s="1" t="s">
        <v>23820</v>
      </c>
      <c r="B12014" s="1" t="str">
        <f>"9781469876771"</f>
        <v>9781469876771</v>
      </c>
      <c r="C12014" s="1" t="s">
        <v>23716</v>
      </c>
      <c r="D12014" s="2">
        <v>38651</v>
      </c>
      <c r="E12014" s="1" t="s">
        <v>23821</v>
      </c>
      <c r="F12014" s="1" t="s">
        <v>13</v>
      </c>
    </row>
    <row r="12015" spans="1:6" ht="30" customHeight="1" x14ac:dyDescent="0.25">
      <c r="A12015" s="1" t="s">
        <v>23822</v>
      </c>
      <c r="B12015" s="1" t="str">
        <f>"9781451167177"</f>
        <v>9781451167177</v>
      </c>
      <c r="C12015" s="1" t="s">
        <v>23716</v>
      </c>
      <c r="D12015" s="2">
        <v>38636</v>
      </c>
      <c r="E12015" s="1" t="s">
        <v>23823</v>
      </c>
      <c r="F12015" s="1" t="s">
        <v>13</v>
      </c>
    </row>
    <row r="12016" spans="1:6" ht="30" customHeight="1" x14ac:dyDescent="0.25">
      <c r="A12016" s="1" t="s">
        <v>23824</v>
      </c>
      <c r="B12016" s="1" t="str">
        <f>"9781451166040"</f>
        <v>9781451166040</v>
      </c>
      <c r="C12016" s="1" t="s">
        <v>23716</v>
      </c>
      <c r="D12016" s="2">
        <v>38694</v>
      </c>
      <c r="E12016" s="1" t="s">
        <v>23825</v>
      </c>
      <c r="F12016" s="1" t="s">
        <v>13</v>
      </c>
    </row>
    <row r="12017" spans="1:6" ht="30" customHeight="1" x14ac:dyDescent="0.25">
      <c r="A12017" s="1" t="s">
        <v>23826</v>
      </c>
      <c r="B12017" s="1" t="str">
        <f>"9781469875668"</f>
        <v>9781469875668</v>
      </c>
      <c r="C12017" s="1" t="s">
        <v>23716</v>
      </c>
      <c r="D12017" s="2">
        <v>41522</v>
      </c>
      <c r="E12017" s="1" t="s">
        <v>23827</v>
      </c>
      <c r="F12017" s="1" t="s">
        <v>13</v>
      </c>
    </row>
    <row r="12018" spans="1:6" ht="30" customHeight="1" x14ac:dyDescent="0.25">
      <c r="A12018" s="1" t="s">
        <v>23828</v>
      </c>
      <c r="B12018" s="1" t="str">
        <f>"9781451166842"</f>
        <v>9781451166842</v>
      </c>
      <c r="C12018" s="1" t="s">
        <v>23716</v>
      </c>
      <c r="D12018" s="2">
        <v>38342</v>
      </c>
      <c r="E12018" s="1" t="s">
        <v>23829</v>
      </c>
      <c r="F12018" s="1" t="s">
        <v>13</v>
      </c>
    </row>
    <row r="12019" spans="1:6" ht="30" customHeight="1" x14ac:dyDescent="0.25">
      <c r="A12019" s="1" t="s">
        <v>23830</v>
      </c>
      <c r="B12019" s="1" t="str">
        <f>"9781469874685"</f>
        <v>9781469874685</v>
      </c>
      <c r="C12019" s="1" t="s">
        <v>23716</v>
      </c>
      <c r="D12019" s="2">
        <v>41045</v>
      </c>
      <c r="E12019" s="1" t="s">
        <v>23831</v>
      </c>
      <c r="F12019" s="1" t="s">
        <v>13</v>
      </c>
    </row>
    <row r="12020" spans="1:6" ht="30" customHeight="1" x14ac:dyDescent="0.25">
      <c r="A12020" s="1" t="s">
        <v>23832</v>
      </c>
      <c r="B12020" s="1" t="str">
        <f>"9781451167009"</f>
        <v>9781451167009</v>
      </c>
      <c r="C12020" s="1" t="s">
        <v>23716</v>
      </c>
      <c r="D12020" s="2">
        <v>40114</v>
      </c>
      <c r="E12020" s="1" t="s">
        <v>23833</v>
      </c>
      <c r="F12020" s="1" t="s">
        <v>13</v>
      </c>
    </row>
    <row r="12021" spans="1:6" ht="30" customHeight="1" x14ac:dyDescent="0.25">
      <c r="A12021" s="1" t="s">
        <v>23834</v>
      </c>
      <c r="B12021" s="1" t="str">
        <f>"9781469875484"</f>
        <v>9781469875484</v>
      </c>
      <c r="C12021" s="1" t="s">
        <v>23716</v>
      </c>
      <c r="D12021" s="2">
        <v>40455</v>
      </c>
      <c r="E12021" s="1" t="s">
        <v>23835</v>
      </c>
      <c r="F12021" s="1" t="s">
        <v>137</v>
      </c>
    </row>
    <row r="12022" spans="1:6" ht="30" customHeight="1" x14ac:dyDescent="0.25">
      <c r="A12022" s="1" t="s">
        <v>23836</v>
      </c>
      <c r="B12022" s="1" t="str">
        <f>"9781451168129"</f>
        <v>9781451168129</v>
      </c>
      <c r="C12022" s="1" t="s">
        <v>23716</v>
      </c>
      <c r="D12022" s="2">
        <v>38657</v>
      </c>
      <c r="E12022" s="1" t="s">
        <v>23837</v>
      </c>
      <c r="F12022" s="1" t="s">
        <v>13</v>
      </c>
    </row>
    <row r="12023" spans="1:6" ht="30" customHeight="1" x14ac:dyDescent="0.25">
      <c r="A12023" s="1" t="s">
        <v>23838</v>
      </c>
      <c r="B12023" s="1" t="str">
        <f>"9781469877242"</f>
        <v>9781469877242</v>
      </c>
      <c r="C12023" s="1" t="s">
        <v>23716</v>
      </c>
      <c r="D12023" s="2">
        <v>39188</v>
      </c>
      <c r="E12023" s="1" t="s">
        <v>23839</v>
      </c>
      <c r="F12023" s="1" t="s">
        <v>13</v>
      </c>
    </row>
    <row r="12024" spans="1:6" ht="30" customHeight="1" x14ac:dyDescent="0.25">
      <c r="A12024" s="1" t="s">
        <v>23840</v>
      </c>
      <c r="B12024" s="1" t="str">
        <f>"9781469879321"</f>
        <v>9781469879321</v>
      </c>
      <c r="C12024" s="1" t="s">
        <v>23716</v>
      </c>
      <c r="D12024" s="2">
        <v>41365</v>
      </c>
      <c r="E12024" s="1" t="s">
        <v>23841</v>
      </c>
      <c r="F12024" s="1" t="s">
        <v>13</v>
      </c>
    </row>
    <row r="12025" spans="1:6" ht="30" customHeight="1" x14ac:dyDescent="0.25">
      <c r="A12025" s="1" t="s">
        <v>23842</v>
      </c>
      <c r="B12025" s="1" t="str">
        <f>"9781469877532"</f>
        <v>9781469877532</v>
      </c>
      <c r="C12025" s="1" t="s">
        <v>23716</v>
      </c>
      <c r="D12025" s="2">
        <v>40150</v>
      </c>
      <c r="E12025" s="1" t="s">
        <v>23843</v>
      </c>
      <c r="F12025" s="1" t="s">
        <v>13</v>
      </c>
    </row>
    <row r="12026" spans="1:6" ht="30" customHeight="1" x14ac:dyDescent="0.25">
      <c r="A12026" s="1" t="s">
        <v>23844</v>
      </c>
      <c r="B12026" s="1" t="str">
        <f>"9781469813950"</f>
        <v>9781469813950</v>
      </c>
      <c r="C12026" s="1" t="s">
        <v>23716</v>
      </c>
      <c r="D12026" s="2">
        <v>41167</v>
      </c>
      <c r="E12026" s="1" t="s">
        <v>16731</v>
      </c>
      <c r="F12026" s="1" t="s">
        <v>13</v>
      </c>
    </row>
    <row r="12027" spans="1:6" ht="30" customHeight="1" x14ac:dyDescent="0.25">
      <c r="A12027" s="1" t="s">
        <v>23845</v>
      </c>
      <c r="B12027" s="1" t="str">
        <f>"9781451166866"</f>
        <v>9781451166866</v>
      </c>
      <c r="C12027" s="1" t="s">
        <v>23716</v>
      </c>
      <c r="D12027" s="2">
        <v>40112</v>
      </c>
      <c r="E12027" s="1" t="s">
        <v>23846</v>
      </c>
      <c r="F12027" s="1" t="s">
        <v>13</v>
      </c>
    </row>
    <row r="12028" spans="1:6" ht="30" customHeight="1" x14ac:dyDescent="0.25">
      <c r="A12028" s="1" t="s">
        <v>23847</v>
      </c>
      <c r="B12028" s="1" t="str">
        <f>"9781451168150"</f>
        <v>9781451168150</v>
      </c>
      <c r="C12028" s="1" t="s">
        <v>23716</v>
      </c>
      <c r="D12028" s="2">
        <v>38615</v>
      </c>
      <c r="E12028" s="1" t="s">
        <v>23848</v>
      </c>
      <c r="F12028" s="1" t="s">
        <v>13</v>
      </c>
    </row>
    <row r="12029" spans="1:6" ht="30" customHeight="1" x14ac:dyDescent="0.25">
      <c r="A12029" s="1" t="s">
        <v>23849</v>
      </c>
      <c r="B12029" s="1" t="str">
        <f>"9781469880037"</f>
        <v>9781469880037</v>
      </c>
      <c r="C12029" s="1" t="s">
        <v>23716</v>
      </c>
      <c r="D12029" s="2">
        <v>38989</v>
      </c>
      <c r="E12029" s="1" t="s">
        <v>23850</v>
      </c>
      <c r="F12029" s="1" t="s">
        <v>13</v>
      </c>
    </row>
    <row r="12030" spans="1:6" ht="30" customHeight="1" x14ac:dyDescent="0.25">
      <c r="A12030" s="1" t="s">
        <v>23851</v>
      </c>
      <c r="B12030" s="1" t="str">
        <f>"9781451166118"</f>
        <v>9781451166118</v>
      </c>
      <c r="C12030" s="1" t="s">
        <v>16613</v>
      </c>
      <c r="D12030" s="2">
        <v>41173</v>
      </c>
      <c r="E12030" s="1" t="s">
        <v>23852</v>
      </c>
      <c r="F12030" s="1" t="s">
        <v>13</v>
      </c>
    </row>
    <row r="12031" spans="1:6" ht="30" customHeight="1" x14ac:dyDescent="0.25">
      <c r="A12031" s="1" t="s">
        <v>23853</v>
      </c>
      <c r="B12031" s="1" t="str">
        <f>"9781469878881"</f>
        <v>9781469878881</v>
      </c>
      <c r="C12031" s="1" t="s">
        <v>23716</v>
      </c>
      <c r="D12031" s="2">
        <v>37926</v>
      </c>
      <c r="E12031" s="1" t="s">
        <v>23854</v>
      </c>
      <c r="F12031" s="1" t="s">
        <v>13</v>
      </c>
    </row>
    <row r="12032" spans="1:6" ht="30" customHeight="1" x14ac:dyDescent="0.25">
      <c r="A12032" s="1" t="s">
        <v>23855</v>
      </c>
      <c r="B12032" s="1" t="str">
        <f>"9781469831183"</f>
        <v>9781469831183</v>
      </c>
      <c r="C12032" s="1" t="s">
        <v>23716</v>
      </c>
      <c r="D12032" s="2">
        <v>41632</v>
      </c>
      <c r="E12032" s="1" t="s">
        <v>23856</v>
      </c>
      <c r="F12032" s="1" t="s">
        <v>13</v>
      </c>
    </row>
    <row r="12033" spans="1:6" ht="30" customHeight="1" x14ac:dyDescent="0.25">
      <c r="A12033" s="1" t="s">
        <v>23857</v>
      </c>
      <c r="B12033" s="1" t="str">
        <f>"9781451166514"</f>
        <v>9781451166514</v>
      </c>
      <c r="C12033" s="1" t="s">
        <v>23716</v>
      </c>
      <c r="D12033" s="2">
        <v>39417</v>
      </c>
      <c r="E12033" s="1" t="s">
        <v>23858</v>
      </c>
      <c r="F12033" s="1" t="s">
        <v>13</v>
      </c>
    </row>
    <row r="12034" spans="1:6" ht="30" customHeight="1" x14ac:dyDescent="0.25">
      <c r="A12034" s="1" t="s">
        <v>23859</v>
      </c>
      <c r="B12034" s="1" t="str">
        <f>"9781451165685"</f>
        <v>9781451165685</v>
      </c>
      <c r="C12034" s="1" t="s">
        <v>23716</v>
      </c>
      <c r="D12034" s="2">
        <v>38261</v>
      </c>
      <c r="E12034" s="1" t="s">
        <v>23860</v>
      </c>
      <c r="F12034" s="1" t="s">
        <v>13</v>
      </c>
    </row>
    <row r="12035" spans="1:6" ht="30" customHeight="1" x14ac:dyDescent="0.25">
      <c r="A12035" s="1" t="s">
        <v>23861</v>
      </c>
      <c r="B12035" s="1" t="str">
        <f>"9781451167078"</f>
        <v>9781451167078</v>
      </c>
      <c r="C12035" s="1" t="s">
        <v>23716</v>
      </c>
      <c r="D12035" s="2">
        <v>38391</v>
      </c>
      <c r="E12035" s="1" t="s">
        <v>23862</v>
      </c>
      <c r="F12035" s="1" t="s">
        <v>13</v>
      </c>
    </row>
    <row r="12036" spans="1:6" ht="30" customHeight="1" x14ac:dyDescent="0.25">
      <c r="A12036" s="1" t="s">
        <v>23863</v>
      </c>
      <c r="B12036" s="1" t="str">
        <f>"9781451167450"</f>
        <v>9781451167450</v>
      </c>
      <c r="C12036" s="1" t="s">
        <v>23716</v>
      </c>
      <c r="D12036" s="2">
        <v>38071</v>
      </c>
      <c r="E12036" s="1" t="s">
        <v>23864</v>
      </c>
      <c r="F12036" s="1" t="s">
        <v>13</v>
      </c>
    </row>
    <row r="12037" spans="1:6" ht="30" customHeight="1" x14ac:dyDescent="0.25">
      <c r="A12037" s="1" t="s">
        <v>23865</v>
      </c>
      <c r="B12037" s="1" t="str">
        <f>"9781451166958"</f>
        <v>9781451166958</v>
      </c>
      <c r="C12037" s="1" t="s">
        <v>23716</v>
      </c>
      <c r="D12037" s="2">
        <v>37676</v>
      </c>
      <c r="E12037" s="1" t="s">
        <v>23866</v>
      </c>
      <c r="F12037" s="1" t="s">
        <v>13</v>
      </c>
    </row>
    <row r="12038" spans="1:6" ht="30" customHeight="1" x14ac:dyDescent="0.25">
      <c r="A12038" s="1" t="s">
        <v>23867</v>
      </c>
      <c r="B12038" s="1" t="str">
        <f>"9781469878812"</f>
        <v>9781469878812</v>
      </c>
      <c r="C12038" s="1" t="s">
        <v>23716</v>
      </c>
      <c r="D12038" s="2">
        <v>40987</v>
      </c>
      <c r="E12038" s="1" t="s">
        <v>23868</v>
      </c>
      <c r="F12038" s="1" t="s">
        <v>13</v>
      </c>
    </row>
    <row r="12039" spans="1:6" ht="30" customHeight="1" x14ac:dyDescent="0.25">
      <c r="A12039" s="1" t="s">
        <v>23869</v>
      </c>
      <c r="B12039" s="1" t="str">
        <f>"9781469880242"</f>
        <v>9781469880242</v>
      </c>
      <c r="C12039" s="1" t="s">
        <v>23716</v>
      </c>
      <c r="D12039" s="2">
        <v>41603</v>
      </c>
      <c r="E12039" s="1" t="s">
        <v>23870</v>
      </c>
      <c r="F12039" s="1" t="s">
        <v>13</v>
      </c>
    </row>
    <row r="12040" spans="1:6" ht="30" customHeight="1" x14ac:dyDescent="0.25">
      <c r="A12040" s="1" t="s">
        <v>23871</v>
      </c>
      <c r="B12040" s="1" t="str">
        <f>"9781451165463"</f>
        <v>9781451165463</v>
      </c>
      <c r="C12040" s="1" t="s">
        <v>23716</v>
      </c>
      <c r="D12040" s="2">
        <v>38251</v>
      </c>
      <c r="E12040" s="1" t="s">
        <v>23872</v>
      </c>
      <c r="F12040" s="1" t="s">
        <v>13</v>
      </c>
    </row>
    <row r="12041" spans="1:6" ht="30" customHeight="1" x14ac:dyDescent="0.25">
      <c r="A12041" s="1" t="s">
        <v>23873</v>
      </c>
      <c r="B12041" s="1" t="str">
        <f>"9781451166477"</f>
        <v>9781451166477</v>
      </c>
      <c r="C12041" s="1" t="s">
        <v>23716</v>
      </c>
      <c r="D12041" s="2">
        <v>37929</v>
      </c>
      <c r="E12041" s="1" t="s">
        <v>23874</v>
      </c>
      <c r="F12041" s="1" t="s">
        <v>13</v>
      </c>
    </row>
    <row r="12042" spans="1:6" ht="30" customHeight="1" x14ac:dyDescent="0.25">
      <c r="A12042" s="1" t="s">
        <v>23875</v>
      </c>
      <c r="B12042" s="1" t="str">
        <f>"9781451166132"</f>
        <v>9781451166132</v>
      </c>
      <c r="C12042" s="1" t="s">
        <v>23716</v>
      </c>
      <c r="D12042" s="2">
        <v>38257</v>
      </c>
      <c r="E12042" s="1" t="s">
        <v>23876</v>
      </c>
      <c r="F12042" s="1" t="s">
        <v>13</v>
      </c>
    </row>
    <row r="12043" spans="1:6" ht="30" customHeight="1" x14ac:dyDescent="0.25">
      <c r="A12043" s="1" t="s">
        <v>23877</v>
      </c>
      <c r="B12043" s="1" t="str">
        <f>"9781451165562"</f>
        <v>9781451165562</v>
      </c>
      <c r="C12043" s="1" t="s">
        <v>23716</v>
      </c>
      <c r="D12043" s="2">
        <v>38628</v>
      </c>
      <c r="E12043" s="1" t="s">
        <v>23878</v>
      </c>
      <c r="F12043" s="1" t="s">
        <v>13</v>
      </c>
    </row>
    <row r="12044" spans="1:6" ht="30" customHeight="1" x14ac:dyDescent="0.25">
      <c r="A12044" s="1" t="s">
        <v>23879</v>
      </c>
      <c r="B12044" s="1" t="str">
        <f>"9781451165593"</f>
        <v>9781451165593</v>
      </c>
      <c r="C12044" s="1" t="s">
        <v>23716</v>
      </c>
      <c r="D12044" s="2">
        <v>39804</v>
      </c>
      <c r="E12044" s="1" t="s">
        <v>23880</v>
      </c>
      <c r="F12044" s="1" t="s">
        <v>13</v>
      </c>
    </row>
    <row r="12045" spans="1:6" ht="30" customHeight="1" x14ac:dyDescent="0.25">
      <c r="A12045" s="1" t="s">
        <v>23881</v>
      </c>
      <c r="B12045" s="1" t="str">
        <f>"9781451166972"</f>
        <v>9781451166972</v>
      </c>
      <c r="C12045" s="1" t="s">
        <v>23716</v>
      </c>
      <c r="D12045" s="2">
        <v>37893</v>
      </c>
      <c r="E12045" s="1" t="s">
        <v>23882</v>
      </c>
      <c r="F12045" s="1" t="s">
        <v>13</v>
      </c>
    </row>
    <row r="12046" spans="1:6" ht="30" customHeight="1" x14ac:dyDescent="0.25">
      <c r="A12046" s="1" t="s">
        <v>23883</v>
      </c>
      <c r="B12046" s="1" t="str">
        <f>"9781469874203"</f>
        <v>9781469874203</v>
      </c>
      <c r="C12046" s="1" t="s">
        <v>23716</v>
      </c>
      <c r="D12046" s="2">
        <v>38632</v>
      </c>
      <c r="E12046" s="1" t="s">
        <v>23884</v>
      </c>
      <c r="F12046" s="1" t="s">
        <v>13</v>
      </c>
    </row>
    <row r="12047" spans="1:6" ht="30" customHeight="1" x14ac:dyDescent="0.25">
      <c r="A12047" s="1" t="s">
        <v>23885</v>
      </c>
      <c r="B12047" s="1" t="str">
        <f>"9781451165487"</f>
        <v>9781451165487</v>
      </c>
      <c r="C12047" s="1" t="s">
        <v>23716</v>
      </c>
      <c r="D12047" s="2">
        <v>38201</v>
      </c>
      <c r="E12047" s="1" t="s">
        <v>23886</v>
      </c>
      <c r="F12047" s="1" t="s">
        <v>13</v>
      </c>
    </row>
    <row r="12048" spans="1:6" ht="30" customHeight="1" x14ac:dyDescent="0.25">
      <c r="A12048" s="1" t="s">
        <v>23887</v>
      </c>
      <c r="B12048" s="1" t="str">
        <f>"9781469874586"</f>
        <v>9781469874586</v>
      </c>
      <c r="C12048" s="1" t="s">
        <v>23716</v>
      </c>
      <c r="D12048" s="2">
        <v>38322</v>
      </c>
      <c r="E12048" s="1" t="s">
        <v>23888</v>
      </c>
      <c r="F12048" s="1" t="s">
        <v>13</v>
      </c>
    </row>
    <row r="12049" spans="1:6" ht="30" customHeight="1" x14ac:dyDescent="0.25">
      <c r="A12049" s="1" t="s">
        <v>23889</v>
      </c>
      <c r="B12049" s="1" t="str">
        <f>"9781469877983"</f>
        <v>9781469877983</v>
      </c>
      <c r="C12049" s="1" t="s">
        <v>23890</v>
      </c>
      <c r="D12049" s="2">
        <v>36861</v>
      </c>
      <c r="E12049" s="1" t="s">
        <v>23891</v>
      </c>
      <c r="F12049" s="1" t="s">
        <v>13</v>
      </c>
    </row>
    <row r="12050" spans="1:6" ht="30" customHeight="1" x14ac:dyDescent="0.25">
      <c r="A12050" s="1" t="s">
        <v>23892</v>
      </c>
      <c r="B12050" s="1" t="str">
        <f>"9781469875750"</f>
        <v>9781469875750</v>
      </c>
      <c r="C12050" s="1" t="s">
        <v>23890</v>
      </c>
      <c r="D12050" s="2">
        <v>37956</v>
      </c>
      <c r="E12050" s="1" t="s">
        <v>23893</v>
      </c>
      <c r="F12050" s="1" t="s">
        <v>13</v>
      </c>
    </row>
    <row r="12051" spans="1:6" ht="30" customHeight="1" x14ac:dyDescent="0.25">
      <c r="A12051" s="1" t="s">
        <v>23894</v>
      </c>
      <c r="B12051" s="1" t="str">
        <f>"9781469875675"</f>
        <v>9781469875675</v>
      </c>
      <c r="C12051" s="1" t="s">
        <v>23890</v>
      </c>
      <c r="D12051" s="2">
        <v>37895</v>
      </c>
      <c r="E12051" s="1" t="s">
        <v>23895</v>
      </c>
      <c r="F12051" s="1" t="s">
        <v>13</v>
      </c>
    </row>
    <row r="12052" spans="1:6" ht="30" customHeight="1" x14ac:dyDescent="0.25">
      <c r="A12052" s="1" t="s">
        <v>23896</v>
      </c>
      <c r="B12052" s="1" t="str">
        <f>"9781469877952"</f>
        <v>9781469877952</v>
      </c>
      <c r="C12052" s="1" t="s">
        <v>23890</v>
      </c>
      <c r="D12052" s="2">
        <v>36861</v>
      </c>
      <c r="E12052" s="1" t="s">
        <v>23897</v>
      </c>
      <c r="F12052" s="1" t="s">
        <v>13</v>
      </c>
    </row>
    <row r="12053" spans="1:6" ht="30" customHeight="1" x14ac:dyDescent="0.25">
      <c r="A12053" s="1" t="s">
        <v>23898</v>
      </c>
      <c r="B12053" s="1" t="str">
        <f>"9781469880839"</f>
        <v>9781469880839</v>
      </c>
      <c r="C12053" s="1" t="s">
        <v>23890</v>
      </c>
      <c r="D12053" s="2">
        <v>37895</v>
      </c>
      <c r="E12053" s="1" t="s">
        <v>23899</v>
      </c>
      <c r="F12053" s="1" t="s">
        <v>126</v>
      </c>
    </row>
    <row r="12054" spans="1:6" ht="30" customHeight="1" x14ac:dyDescent="0.25">
      <c r="A12054" s="1" t="s">
        <v>23900</v>
      </c>
      <c r="B12054" s="1" t="str">
        <f>"9781469879031"</f>
        <v>9781469879031</v>
      </c>
      <c r="C12054" s="1" t="s">
        <v>23890</v>
      </c>
      <c r="D12054" s="2">
        <v>37288</v>
      </c>
      <c r="E12054" s="1" t="s">
        <v>23901</v>
      </c>
      <c r="F12054" s="1" t="s">
        <v>137</v>
      </c>
    </row>
    <row r="12055" spans="1:6" ht="30" customHeight="1" x14ac:dyDescent="0.25">
      <c r="A12055" s="1" t="s">
        <v>23902</v>
      </c>
      <c r="B12055" s="1" t="str">
        <f>"9781469876122"</f>
        <v>9781469876122</v>
      </c>
      <c r="C12055" s="1" t="s">
        <v>23890</v>
      </c>
      <c r="D12055" s="2">
        <v>38231</v>
      </c>
      <c r="E12055" s="1" t="s">
        <v>23903</v>
      </c>
      <c r="F12055" s="1" t="s">
        <v>13</v>
      </c>
    </row>
    <row r="12056" spans="1:6" ht="30" customHeight="1" x14ac:dyDescent="0.25">
      <c r="A12056" s="1" t="s">
        <v>23904</v>
      </c>
      <c r="B12056" s="1" t="str">
        <f>"9781469880402"</f>
        <v>9781469880402</v>
      </c>
      <c r="C12056" s="1" t="s">
        <v>23890</v>
      </c>
      <c r="D12056" s="2">
        <v>37165</v>
      </c>
      <c r="E12056" s="1" t="s">
        <v>23905</v>
      </c>
      <c r="F12056" s="1" t="s">
        <v>13</v>
      </c>
    </row>
    <row r="12057" spans="1:6" ht="30" customHeight="1" x14ac:dyDescent="0.25">
      <c r="A12057" s="1" t="s">
        <v>23906</v>
      </c>
      <c r="B12057" s="1" t="str">
        <f>"9781469874166"</f>
        <v>9781469874166</v>
      </c>
      <c r="C12057" s="1" t="s">
        <v>23890</v>
      </c>
      <c r="D12057" s="2">
        <v>37135</v>
      </c>
      <c r="E12057" s="1" t="s">
        <v>23907</v>
      </c>
      <c r="F12057" s="1" t="s">
        <v>13</v>
      </c>
    </row>
    <row r="12058" spans="1:6" ht="30" customHeight="1" x14ac:dyDescent="0.25">
      <c r="A12058" s="1" t="s">
        <v>23908</v>
      </c>
      <c r="B12058" s="1" t="str">
        <f>"9781469879451"</f>
        <v>9781469879451</v>
      </c>
      <c r="C12058" s="1" t="s">
        <v>23890</v>
      </c>
      <c r="D12058" s="2">
        <v>36880</v>
      </c>
      <c r="E12058" s="1" t="s">
        <v>23909</v>
      </c>
      <c r="F12058" s="1" t="s">
        <v>13</v>
      </c>
    </row>
    <row r="12059" spans="1:6" ht="30" customHeight="1" x14ac:dyDescent="0.25">
      <c r="A12059" s="1" t="s">
        <v>23910</v>
      </c>
      <c r="B12059" s="1" t="str">
        <f>"9781469874562"</f>
        <v>9781469874562</v>
      </c>
      <c r="C12059" s="1" t="s">
        <v>23890</v>
      </c>
      <c r="D12059" s="2">
        <v>36647</v>
      </c>
      <c r="E12059" s="1" t="s">
        <v>23911</v>
      </c>
      <c r="F12059" s="1" t="s">
        <v>13</v>
      </c>
    </row>
    <row r="12060" spans="1:6" ht="30" customHeight="1" x14ac:dyDescent="0.25">
      <c r="A12060" s="1" t="s">
        <v>23912</v>
      </c>
      <c r="B12060" s="1" t="str">
        <f>"9781469877990"</f>
        <v>9781469877990</v>
      </c>
      <c r="C12060" s="1" t="s">
        <v>23890</v>
      </c>
      <c r="D12060" s="2">
        <v>37196</v>
      </c>
      <c r="E12060" s="1" t="s">
        <v>23913</v>
      </c>
      <c r="F12060" s="1" t="s">
        <v>13</v>
      </c>
    </row>
    <row r="12061" spans="1:6" ht="30" customHeight="1" x14ac:dyDescent="0.25">
      <c r="A12061" s="1" t="s">
        <v>23914</v>
      </c>
      <c r="B12061" s="1" t="str">
        <f>"9781469878942"</f>
        <v>9781469878942</v>
      </c>
      <c r="C12061" s="1" t="s">
        <v>23890</v>
      </c>
      <c r="D12061" s="2">
        <v>37530</v>
      </c>
      <c r="E12061" s="1" t="s">
        <v>23915</v>
      </c>
      <c r="F12061" s="1" t="s">
        <v>13</v>
      </c>
    </row>
    <row r="12062" spans="1:6" ht="30" customHeight="1" x14ac:dyDescent="0.25">
      <c r="A12062" s="1" t="s">
        <v>23916</v>
      </c>
      <c r="B12062" s="1" t="str">
        <f>"9781469885681"</f>
        <v>9781469885681</v>
      </c>
      <c r="C12062" s="1" t="s">
        <v>23890</v>
      </c>
      <c r="D12062" s="2">
        <v>37865</v>
      </c>
      <c r="E12062" s="1" t="s">
        <v>23917</v>
      </c>
      <c r="F12062" s="1" t="s">
        <v>13</v>
      </c>
    </row>
    <row r="12063" spans="1:6" ht="30" customHeight="1" x14ac:dyDescent="0.25">
      <c r="A12063" s="1" t="s">
        <v>23918</v>
      </c>
      <c r="B12063" s="1" t="str">
        <f>"9781469873886"</f>
        <v>9781469873886</v>
      </c>
      <c r="C12063" s="1" t="s">
        <v>23890</v>
      </c>
      <c r="D12063" s="2">
        <v>37135</v>
      </c>
      <c r="E12063" s="1" t="s">
        <v>23919</v>
      </c>
      <c r="F12063" s="1" t="s">
        <v>13</v>
      </c>
    </row>
    <row r="12064" spans="1:6" ht="30" customHeight="1" x14ac:dyDescent="0.25">
      <c r="A12064" s="1" t="s">
        <v>23920</v>
      </c>
      <c r="B12064" s="1" t="str">
        <f>"9781469872131"</f>
        <v>9781469872131</v>
      </c>
      <c r="C12064" s="1" t="s">
        <v>23890</v>
      </c>
      <c r="D12064" s="2">
        <v>37139</v>
      </c>
      <c r="E12064" s="1" t="s">
        <v>23921</v>
      </c>
      <c r="F12064" s="1" t="s">
        <v>13</v>
      </c>
    </row>
    <row r="12065" spans="1:6" ht="30" customHeight="1" x14ac:dyDescent="0.25">
      <c r="A12065" s="1" t="s">
        <v>23922</v>
      </c>
      <c r="B12065" s="1" t="str">
        <f>"9781469874913"</f>
        <v>9781469874913</v>
      </c>
      <c r="C12065" s="1" t="s">
        <v>23890</v>
      </c>
      <c r="D12065" s="2">
        <v>37200</v>
      </c>
      <c r="E12065" s="1" t="s">
        <v>23923</v>
      </c>
      <c r="F12065" s="1" t="s">
        <v>13</v>
      </c>
    </row>
    <row r="12066" spans="1:6" ht="30" customHeight="1" x14ac:dyDescent="0.25">
      <c r="A12066" s="1" t="s">
        <v>23924</v>
      </c>
      <c r="B12066" s="1" t="str">
        <f>"9781469880044"</f>
        <v>9781469880044</v>
      </c>
      <c r="C12066" s="1" t="s">
        <v>23890</v>
      </c>
      <c r="D12066" s="2">
        <v>36647</v>
      </c>
      <c r="E12066" s="1" t="s">
        <v>23925</v>
      </c>
      <c r="F12066" s="1" t="s">
        <v>13</v>
      </c>
    </row>
    <row r="12067" spans="1:6" ht="30" customHeight="1" x14ac:dyDescent="0.25">
      <c r="A12067" s="1" t="s">
        <v>23926</v>
      </c>
      <c r="B12067" s="1" t="str">
        <f>"9781451166309"</f>
        <v>9781451166309</v>
      </c>
      <c r="C12067" s="1" t="s">
        <v>23890</v>
      </c>
      <c r="D12067" s="2">
        <v>37530</v>
      </c>
      <c r="E12067" s="1" t="s">
        <v>23927</v>
      </c>
      <c r="F12067" s="1" t="s">
        <v>13</v>
      </c>
    </row>
    <row r="12068" spans="1:6" ht="30" customHeight="1" x14ac:dyDescent="0.25">
      <c r="A12068" s="1" t="s">
        <v>23928</v>
      </c>
      <c r="B12068" s="1" t="str">
        <f>"9781469874906"</f>
        <v>9781469874906</v>
      </c>
      <c r="C12068" s="1" t="s">
        <v>23890</v>
      </c>
      <c r="D12068" s="2">
        <v>37135</v>
      </c>
      <c r="E12068" s="1" t="s">
        <v>23929</v>
      </c>
      <c r="F12068" s="1" t="s">
        <v>13</v>
      </c>
    </row>
    <row r="12069" spans="1:6" ht="30" customHeight="1" x14ac:dyDescent="0.25">
      <c r="A12069" s="1" t="s">
        <v>23930</v>
      </c>
      <c r="B12069" s="1" t="str">
        <f>"9781469880822"</f>
        <v>9781469880822</v>
      </c>
      <c r="C12069" s="1" t="s">
        <v>23890</v>
      </c>
      <c r="D12069" s="2">
        <v>33604</v>
      </c>
      <c r="E12069" s="1" t="s">
        <v>23931</v>
      </c>
      <c r="F12069" s="1" t="s">
        <v>126</v>
      </c>
    </row>
    <row r="12070" spans="1:6" ht="30" customHeight="1" x14ac:dyDescent="0.25">
      <c r="A12070" s="1" t="s">
        <v>16912</v>
      </c>
      <c r="B12070" s="1" t="str">
        <f>"9781469877785"</f>
        <v>9781469877785</v>
      </c>
      <c r="C12070" s="1" t="s">
        <v>23890</v>
      </c>
      <c r="D12070" s="2">
        <v>36739</v>
      </c>
      <c r="E12070" s="1" t="s">
        <v>23932</v>
      </c>
      <c r="F12070" s="1" t="s">
        <v>13</v>
      </c>
    </row>
    <row r="12071" spans="1:6" ht="30" customHeight="1" x14ac:dyDescent="0.25">
      <c r="A12071" s="1" t="s">
        <v>23933</v>
      </c>
      <c r="B12071" s="1" t="str">
        <f>"9781469874296"</f>
        <v>9781469874296</v>
      </c>
      <c r="C12071" s="1" t="s">
        <v>23890</v>
      </c>
      <c r="D12071" s="2">
        <v>36739</v>
      </c>
      <c r="E12071" s="1" t="s">
        <v>23934</v>
      </c>
      <c r="F12071" s="1" t="s">
        <v>13</v>
      </c>
    </row>
    <row r="12072" spans="1:6" ht="30" customHeight="1" x14ac:dyDescent="0.25">
      <c r="A12072" s="1" t="s">
        <v>23935</v>
      </c>
      <c r="B12072" s="1" t="str">
        <f>"9781469877181"</f>
        <v>9781469877181</v>
      </c>
      <c r="C12072" s="1" t="s">
        <v>23890</v>
      </c>
      <c r="D12072" s="2">
        <v>36982</v>
      </c>
      <c r="E12072" s="1" t="s">
        <v>23936</v>
      </c>
      <c r="F12072" s="1" t="s">
        <v>13</v>
      </c>
    </row>
    <row r="12073" spans="1:6" ht="30" customHeight="1" x14ac:dyDescent="0.25">
      <c r="A12073" s="1" t="s">
        <v>23937</v>
      </c>
      <c r="B12073" s="1" t="str">
        <f>"9781469878010"</f>
        <v>9781469878010</v>
      </c>
      <c r="C12073" s="1" t="s">
        <v>23890</v>
      </c>
      <c r="D12073" s="2">
        <v>37956</v>
      </c>
      <c r="E12073" s="1" t="s">
        <v>23938</v>
      </c>
      <c r="F12073" s="1" t="s">
        <v>13</v>
      </c>
    </row>
    <row r="12074" spans="1:6" ht="30" customHeight="1" x14ac:dyDescent="0.25">
      <c r="A12074" s="1" t="s">
        <v>23939</v>
      </c>
      <c r="B12074" s="1" t="str">
        <f>"9781469878034"</f>
        <v>9781469878034</v>
      </c>
      <c r="C12074" s="1" t="s">
        <v>23890</v>
      </c>
      <c r="D12074" s="2">
        <v>37591</v>
      </c>
      <c r="E12074" s="1" t="s">
        <v>23940</v>
      </c>
      <c r="F12074" s="1" t="s">
        <v>13</v>
      </c>
    </row>
    <row r="12075" spans="1:6" ht="30" customHeight="1" x14ac:dyDescent="0.25">
      <c r="A12075" s="1" t="s">
        <v>23941</v>
      </c>
      <c r="B12075" s="1" t="str">
        <f>"9781469874555"</f>
        <v>9781469874555</v>
      </c>
      <c r="C12075" s="1" t="s">
        <v>23890</v>
      </c>
      <c r="D12075" s="2">
        <v>37196</v>
      </c>
      <c r="E12075" s="1" t="s">
        <v>23942</v>
      </c>
      <c r="F12075" s="1" t="s">
        <v>13</v>
      </c>
    </row>
    <row r="12076" spans="1:6" ht="30" customHeight="1" x14ac:dyDescent="0.25">
      <c r="A12076" s="1" t="s">
        <v>23943</v>
      </c>
      <c r="B12076" s="1" t="str">
        <f>"9781469878874"</f>
        <v>9781469878874</v>
      </c>
      <c r="C12076" s="1" t="s">
        <v>23890</v>
      </c>
      <c r="D12076" s="2">
        <v>37555</v>
      </c>
      <c r="E12076" s="1" t="s">
        <v>23944</v>
      </c>
      <c r="F12076" s="1" t="s">
        <v>13</v>
      </c>
    </row>
    <row r="12077" spans="1:6" ht="30" customHeight="1" x14ac:dyDescent="0.25">
      <c r="A12077" s="1" t="s">
        <v>23945</v>
      </c>
      <c r="B12077" s="1" t="str">
        <f>"9781469879925"</f>
        <v>9781469879925</v>
      </c>
      <c r="C12077" s="1" t="s">
        <v>23890</v>
      </c>
      <c r="D12077" s="2">
        <v>38231</v>
      </c>
      <c r="E12077" s="1" t="s">
        <v>23946</v>
      </c>
      <c r="F12077" s="1" t="s">
        <v>13</v>
      </c>
    </row>
    <row r="12078" spans="1:6" ht="30" customHeight="1" x14ac:dyDescent="0.25">
      <c r="A12078" s="1" t="s">
        <v>23947</v>
      </c>
      <c r="B12078" s="1" t="str">
        <f>"9781469879468"</f>
        <v>9781469879468</v>
      </c>
      <c r="C12078" s="1" t="s">
        <v>23890</v>
      </c>
      <c r="D12078" s="2">
        <v>37135</v>
      </c>
      <c r="E12078" s="1" t="s">
        <v>23948</v>
      </c>
      <c r="F12078" s="1" t="s">
        <v>13</v>
      </c>
    </row>
    <row r="12079" spans="1:6" ht="30" customHeight="1" x14ac:dyDescent="0.25">
      <c r="A12079" s="1" t="s">
        <v>23949</v>
      </c>
      <c r="B12079" s="1" t="str">
        <f>"9781469879024"</f>
        <v>9781469879024</v>
      </c>
      <c r="C12079" s="1" t="s">
        <v>23890</v>
      </c>
      <c r="D12079" s="2">
        <v>36745</v>
      </c>
      <c r="E12079" s="1" t="s">
        <v>23950</v>
      </c>
      <c r="F12079" s="1" t="s">
        <v>13</v>
      </c>
    </row>
    <row r="12080" spans="1:6" ht="30" customHeight="1" x14ac:dyDescent="0.25">
      <c r="A12080" s="1" t="s">
        <v>23951</v>
      </c>
      <c r="B12080" s="1" t="str">
        <f>"9781451165067"</f>
        <v>9781451165067</v>
      </c>
      <c r="C12080" s="1" t="s">
        <v>23890</v>
      </c>
      <c r="D12080" s="2">
        <v>36756</v>
      </c>
      <c r="E12080" s="1" t="s">
        <v>23952</v>
      </c>
      <c r="F12080" s="1" t="s">
        <v>13</v>
      </c>
    </row>
    <row r="12081" spans="1:6" ht="30" customHeight="1" x14ac:dyDescent="0.25">
      <c r="A12081" s="1" t="s">
        <v>23953</v>
      </c>
      <c r="B12081" s="1" t="str">
        <f>"9781469874180"</f>
        <v>9781469874180</v>
      </c>
      <c r="C12081" s="1" t="s">
        <v>23890</v>
      </c>
      <c r="D12081" s="2">
        <v>37005</v>
      </c>
      <c r="E12081" s="1" t="s">
        <v>23954</v>
      </c>
      <c r="F12081" s="1" t="s">
        <v>13</v>
      </c>
    </row>
    <row r="12082" spans="1:6" ht="30" customHeight="1" x14ac:dyDescent="0.25">
      <c r="A12082" s="1" t="s">
        <v>23955</v>
      </c>
      <c r="B12082" s="1" t="str">
        <f>"9781469832326"</f>
        <v>9781469832326</v>
      </c>
      <c r="C12082" s="1" t="s">
        <v>16613</v>
      </c>
      <c r="D12082" s="2">
        <v>37753</v>
      </c>
      <c r="E12082" s="1" t="s">
        <v>23956</v>
      </c>
      <c r="F12082" s="1" t="s">
        <v>13</v>
      </c>
    </row>
    <row r="12083" spans="1:6" ht="30" customHeight="1" x14ac:dyDescent="0.25">
      <c r="A12083" s="1" t="s">
        <v>23957</v>
      </c>
      <c r="B12083" s="1" t="str">
        <f>"9781469831985"</f>
        <v>9781469831985</v>
      </c>
      <c r="C12083" s="1" t="s">
        <v>16613</v>
      </c>
      <c r="D12083" s="2">
        <v>41649</v>
      </c>
      <c r="E12083" s="1" t="s">
        <v>23958</v>
      </c>
      <c r="F12083" s="1" t="s">
        <v>126</v>
      </c>
    </row>
    <row r="12084" spans="1:6" ht="30" customHeight="1" x14ac:dyDescent="0.25">
      <c r="A12084" s="1" t="s">
        <v>23959</v>
      </c>
      <c r="B12084" s="1" t="str">
        <f>"9781496305831"</f>
        <v>9781496305831</v>
      </c>
      <c r="C12084" s="1" t="s">
        <v>23890</v>
      </c>
      <c r="D12084" s="2">
        <v>41634</v>
      </c>
      <c r="E12084" s="1" t="s">
        <v>23960</v>
      </c>
      <c r="F12084" s="1" t="s">
        <v>13</v>
      </c>
    </row>
    <row r="12085" spans="1:6" ht="30" customHeight="1" x14ac:dyDescent="0.25">
      <c r="A12085" s="1" t="s">
        <v>23961</v>
      </c>
      <c r="B12085" s="1" t="str">
        <f>"9781469852928"</f>
        <v>9781469852928</v>
      </c>
      <c r="C12085" s="1" t="s">
        <v>23890</v>
      </c>
      <c r="D12085" s="2">
        <v>41703</v>
      </c>
      <c r="E12085" s="1" t="s">
        <v>23962</v>
      </c>
      <c r="F12085" s="1" t="s">
        <v>13</v>
      </c>
    </row>
    <row r="12086" spans="1:6" ht="30" customHeight="1" x14ac:dyDescent="0.25">
      <c r="A12086" s="1" t="s">
        <v>23963</v>
      </c>
      <c r="B12086" s="1" t="str">
        <f>"9780300133936"</f>
        <v>9780300133936</v>
      </c>
      <c r="C12086" s="1" t="s">
        <v>23964</v>
      </c>
      <c r="D12086" s="2">
        <v>38322</v>
      </c>
      <c r="E12086" s="1" t="s">
        <v>23965</v>
      </c>
      <c r="F12086" s="1" t="s">
        <v>23966</v>
      </c>
    </row>
    <row r="12087" spans="1:6" ht="30" customHeight="1" x14ac:dyDescent="0.25">
      <c r="A12087" s="1" t="s">
        <v>23967</v>
      </c>
      <c r="B12087" s="1" t="str">
        <f>"9780300132885"</f>
        <v>9780300132885</v>
      </c>
      <c r="C12087" s="1" t="s">
        <v>23964</v>
      </c>
      <c r="D12087" s="2">
        <v>37591</v>
      </c>
      <c r="E12087" s="1" t="s">
        <v>23968</v>
      </c>
      <c r="F12087" s="1" t="s">
        <v>13</v>
      </c>
    </row>
    <row r="12088" spans="1:6" ht="30" customHeight="1" x14ac:dyDescent="0.25">
      <c r="A12088" s="1" t="s">
        <v>23969</v>
      </c>
      <c r="B12088" s="1" t="str">
        <f>"9780300131994"</f>
        <v>9780300131994</v>
      </c>
      <c r="C12088" s="1" t="s">
        <v>23964</v>
      </c>
      <c r="D12088" s="2">
        <v>36991</v>
      </c>
      <c r="E12088" s="1" t="s">
        <v>23970</v>
      </c>
      <c r="F12088" s="1" t="s">
        <v>13</v>
      </c>
    </row>
    <row r="12089" spans="1:6" ht="30" customHeight="1" x14ac:dyDescent="0.25">
      <c r="A12089" s="1" t="s">
        <v>23971</v>
      </c>
      <c r="B12089" s="1" t="str">
        <f>"9780300128581"</f>
        <v>9780300128581</v>
      </c>
      <c r="C12089" s="1" t="s">
        <v>23964</v>
      </c>
      <c r="D12089" s="2">
        <v>36991</v>
      </c>
      <c r="E12089" s="1" t="s">
        <v>23972</v>
      </c>
      <c r="F12089" s="1" t="s">
        <v>13</v>
      </c>
    </row>
    <row r="12090" spans="1:6" ht="30" customHeight="1" x14ac:dyDescent="0.25">
      <c r="A12090" s="1">
        <v>2005</v>
      </c>
      <c r="B12090" s="1" t="str">
        <f>"9780300128468"</f>
        <v>9780300128468</v>
      </c>
      <c r="C12090" s="1" t="s">
        <v>23964</v>
      </c>
      <c r="D12090" s="2">
        <v>38687</v>
      </c>
      <c r="E12090" s="1" t="s">
        <v>23973</v>
      </c>
      <c r="F12090" s="1" t="s">
        <v>291</v>
      </c>
    </row>
    <row r="12091" spans="1:6" ht="30" customHeight="1" x14ac:dyDescent="0.25">
      <c r="A12091" s="1">
        <v>2004</v>
      </c>
      <c r="B12091" s="1" t="str">
        <f>"9780300128420"</f>
        <v>9780300128420</v>
      </c>
      <c r="C12091" s="1" t="s">
        <v>23964</v>
      </c>
      <c r="D12091" s="2">
        <v>38322</v>
      </c>
      <c r="E12091" s="1" t="s">
        <v>23973</v>
      </c>
      <c r="F12091" s="1" t="s">
        <v>291</v>
      </c>
    </row>
    <row r="12092" spans="1:6" ht="30" customHeight="1" x14ac:dyDescent="0.25">
      <c r="A12092" s="1" t="s">
        <v>23974</v>
      </c>
      <c r="B12092" s="1" t="str">
        <f>"9780300127881"</f>
        <v>9780300127881</v>
      </c>
      <c r="C12092" s="1" t="s">
        <v>23964</v>
      </c>
      <c r="D12092" s="2">
        <v>38687</v>
      </c>
      <c r="E12092" s="1" t="s">
        <v>23975</v>
      </c>
      <c r="F12092" s="1" t="s">
        <v>13</v>
      </c>
    </row>
    <row r="12093" spans="1:6" ht="30" customHeight="1" x14ac:dyDescent="0.25">
      <c r="A12093" s="1" t="s">
        <v>23976</v>
      </c>
      <c r="B12093" s="1" t="str">
        <f>"9780300127447"</f>
        <v>9780300127447</v>
      </c>
      <c r="C12093" s="1" t="s">
        <v>23964</v>
      </c>
      <c r="D12093" s="2">
        <v>38870</v>
      </c>
      <c r="E12093" s="1" t="s">
        <v>23977</v>
      </c>
      <c r="F12093" s="1" t="s">
        <v>291</v>
      </c>
    </row>
    <row r="12094" spans="1:6" ht="30" customHeight="1" x14ac:dyDescent="0.25">
      <c r="A12094" s="1" t="s">
        <v>23978</v>
      </c>
      <c r="B12094" s="1" t="str">
        <f>"9780300128956"</f>
        <v>9780300128956</v>
      </c>
      <c r="C12094" s="1" t="s">
        <v>23964</v>
      </c>
      <c r="D12094" s="2">
        <v>37834</v>
      </c>
      <c r="E12094" s="1" t="s">
        <v>23979</v>
      </c>
      <c r="F12094" s="1" t="s">
        <v>13</v>
      </c>
    </row>
    <row r="12095" spans="1:6" ht="30" customHeight="1" x14ac:dyDescent="0.25">
      <c r="A12095" s="1" t="s">
        <v>23980</v>
      </c>
      <c r="B12095" s="1" t="str">
        <f>"9780300128864"</f>
        <v>9780300128864</v>
      </c>
      <c r="C12095" s="1" t="s">
        <v>23964</v>
      </c>
      <c r="D12095" s="2">
        <v>38667</v>
      </c>
      <c r="E12095" s="1" t="s">
        <v>23981</v>
      </c>
      <c r="F12095" s="1" t="s">
        <v>13</v>
      </c>
    </row>
    <row r="12096" spans="1:6" ht="30" customHeight="1" x14ac:dyDescent="0.25">
      <c r="A12096" s="1" t="s">
        <v>23982</v>
      </c>
      <c r="B12096" s="1" t="str">
        <f>"9780300128369"</f>
        <v>9780300128369</v>
      </c>
      <c r="C12096" s="1" t="s">
        <v>23964</v>
      </c>
      <c r="D12096" s="2">
        <v>38290</v>
      </c>
      <c r="E12096" s="1" t="s">
        <v>23983</v>
      </c>
      <c r="F12096" s="1" t="s">
        <v>13</v>
      </c>
    </row>
    <row r="12097" spans="1:6" ht="30" customHeight="1" x14ac:dyDescent="0.25">
      <c r="A12097" s="1" t="s">
        <v>23984</v>
      </c>
      <c r="B12097" s="1" t="str">
        <f>"9780300128383"</f>
        <v>9780300128383</v>
      </c>
      <c r="C12097" s="1" t="s">
        <v>23964</v>
      </c>
      <c r="D12097" s="2">
        <v>38322</v>
      </c>
      <c r="E12097" s="1" t="s">
        <v>23983</v>
      </c>
      <c r="F12097" s="1" t="s">
        <v>13</v>
      </c>
    </row>
    <row r="12098" spans="1:6" ht="30" customHeight="1" x14ac:dyDescent="0.25">
      <c r="A12098" s="1" t="s">
        <v>23985</v>
      </c>
      <c r="B12098" s="1" t="str">
        <f>"9780300128475"</f>
        <v>9780300128475</v>
      </c>
      <c r="C12098" s="1" t="s">
        <v>23964</v>
      </c>
      <c r="D12098" s="2">
        <v>39052</v>
      </c>
      <c r="E12098" s="1" t="s">
        <v>23986</v>
      </c>
      <c r="F12098" s="1" t="s">
        <v>87</v>
      </c>
    </row>
    <row r="12099" spans="1:6" ht="30" customHeight="1" x14ac:dyDescent="0.25">
      <c r="A12099" s="1" t="s">
        <v>23987</v>
      </c>
      <c r="B12099" s="1" t="str">
        <f>"9780300127409"</f>
        <v>9780300127409</v>
      </c>
      <c r="C12099" s="1" t="s">
        <v>23964</v>
      </c>
      <c r="D12099" s="2">
        <v>38769</v>
      </c>
      <c r="E12099" s="1" t="s">
        <v>23988</v>
      </c>
      <c r="F12099" s="1" t="s">
        <v>13</v>
      </c>
    </row>
    <row r="12100" spans="1:6" ht="30" customHeight="1" x14ac:dyDescent="0.25">
      <c r="A12100" s="1" t="s">
        <v>23989</v>
      </c>
      <c r="B12100" s="1" t="str">
        <f>"9780300127980"</f>
        <v>9780300127980</v>
      </c>
      <c r="C12100" s="1" t="s">
        <v>23964</v>
      </c>
      <c r="D12100" s="2">
        <v>38322</v>
      </c>
      <c r="E12100" s="1" t="s">
        <v>23990</v>
      </c>
      <c r="F12100" s="1" t="s">
        <v>13</v>
      </c>
    </row>
    <row r="12101" spans="1:6" ht="30" customHeight="1" x14ac:dyDescent="0.25">
      <c r="A12101" s="1" t="s">
        <v>23991</v>
      </c>
      <c r="B12101" s="1" t="str">
        <f>"9780300128444"</f>
        <v>9780300128444</v>
      </c>
      <c r="C12101" s="1" t="s">
        <v>23964</v>
      </c>
      <c r="D12101" s="2">
        <v>37956</v>
      </c>
      <c r="E12101" s="1" t="s">
        <v>23973</v>
      </c>
      <c r="F12101" s="1" t="s">
        <v>104</v>
      </c>
    </row>
    <row r="12102" spans="1:6" ht="30" customHeight="1" x14ac:dyDescent="0.25">
      <c r="A12102" s="1" t="s">
        <v>23992</v>
      </c>
      <c r="B12102" s="1" t="str">
        <f>"9780300127775"</f>
        <v>9780300127775</v>
      </c>
      <c r="C12102" s="1" t="s">
        <v>23964</v>
      </c>
      <c r="D12102" s="2">
        <v>38484</v>
      </c>
      <c r="E12102" s="1" t="s">
        <v>23993</v>
      </c>
      <c r="F12102" s="1" t="s">
        <v>599</v>
      </c>
    </row>
    <row r="12103" spans="1:6" ht="30" customHeight="1" x14ac:dyDescent="0.25">
      <c r="A12103" s="1" t="s">
        <v>23994</v>
      </c>
      <c r="B12103" s="1" t="str">
        <f>"9780300128017"</f>
        <v>9780300128017</v>
      </c>
      <c r="C12103" s="1" t="s">
        <v>23964</v>
      </c>
      <c r="D12103" s="2">
        <v>39021</v>
      </c>
      <c r="E12103" s="1" t="s">
        <v>23995</v>
      </c>
      <c r="F12103" s="1" t="s">
        <v>13</v>
      </c>
    </row>
    <row r="12104" spans="1:6" ht="30" customHeight="1" x14ac:dyDescent="0.25">
      <c r="A12104" s="1" t="s">
        <v>23996</v>
      </c>
      <c r="B12104" s="1" t="str">
        <f>"9780300128437"</f>
        <v>9780300128437</v>
      </c>
      <c r="C12104" s="1" t="s">
        <v>23964</v>
      </c>
      <c r="D12104" s="2">
        <v>38484</v>
      </c>
      <c r="E12104" s="1" t="s">
        <v>23997</v>
      </c>
      <c r="F12104" s="1" t="s">
        <v>356</v>
      </c>
    </row>
    <row r="12105" spans="1:6" ht="30" customHeight="1" x14ac:dyDescent="0.25">
      <c r="A12105" s="1" t="s">
        <v>23998</v>
      </c>
      <c r="B12105" s="1" t="str">
        <f>"9780300130119"</f>
        <v>9780300130119</v>
      </c>
      <c r="C12105" s="1" t="s">
        <v>23964</v>
      </c>
      <c r="D12105" s="2">
        <v>37236</v>
      </c>
      <c r="E12105" s="1" t="s">
        <v>23999</v>
      </c>
      <c r="F12105" s="1" t="s">
        <v>13</v>
      </c>
    </row>
    <row r="12106" spans="1:6" ht="30" customHeight="1" x14ac:dyDescent="0.25">
      <c r="A12106" s="1" t="s">
        <v>24000</v>
      </c>
      <c r="B12106" s="1" t="str">
        <f>"9780300127393"</f>
        <v>9780300127393</v>
      </c>
      <c r="C12106" s="1" t="s">
        <v>23964</v>
      </c>
      <c r="D12106" s="2">
        <v>37591</v>
      </c>
      <c r="E12106" s="1" t="s">
        <v>24001</v>
      </c>
      <c r="F12106" s="1" t="s">
        <v>87</v>
      </c>
    </row>
    <row r="12107" spans="1:6" ht="30" customHeight="1" x14ac:dyDescent="0.25">
      <c r="A12107" s="1" t="s">
        <v>24002</v>
      </c>
      <c r="B12107" s="1" t="str">
        <f>"9780300127836"</f>
        <v>9780300127836</v>
      </c>
      <c r="C12107" s="1" t="s">
        <v>23964</v>
      </c>
      <c r="D12107" s="2">
        <v>36861</v>
      </c>
      <c r="E12107" s="1" t="s">
        <v>24003</v>
      </c>
      <c r="F12107" s="1" t="s">
        <v>127</v>
      </c>
    </row>
    <row r="12108" spans="1:6" ht="30" customHeight="1" x14ac:dyDescent="0.25">
      <c r="A12108" s="1" t="s">
        <v>24004</v>
      </c>
      <c r="B12108" s="1" t="str">
        <f>"9780300133592"</f>
        <v>9780300133592</v>
      </c>
      <c r="C12108" s="1" t="s">
        <v>23964</v>
      </c>
      <c r="D12108" s="2">
        <v>37226</v>
      </c>
      <c r="E12108" s="1" t="s">
        <v>24005</v>
      </c>
      <c r="F12108" s="1" t="s">
        <v>13</v>
      </c>
    </row>
    <row r="12109" spans="1:6" ht="30" customHeight="1" x14ac:dyDescent="0.25">
      <c r="A12109" s="1" t="s">
        <v>24006</v>
      </c>
      <c r="B12109" s="1" t="str">
        <f>"9780300129281"</f>
        <v>9780300129281</v>
      </c>
      <c r="C12109" s="1" t="s">
        <v>23964</v>
      </c>
      <c r="D12109" s="2">
        <v>37785</v>
      </c>
      <c r="E12109" s="1" t="s">
        <v>24007</v>
      </c>
      <c r="F12109" s="1" t="s">
        <v>13</v>
      </c>
    </row>
    <row r="12110" spans="1:6" ht="30" customHeight="1" x14ac:dyDescent="0.25">
      <c r="A12110" s="1" t="s">
        <v>24008</v>
      </c>
      <c r="B12110" s="1" t="str">
        <f>"9780300127454"</f>
        <v>9780300127454</v>
      </c>
      <c r="C12110" s="1" t="s">
        <v>23964</v>
      </c>
      <c r="D12110" s="2">
        <v>37591</v>
      </c>
      <c r="E12110" s="1" t="s">
        <v>24009</v>
      </c>
      <c r="F12110" s="1" t="s">
        <v>13</v>
      </c>
    </row>
    <row r="12111" spans="1:6" ht="30" customHeight="1" x14ac:dyDescent="0.25">
      <c r="A12111" s="1" t="s">
        <v>24010</v>
      </c>
      <c r="B12111" s="1" t="str">
        <f>"9780300133585"</f>
        <v>9780300133585</v>
      </c>
      <c r="C12111" s="1" t="s">
        <v>23964</v>
      </c>
      <c r="D12111" s="2">
        <v>38179</v>
      </c>
      <c r="E12111" s="1" t="s">
        <v>24011</v>
      </c>
      <c r="F12111" s="1" t="s">
        <v>13</v>
      </c>
    </row>
    <row r="12112" spans="1:6" ht="30" customHeight="1" x14ac:dyDescent="0.25">
      <c r="A12112" s="1" t="s">
        <v>24012</v>
      </c>
      <c r="B12112" s="1" t="str">
        <f>"9780300128666"</f>
        <v>9780300128666</v>
      </c>
      <c r="C12112" s="1" t="s">
        <v>23964</v>
      </c>
      <c r="D12112" s="2">
        <v>37956</v>
      </c>
      <c r="E12112" s="1" t="s">
        <v>24013</v>
      </c>
      <c r="F12112" s="1" t="s">
        <v>13</v>
      </c>
    </row>
    <row r="12113" spans="1:6" ht="30" customHeight="1" x14ac:dyDescent="0.25">
      <c r="A12113" s="1" t="s">
        <v>24014</v>
      </c>
      <c r="B12113" s="1" t="str">
        <f>"9780300133011"</f>
        <v>9780300133011</v>
      </c>
      <c r="C12113" s="1" t="s">
        <v>23964</v>
      </c>
      <c r="D12113" s="2">
        <v>36861</v>
      </c>
      <c r="E12113" s="1" t="s">
        <v>24015</v>
      </c>
      <c r="F12113" s="1" t="s">
        <v>95</v>
      </c>
    </row>
    <row r="12114" spans="1:6" ht="30" customHeight="1" x14ac:dyDescent="0.25">
      <c r="A12114" s="1" t="s">
        <v>24016</v>
      </c>
      <c r="B12114" s="1" t="str">
        <f>"9780300135213"</f>
        <v>9780300135213</v>
      </c>
      <c r="C12114" s="1" t="s">
        <v>23964</v>
      </c>
      <c r="D12114" s="2">
        <v>37775</v>
      </c>
      <c r="E12114" s="1" t="s">
        <v>24017</v>
      </c>
      <c r="F12114" s="1" t="s">
        <v>13</v>
      </c>
    </row>
    <row r="12115" spans="1:6" ht="30" customHeight="1" x14ac:dyDescent="0.25">
      <c r="A12115" s="1" t="s">
        <v>24018</v>
      </c>
      <c r="B12115" s="1" t="str">
        <f>"9780300138320"</f>
        <v>9780300138320</v>
      </c>
      <c r="C12115" s="1" t="s">
        <v>23964</v>
      </c>
      <c r="D12115" s="2">
        <v>39417</v>
      </c>
      <c r="E12115" s="1" t="s">
        <v>24019</v>
      </c>
      <c r="F12115" s="1" t="s">
        <v>13</v>
      </c>
    </row>
    <row r="12116" spans="1:6" ht="30" customHeight="1" x14ac:dyDescent="0.25">
      <c r="A12116" s="1">
        <v>2006</v>
      </c>
      <c r="B12116" s="1" t="str">
        <f>"9780300138078"</f>
        <v>9780300138078</v>
      </c>
      <c r="C12116" s="1" t="s">
        <v>23964</v>
      </c>
      <c r="D12116" s="2">
        <v>39052</v>
      </c>
      <c r="E12116" s="1" t="s">
        <v>23973</v>
      </c>
      <c r="F12116" s="1" t="s">
        <v>291</v>
      </c>
    </row>
    <row r="12117" spans="1:6" ht="30" customHeight="1" x14ac:dyDescent="0.25">
      <c r="A12117" s="1" t="s">
        <v>24020</v>
      </c>
      <c r="B12117" s="1" t="str">
        <f>"9780300128222"</f>
        <v>9780300128222</v>
      </c>
      <c r="C12117" s="1" t="s">
        <v>23964</v>
      </c>
      <c r="D12117" s="2">
        <v>36565</v>
      </c>
      <c r="E12117" s="1" t="s">
        <v>24021</v>
      </c>
      <c r="F12117" s="1" t="s">
        <v>95</v>
      </c>
    </row>
    <row r="12118" spans="1:6" ht="30" customHeight="1" x14ac:dyDescent="0.25">
      <c r="A12118" s="1" t="s">
        <v>24022</v>
      </c>
      <c r="B12118" s="1" t="str">
        <f>"9780300135251"</f>
        <v>9780300135251</v>
      </c>
      <c r="C12118" s="1" t="s">
        <v>23964</v>
      </c>
      <c r="D12118" s="2">
        <v>39230</v>
      </c>
      <c r="E12118" s="1" t="s">
        <v>24023</v>
      </c>
      <c r="F12118" s="1" t="s">
        <v>13</v>
      </c>
    </row>
    <row r="12119" spans="1:6" ht="30" customHeight="1" x14ac:dyDescent="0.25">
      <c r="A12119" s="1" t="s">
        <v>24024</v>
      </c>
      <c r="B12119" s="1" t="str">
        <f>"9780300130799"</f>
        <v>9780300130799</v>
      </c>
      <c r="C12119" s="1" t="s">
        <v>23964</v>
      </c>
      <c r="D12119" s="2">
        <v>38506</v>
      </c>
      <c r="E12119" s="1" t="s">
        <v>24025</v>
      </c>
      <c r="F12119" s="1" t="s">
        <v>13</v>
      </c>
    </row>
    <row r="12120" spans="1:6" ht="30" customHeight="1" x14ac:dyDescent="0.25">
      <c r="A12120" s="1" t="s">
        <v>24026</v>
      </c>
      <c r="B12120" s="1" t="str">
        <f>"9780300134681"</f>
        <v>9780300134681</v>
      </c>
      <c r="C12120" s="1" t="s">
        <v>23964</v>
      </c>
      <c r="D12120" s="2">
        <v>39052</v>
      </c>
      <c r="E12120" s="1" t="s">
        <v>24027</v>
      </c>
      <c r="F12120" s="1" t="s">
        <v>13</v>
      </c>
    </row>
    <row r="12121" spans="1:6" ht="30" customHeight="1" x14ac:dyDescent="0.25">
      <c r="A12121" s="1" t="s">
        <v>24028</v>
      </c>
      <c r="B12121" s="1" t="str">
        <f>"9780300129168"</f>
        <v>9780300129168</v>
      </c>
      <c r="C12121" s="1" t="s">
        <v>23964</v>
      </c>
      <c r="D12121" s="2">
        <v>37591</v>
      </c>
      <c r="E12121" s="1" t="s">
        <v>24029</v>
      </c>
      <c r="F12121" s="1" t="s">
        <v>8561</v>
      </c>
    </row>
    <row r="12122" spans="1:6" ht="30" customHeight="1" x14ac:dyDescent="0.25">
      <c r="A12122" s="1" t="s">
        <v>24030</v>
      </c>
      <c r="B12122" s="1" t="str">
        <f>"9780300160277"</f>
        <v>9780300160277</v>
      </c>
      <c r="C12122" s="1" t="s">
        <v>23964</v>
      </c>
      <c r="D12122" s="2">
        <v>39847</v>
      </c>
      <c r="E12122" s="1" t="s">
        <v>24031</v>
      </c>
      <c r="F12122" s="1" t="s">
        <v>95</v>
      </c>
    </row>
    <row r="12123" spans="1:6" ht="30" customHeight="1" x14ac:dyDescent="0.25">
      <c r="A12123" s="1" t="s">
        <v>24032</v>
      </c>
      <c r="B12123" s="1" t="str">
        <f>"9780300155952"</f>
        <v>9780300155952</v>
      </c>
      <c r="C12123" s="1" t="s">
        <v>23964</v>
      </c>
      <c r="D12123" s="2">
        <v>40060</v>
      </c>
      <c r="E12123" s="1" t="s">
        <v>24033</v>
      </c>
      <c r="F12123" s="1" t="s">
        <v>30</v>
      </c>
    </row>
    <row r="12124" spans="1:6" ht="30" customHeight="1" x14ac:dyDescent="0.25">
      <c r="A12124" s="1" t="s">
        <v>24034</v>
      </c>
      <c r="B12124" s="1" t="str">
        <f>"9780300156386"</f>
        <v>9780300156386</v>
      </c>
      <c r="C12124" s="1" t="s">
        <v>23964</v>
      </c>
      <c r="D12124" s="2">
        <v>38925</v>
      </c>
      <c r="E12124" s="1" t="s">
        <v>24035</v>
      </c>
      <c r="F12124" s="1" t="s">
        <v>24036</v>
      </c>
    </row>
    <row r="12125" spans="1:6" ht="30" customHeight="1" x14ac:dyDescent="0.25">
      <c r="A12125" s="1" t="s">
        <v>24037</v>
      </c>
      <c r="B12125" s="1" t="str">
        <f>"9780300154993"</f>
        <v>9780300154993</v>
      </c>
      <c r="C12125" s="1" t="s">
        <v>23964</v>
      </c>
      <c r="D12125" s="2">
        <v>40088</v>
      </c>
      <c r="E12125" s="1" t="s">
        <v>24038</v>
      </c>
      <c r="F12125" s="1" t="s">
        <v>33</v>
      </c>
    </row>
    <row r="12126" spans="1:6" ht="30" customHeight="1" x14ac:dyDescent="0.25">
      <c r="A12126" s="1" t="s">
        <v>24039</v>
      </c>
      <c r="B12126" s="1" t="str">
        <f>"9780300142716"</f>
        <v>9780300142716</v>
      </c>
      <c r="C12126" s="1" t="s">
        <v>23964</v>
      </c>
      <c r="D12126" s="2">
        <v>39696</v>
      </c>
      <c r="E12126" s="1" t="s">
        <v>24040</v>
      </c>
      <c r="F12126" s="1" t="s">
        <v>13</v>
      </c>
    </row>
    <row r="12127" spans="1:6" ht="30" customHeight="1" x14ac:dyDescent="0.25">
      <c r="A12127" s="1" t="s">
        <v>24041</v>
      </c>
      <c r="B12127" s="1" t="str">
        <f>"9780300151770"</f>
        <v>9780300151770</v>
      </c>
      <c r="C12127" s="1" t="s">
        <v>23964</v>
      </c>
      <c r="D12127" s="2">
        <v>39700</v>
      </c>
      <c r="E12127" s="1" t="s">
        <v>24042</v>
      </c>
      <c r="F12127" s="1" t="s">
        <v>13</v>
      </c>
    </row>
    <row r="12128" spans="1:6" ht="30" customHeight="1" x14ac:dyDescent="0.25">
      <c r="A12128" s="1" t="s">
        <v>24043</v>
      </c>
      <c r="B12128" s="1" t="str">
        <f>"9780300171709"</f>
        <v>9780300171709</v>
      </c>
      <c r="C12128" s="1" t="s">
        <v>23964</v>
      </c>
      <c r="D12128" s="2">
        <v>40634</v>
      </c>
      <c r="E12128" s="1" t="s">
        <v>24044</v>
      </c>
      <c r="F12128" s="1" t="s">
        <v>176</v>
      </c>
    </row>
    <row r="12129" spans="1:6" ht="30" customHeight="1" x14ac:dyDescent="0.25">
      <c r="A12129" s="1" t="s">
        <v>24045</v>
      </c>
      <c r="B12129" s="1" t="str">
        <f>"9780300171839"</f>
        <v>9780300171839</v>
      </c>
      <c r="C12129" s="1" t="s">
        <v>23964</v>
      </c>
      <c r="D12129" s="2">
        <v>40659</v>
      </c>
      <c r="E12129" s="1" t="s">
        <v>24046</v>
      </c>
      <c r="F12129" s="1" t="s">
        <v>95</v>
      </c>
    </row>
    <row r="12130" spans="1:6" ht="30" customHeight="1" x14ac:dyDescent="0.25">
      <c r="A12130" s="1" t="s">
        <v>24047</v>
      </c>
      <c r="B12130" s="1" t="str">
        <f>"9780300178449"</f>
        <v>9780300178449</v>
      </c>
      <c r="C12130" s="1" t="s">
        <v>23964</v>
      </c>
      <c r="D12130" s="2">
        <v>40841</v>
      </c>
      <c r="E12130" s="1" t="s">
        <v>24048</v>
      </c>
      <c r="F12130" s="1" t="s">
        <v>95</v>
      </c>
    </row>
    <row r="12131" spans="1:6" ht="30" customHeight="1" x14ac:dyDescent="0.25">
      <c r="A12131" s="1" t="s">
        <v>24049</v>
      </c>
      <c r="B12131" s="1" t="str">
        <f>"9780300156652"</f>
        <v>9780300156652</v>
      </c>
      <c r="C12131" s="1" t="s">
        <v>23964</v>
      </c>
      <c r="D12131" s="2">
        <v>41386</v>
      </c>
      <c r="E12131" s="1" t="s">
        <v>24050</v>
      </c>
      <c r="F12131" s="1" t="s">
        <v>13</v>
      </c>
    </row>
    <row r="12132" spans="1:6" ht="30" customHeight="1" x14ac:dyDescent="0.25">
      <c r="A12132" s="1" t="s">
        <v>24051</v>
      </c>
      <c r="B12132" s="1" t="str">
        <f>"9780300138573"</f>
        <v>9780300138573</v>
      </c>
      <c r="C12132" s="1" t="s">
        <v>23964</v>
      </c>
      <c r="D12132" s="2">
        <v>39414</v>
      </c>
      <c r="E12132" s="1" t="s">
        <v>24052</v>
      </c>
      <c r="F12132" s="1" t="s">
        <v>21</v>
      </c>
    </row>
    <row r="12133" spans="1:6" ht="30" customHeight="1" x14ac:dyDescent="0.25">
      <c r="A12133" s="1" t="s">
        <v>24053</v>
      </c>
      <c r="B12133" s="1" t="str">
        <f>"9780300189308"</f>
        <v>9780300189308</v>
      </c>
      <c r="C12133" s="1" t="s">
        <v>23964</v>
      </c>
      <c r="D12133" s="2">
        <v>41145</v>
      </c>
      <c r="E12133" s="1" t="s">
        <v>24054</v>
      </c>
      <c r="F12133" s="1" t="s">
        <v>158</v>
      </c>
    </row>
    <row r="12134" spans="1:6" ht="30" customHeight="1" x14ac:dyDescent="0.25">
      <c r="A12134" s="1" t="s">
        <v>24055</v>
      </c>
      <c r="B12134" s="1" t="str">
        <f>"9780300188486"</f>
        <v>9780300188486</v>
      </c>
      <c r="C12134" s="1" t="s">
        <v>23964</v>
      </c>
      <c r="D12134" s="2">
        <v>41177</v>
      </c>
      <c r="E12134" s="1" t="s">
        <v>24056</v>
      </c>
      <c r="F12134" s="1" t="s">
        <v>6795</v>
      </c>
    </row>
    <row r="12135" spans="1:6" ht="30" customHeight="1" x14ac:dyDescent="0.25">
      <c r="A12135" s="1" t="s">
        <v>24057</v>
      </c>
      <c r="B12135" s="1" t="str">
        <f>"9780300184761"</f>
        <v>9780300184761</v>
      </c>
      <c r="C12135" s="1" t="s">
        <v>23964</v>
      </c>
      <c r="D12135" s="2">
        <v>41219</v>
      </c>
      <c r="E12135" s="1" t="s">
        <v>24058</v>
      </c>
      <c r="F12135" s="1" t="s">
        <v>70</v>
      </c>
    </row>
    <row r="12136" spans="1:6" ht="30" customHeight="1" x14ac:dyDescent="0.25">
      <c r="A12136" s="1" t="s">
        <v>24059</v>
      </c>
      <c r="B12136" s="1" t="str">
        <f>"9780300162998"</f>
        <v>9780300162998</v>
      </c>
      <c r="C12136" s="1" t="s">
        <v>23964</v>
      </c>
      <c r="D12136" s="2">
        <v>40235</v>
      </c>
      <c r="E12136" s="1" t="s">
        <v>24060</v>
      </c>
      <c r="F12136" s="1" t="s">
        <v>11460</v>
      </c>
    </row>
    <row r="12137" spans="1:6" ht="30" customHeight="1" x14ac:dyDescent="0.25">
      <c r="A12137" s="1" t="s">
        <v>24061</v>
      </c>
      <c r="B12137" s="1" t="str">
        <f>"9780300171723"</f>
        <v>9780300171723</v>
      </c>
      <c r="C12137" s="1" t="s">
        <v>23964</v>
      </c>
      <c r="D12137" s="2">
        <v>40809</v>
      </c>
      <c r="E12137" s="1" t="s">
        <v>24062</v>
      </c>
      <c r="F12137" s="1" t="s">
        <v>13</v>
      </c>
    </row>
    <row r="12138" spans="1:6" ht="30" customHeight="1" x14ac:dyDescent="0.25">
      <c r="A12138" s="1" t="s">
        <v>24063</v>
      </c>
      <c r="B12138" s="1" t="str">
        <f>"9780300189551"</f>
        <v>9780300189551</v>
      </c>
      <c r="C12138" s="1" t="s">
        <v>23964</v>
      </c>
      <c r="D12138" s="2">
        <v>41443</v>
      </c>
      <c r="E12138" s="1" t="s">
        <v>24064</v>
      </c>
      <c r="F12138" s="1" t="s">
        <v>158</v>
      </c>
    </row>
    <row r="12139" spans="1:6" ht="30" customHeight="1" x14ac:dyDescent="0.25">
      <c r="A12139" s="1" t="s">
        <v>24065</v>
      </c>
      <c r="B12139" s="1" t="str">
        <f>"9780300189438"</f>
        <v>9780300189438</v>
      </c>
      <c r="C12139" s="1" t="s">
        <v>23964</v>
      </c>
      <c r="D12139" s="2">
        <v>41471</v>
      </c>
      <c r="E12139" s="1" t="s">
        <v>385</v>
      </c>
      <c r="F12139" s="1" t="s">
        <v>294</v>
      </c>
    </row>
    <row r="12140" spans="1:6" ht="30" customHeight="1" x14ac:dyDescent="0.25">
      <c r="A12140" s="1" t="s">
        <v>24066</v>
      </c>
      <c r="B12140" s="1" t="str">
        <f>"9780300184297"</f>
        <v>9780300184297</v>
      </c>
      <c r="C12140" s="1" t="s">
        <v>23964</v>
      </c>
      <c r="D12140" s="2">
        <v>41541</v>
      </c>
      <c r="E12140" s="1" t="s">
        <v>24067</v>
      </c>
      <c r="F12140" s="1" t="s">
        <v>13</v>
      </c>
    </row>
    <row r="12141" spans="1:6" ht="30" customHeight="1" x14ac:dyDescent="0.25">
      <c r="A12141" s="1" t="s">
        <v>24068</v>
      </c>
      <c r="B12141" s="1" t="str">
        <f>"9780300199239"</f>
        <v>9780300199239</v>
      </c>
      <c r="C12141" s="1" t="s">
        <v>23964</v>
      </c>
      <c r="D12141" s="2">
        <v>41606</v>
      </c>
      <c r="E12141" s="1" t="s">
        <v>24069</v>
      </c>
      <c r="F12141" s="1" t="s">
        <v>176</v>
      </c>
    </row>
    <row r="12142" spans="1:6" ht="30" customHeight="1" x14ac:dyDescent="0.25">
      <c r="A12142" s="1" t="s">
        <v>24070</v>
      </c>
      <c r="B12142" s="1" t="str">
        <f>"9780300199260"</f>
        <v>9780300199260</v>
      </c>
      <c r="C12142" s="1" t="s">
        <v>23964</v>
      </c>
      <c r="D12142" s="2">
        <v>41758</v>
      </c>
      <c r="E12142" s="1" t="s">
        <v>24071</v>
      </c>
      <c r="F12142" s="1" t="s">
        <v>13</v>
      </c>
    </row>
    <row r="12143" spans="1:6" ht="30" customHeight="1" x14ac:dyDescent="0.25">
      <c r="A12143" s="1" t="s">
        <v>24072</v>
      </c>
      <c r="B12143" s="1" t="str">
        <f>"9780300211313"</f>
        <v>9780300211313</v>
      </c>
      <c r="C12143" s="1" t="s">
        <v>23964</v>
      </c>
      <c r="D12143" s="2">
        <v>39532</v>
      </c>
      <c r="E12143" s="1" t="s">
        <v>24073</v>
      </c>
      <c r="F12143" s="1" t="s">
        <v>1338</v>
      </c>
    </row>
    <row r="12144" spans="1:6" ht="30" customHeight="1" x14ac:dyDescent="0.25">
      <c r="A12144" s="1" t="s">
        <v>24074</v>
      </c>
      <c r="B12144" s="1" t="str">
        <f>"9781119967606"</f>
        <v>9781119967606</v>
      </c>
      <c r="C12144" s="1" t="s">
        <v>627</v>
      </c>
      <c r="D12144" s="2">
        <v>40982</v>
      </c>
      <c r="E12144" s="1" t="s">
        <v>24075</v>
      </c>
      <c r="F12144" s="1" t="s">
        <v>13</v>
      </c>
    </row>
    <row r="12145" spans="1:6" ht="30" customHeight="1" x14ac:dyDescent="0.25">
      <c r="A12145" s="1" t="s">
        <v>24076</v>
      </c>
      <c r="B12145" s="1" t="str">
        <f>"9789290929772"</f>
        <v>9789290929772</v>
      </c>
      <c r="C12145" s="1" t="s">
        <v>19547</v>
      </c>
      <c r="D12145" s="2">
        <v>40909</v>
      </c>
      <c r="E12145" s="1" t="s">
        <v>19547</v>
      </c>
      <c r="F12145" s="1" t="s">
        <v>30</v>
      </c>
    </row>
    <row r="12146" spans="1:6" ht="30" customHeight="1" x14ac:dyDescent="0.25">
      <c r="A12146" s="1" t="s">
        <v>24077</v>
      </c>
      <c r="B12146" s="1" t="str">
        <f>"9781585284375"</f>
        <v>9781585284375</v>
      </c>
      <c r="C12146" s="1" t="s">
        <v>19579</v>
      </c>
      <c r="D12146" s="2">
        <v>42159</v>
      </c>
      <c r="E12146" s="1" t="s">
        <v>24078</v>
      </c>
      <c r="F12146" s="1" t="s">
        <v>13</v>
      </c>
    </row>
    <row r="12147" spans="1:6" ht="30" customHeight="1" x14ac:dyDescent="0.25">
      <c r="A12147" s="1" t="s">
        <v>24079</v>
      </c>
      <c r="B12147" s="1" t="str">
        <f>"9781585284931"</f>
        <v>9781585284931</v>
      </c>
      <c r="C12147" s="1" t="s">
        <v>19579</v>
      </c>
      <c r="D12147" s="2">
        <v>42215</v>
      </c>
      <c r="E12147" s="1" t="s">
        <v>24080</v>
      </c>
      <c r="F12147" s="1" t="s">
        <v>13</v>
      </c>
    </row>
    <row r="12148" spans="1:6" ht="30" customHeight="1" x14ac:dyDescent="0.25">
      <c r="A12148" s="1" t="s">
        <v>24081</v>
      </c>
      <c r="B12148" s="1" t="str">
        <f>"9780801456442"</f>
        <v>9780801456442</v>
      </c>
      <c r="C12148" s="1" t="s">
        <v>19796</v>
      </c>
      <c r="D12148" s="2">
        <v>42324</v>
      </c>
      <c r="E12148" s="1" t="s">
        <v>839</v>
      </c>
      <c r="F12148" s="1" t="s">
        <v>114</v>
      </c>
    </row>
    <row r="12149" spans="1:6" ht="30" customHeight="1" x14ac:dyDescent="0.25">
      <c r="A12149" s="1" t="s">
        <v>24082</v>
      </c>
      <c r="B12149" s="1" t="str">
        <f>"9780823265138"</f>
        <v>9780823265138</v>
      </c>
      <c r="C12149" s="1" t="s">
        <v>19925</v>
      </c>
      <c r="D12149" s="2">
        <v>42186</v>
      </c>
      <c r="E12149" s="1" t="s">
        <v>24083</v>
      </c>
      <c r="F12149" s="1" t="s">
        <v>13</v>
      </c>
    </row>
    <row r="12150" spans="1:6" ht="30" customHeight="1" x14ac:dyDescent="0.25">
      <c r="A12150" s="1" t="s">
        <v>24084</v>
      </c>
      <c r="B12150" s="1" t="str">
        <f>""</f>
        <v/>
      </c>
      <c r="C12150" s="1" t="s">
        <v>20061</v>
      </c>
      <c r="D12150" s="2">
        <v>41609</v>
      </c>
      <c r="E12150" s="1" t="s">
        <v>24085</v>
      </c>
      <c r="F12150" s="1" t="s">
        <v>30</v>
      </c>
    </row>
    <row r="12151" spans="1:6" ht="30" customHeight="1" x14ac:dyDescent="0.25">
      <c r="A12151" s="1" t="s">
        <v>20377</v>
      </c>
      <c r="B12151" s="1" t="str">
        <f>"9781421416588"</f>
        <v>9781421416588</v>
      </c>
      <c r="C12151" s="1" t="s">
        <v>20186</v>
      </c>
      <c r="D12151" s="2">
        <v>42145</v>
      </c>
      <c r="E12151" s="1" t="s">
        <v>24086</v>
      </c>
      <c r="F12151" s="1" t="s">
        <v>205</v>
      </c>
    </row>
    <row r="12152" spans="1:6" ht="30" customHeight="1" x14ac:dyDescent="0.25">
      <c r="A12152" s="1" t="s">
        <v>24087</v>
      </c>
      <c r="B12152" s="1" t="str">
        <f>"9780262329439"</f>
        <v>9780262329439</v>
      </c>
      <c r="C12152" s="1" t="s">
        <v>20719</v>
      </c>
      <c r="D12152" s="2">
        <v>42223</v>
      </c>
      <c r="E12152" s="1" t="s">
        <v>24088</v>
      </c>
      <c r="F12152" s="1" t="s">
        <v>30</v>
      </c>
    </row>
    <row r="12153" spans="1:6" ht="30" customHeight="1" x14ac:dyDescent="0.25">
      <c r="A12153" s="1" t="s">
        <v>24089</v>
      </c>
      <c r="B12153" s="1" t="str">
        <f>"9780262329859"</f>
        <v>9780262329859</v>
      </c>
      <c r="C12153" s="1" t="s">
        <v>20719</v>
      </c>
      <c r="D12153" s="2">
        <v>42237</v>
      </c>
      <c r="E12153" s="1" t="s">
        <v>24090</v>
      </c>
      <c r="F12153" s="1" t="s">
        <v>13</v>
      </c>
    </row>
    <row r="12154" spans="1:6" ht="30" customHeight="1" x14ac:dyDescent="0.25">
      <c r="A12154" s="1" t="s">
        <v>24091</v>
      </c>
      <c r="B12154" s="1" t="str">
        <f>""</f>
        <v/>
      </c>
      <c r="C12154" s="1" t="s">
        <v>24092</v>
      </c>
      <c r="D12154" s="2">
        <v>40190</v>
      </c>
      <c r="E12154" s="1" t="s">
        <v>24093</v>
      </c>
      <c r="F12154" s="1" t="s">
        <v>114</v>
      </c>
    </row>
    <row r="12155" spans="1:6" ht="30" customHeight="1" x14ac:dyDescent="0.25">
      <c r="A12155" s="1" t="s">
        <v>24094</v>
      </c>
      <c r="B12155" s="1" t="str">
        <f>"9780309367844"</f>
        <v>9780309367844</v>
      </c>
      <c r="C12155" s="1" t="s">
        <v>20924</v>
      </c>
      <c r="D12155" s="2">
        <v>42107</v>
      </c>
      <c r="E12155" s="1" t="s">
        <v>24095</v>
      </c>
      <c r="F12155" s="1" t="s">
        <v>24096</v>
      </c>
    </row>
    <row r="12156" spans="1:6" ht="30" customHeight="1" x14ac:dyDescent="0.25">
      <c r="A12156" s="1" t="s">
        <v>24097</v>
      </c>
      <c r="B12156" s="1" t="str">
        <f>"9780309313889"</f>
        <v>9780309313889</v>
      </c>
      <c r="C12156" s="1" t="s">
        <v>20924</v>
      </c>
      <c r="D12156" s="2">
        <v>42114</v>
      </c>
      <c r="E12156" s="1" t="s">
        <v>24098</v>
      </c>
      <c r="F12156" s="1" t="s">
        <v>95</v>
      </c>
    </row>
    <row r="12157" spans="1:6" ht="30" customHeight="1" x14ac:dyDescent="0.25">
      <c r="A12157" s="1" t="s">
        <v>24099</v>
      </c>
      <c r="B12157" s="1" t="str">
        <f>"9780309316309"</f>
        <v>9780309316309</v>
      </c>
      <c r="C12157" s="1" t="s">
        <v>20924</v>
      </c>
      <c r="D12157" s="2">
        <v>42137</v>
      </c>
      <c r="E12157" s="1" t="s">
        <v>24100</v>
      </c>
      <c r="F12157" s="1" t="s">
        <v>13</v>
      </c>
    </row>
    <row r="12158" spans="1:6" ht="30" customHeight="1" x14ac:dyDescent="0.25">
      <c r="A12158" s="1" t="s">
        <v>24101</v>
      </c>
      <c r="B12158" s="1" t="str">
        <f>"9780309316675"</f>
        <v>9780309316675</v>
      </c>
      <c r="C12158" s="1" t="s">
        <v>20924</v>
      </c>
      <c r="D12158" s="2">
        <v>42163</v>
      </c>
      <c r="E12158" s="1" t="s">
        <v>24102</v>
      </c>
      <c r="F12158" s="1" t="s">
        <v>158</v>
      </c>
    </row>
    <row r="12159" spans="1:6" ht="30" customHeight="1" x14ac:dyDescent="0.25">
      <c r="A12159" s="1" t="s">
        <v>24103</v>
      </c>
      <c r="B12159" s="1" t="str">
        <f>"9780309308915"</f>
        <v>9780309308915</v>
      </c>
      <c r="C12159" s="1" t="s">
        <v>20924</v>
      </c>
      <c r="D12159" s="2">
        <v>42175</v>
      </c>
      <c r="E12159" s="1" t="s">
        <v>24104</v>
      </c>
      <c r="F12159" s="1" t="s">
        <v>70</v>
      </c>
    </row>
    <row r="12160" spans="1:6" ht="30" customHeight="1" x14ac:dyDescent="0.25">
      <c r="A12160" s="1" t="s">
        <v>24105</v>
      </c>
      <c r="B12160" s="1" t="str">
        <f>"9780309316354"</f>
        <v>9780309316354</v>
      </c>
      <c r="C12160" s="1" t="s">
        <v>20924</v>
      </c>
      <c r="D12160" s="2">
        <v>42132</v>
      </c>
      <c r="E12160" s="1" t="s">
        <v>24106</v>
      </c>
      <c r="F12160" s="1" t="s">
        <v>126</v>
      </c>
    </row>
    <row r="12161" spans="1:6" ht="30" customHeight="1" x14ac:dyDescent="0.25">
      <c r="A12161" s="1" t="s">
        <v>24107</v>
      </c>
      <c r="B12161" s="1" t="str">
        <f>"9780309371063"</f>
        <v>9780309371063</v>
      </c>
      <c r="C12161" s="1" t="s">
        <v>20924</v>
      </c>
      <c r="D12161" s="2">
        <v>42194</v>
      </c>
      <c r="E12161" s="1" t="s">
        <v>23004</v>
      </c>
      <c r="F12161" s="1" t="s">
        <v>95</v>
      </c>
    </row>
    <row r="12162" spans="1:6" ht="30" customHeight="1" x14ac:dyDescent="0.25">
      <c r="A12162" s="1" t="s">
        <v>24108</v>
      </c>
      <c r="B12162" s="1" t="str">
        <f>"9780309306904"</f>
        <v>9780309306904</v>
      </c>
      <c r="C12162" s="1" t="s">
        <v>20924</v>
      </c>
      <c r="D12162" s="2">
        <v>41908</v>
      </c>
      <c r="E12162" s="1" t="s">
        <v>24109</v>
      </c>
      <c r="F12162" s="1" t="s">
        <v>214</v>
      </c>
    </row>
    <row r="12163" spans="1:6" ht="30" customHeight="1" x14ac:dyDescent="0.25">
      <c r="A12163" s="1" t="s">
        <v>24110</v>
      </c>
      <c r="B12163" s="1" t="str">
        <f>"9780309370912"</f>
        <v>9780309370912</v>
      </c>
      <c r="C12163" s="1" t="s">
        <v>20924</v>
      </c>
      <c r="D12163" s="2">
        <v>42214</v>
      </c>
      <c r="E12163" s="1" t="s">
        <v>24104</v>
      </c>
      <c r="F12163" s="1" t="s">
        <v>599</v>
      </c>
    </row>
    <row r="12164" spans="1:6" ht="30" customHeight="1" x14ac:dyDescent="0.25">
      <c r="A12164" s="1" t="s">
        <v>24111</v>
      </c>
      <c r="B12164" s="1" t="str">
        <f>"9780309368582"</f>
        <v>9780309368582</v>
      </c>
      <c r="C12164" s="1" t="s">
        <v>20924</v>
      </c>
      <c r="D12164" s="2">
        <v>42186</v>
      </c>
      <c r="E12164" s="1" t="s">
        <v>24112</v>
      </c>
      <c r="F12164" s="1" t="s">
        <v>13</v>
      </c>
    </row>
    <row r="12165" spans="1:6" ht="30" customHeight="1" x14ac:dyDescent="0.25">
      <c r="A12165" s="1" t="s">
        <v>24113</v>
      </c>
      <c r="B12165" s="1" t="str">
        <f>"9780309317238"</f>
        <v>9780309317238</v>
      </c>
      <c r="C12165" s="1" t="s">
        <v>20924</v>
      </c>
      <c r="D12165" s="2">
        <v>42233</v>
      </c>
      <c r="E12165" s="1" t="s">
        <v>24114</v>
      </c>
      <c r="F12165" s="1" t="s">
        <v>70</v>
      </c>
    </row>
    <row r="12166" spans="1:6" ht="30" customHeight="1" x14ac:dyDescent="0.25">
      <c r="A12166" s="1" t="s">
        <v>24115</v>
      </c>
      <c r="B12166" s="1" t="str">
        <f>"9780309324861"</f>
        <v>9780309324861</v>
      </c>
      <c r="C12166" s="1" t="s">
        <v>20924</v>
      </c>
      <c r="D12166" s="2">
        <v>42239</v>
      </c>
      <c r="E12166" s="1" t="s">
        <v>24116</v>
      </c>
      <c r="F12166" s="1" t="s">
        <v>176</v>
      </c>
    </row>
    <row r="12167" spans="1:6" ht="30" customHeight="1" x14ac:dyDescent="0.25">
      <c r="A12167" s="1" t="s">
        <v>24117</v>
      </c>
      <c r="B12167" s="1" t="str">
        <f>"9780309367547"</f>
        <v>9780309367547</v>
      </c>
      <c r="C12167" s="1" t="s">
        <v>20924</v>
      </c>
      <c r="D12167" s="2">
        <v>42251</v>
      </c>
      <c r="E12167" s="1" t="s">
        <v>24118</v>
      </c>
      <c r="F12167" s="1" t="s">
        <v>95</v>
      </c>
    </row>
    <row r="12168" spans="1:6" ht="30" customHeight="1" x14ac:dyDescent="0.25">
      <c r="A12168" s="1" t="s">
        <v>24119</v>
      </c>
      <c r="B12168" s="1" t="str">
        <f>"9780309313315"</f>
        <v>9780309313315</v>
      </c>
      <c r="C12168" s="1" t="s">
        <v>20924</v>
      </c>
      <c r="D12168" s="2">
        <v>42130</v>
      </c>
      <c r="E12168" s="1" t="s">
        <v>24120</v>
      </c>
      <c r="F12168" s="1" t="s">
        <v>95</v>
      </c>
    </row>
    <row r="12169" spans="1:6" ht="30" customHeight="1" x14ac:dyDescent="0.25">
      <c r="A12169" s="1" t="s">
        <v>24121</v>
      </c>
      <c r="B12169" s="1" t="str">
        <f>"9780309316736"</f>
        <v>9780309316736</v>
      </c>
      <c r="C12169" s="1" t="s">
        <v>20924</v>
      </c>
      <c r="D12169" s="2">
        <v>42208</v>
      </c>
      <c r="E12169" s="1" t="s">
        <v>24122</v>
      </c>
      <c r="F12169" s="1" t="s">
        <v>214</v>
      </c>
    </row>
    <row r="12170" spans="1:6" ht="30" customHeight="1" x14ac:dyDescent="0.25">
      <c r="A12170" s="1" t="s">
        <v>24123</v>
      </c>
      <c r="B12170" s="1" t="str">
        <f>"9780309371131"</f>
        <v>9780309371131</v>
      </c>
      <c r="C12170" s="1" t="s">
        <v>20924</v>
      </c>
      <c r="D12170" s="2">
        <v>42224</v>
      </c>
      <c r="E12170" s="1" t="s">
        <v>24124</v>
      </c>
      <c r="F12170" s="1" t="s">
        <v>13</v>
      </c>
    </row>
    <row r="12171" spans="1:6" ht="30" customHeight="1" x14ac:dyDescent="0.25">
      <c r="A12171" s="1" t="s">
        <v>24125</v>
      </c>
      <c r="B12171" s="1" t="str">
        <f>"9780309116183"</f>
        <v>9780309116183</v>
      </c>
      <c r="C12171" s="1" t="s">
        <v>20924</v>
      </c>
      <c r="D12171" s="2">
        <v>39783</v>
      </c>
      <c r="E12171" s="1" t="s">
        <v>24126</v>
      </c>
      <c r="F12171" s="1" t="s">
        <v>24127</v>
      </c>
    </row>
    <row r="12172" spans="1:6" ht="30" customHeight="1" x14ac:dyDescent="0.25">
      <c r="A12172" s="1" t="s">
        <v>24128</v>
      </c>
      <c r="B12172" s="1" t="str">
        <f>"9780309216975"</f>
        <v>9780309216975</v>
      </c>
      <c r="C12172" s="1" t="s">
        <v>20924</v>
      </c>
      <c r="D12172" s="2">
        <v>40970</v>
      </c>
      <c r="E12172" s="1" t="s">
        <v>24129</v>
      </c>
      <c r="F12172" s="1" t="s">
        <v>1469</v>
      </c>
    </row>
    <row r="12173" spans="1:6" ht="30" customHeight="1" x14ac:dyDescent="0.25">
      <c r="A12173" s="1" t="s">
        <v>24130</v>
      </c>
      <c r="B12173" s="1" t="str">
        <f>"9781938835605"</f>
        <v>9781938835605</v>
      </c>
      <c r="C12173" s="1" t="s">
        <v>23057</v>
      </c>
      <c r="D12173" s="2">
        <v>42005</v>
      </c>
      <c r="E12173" s="1" t="s">
        <v>24131</v>
      </c>
      <c r="F12173" s="1" t="s">
        <v>126</v>
      </c>
    </row>
    <row r="12174" spans="1:6" ht="30" customHeight="1" x14ac:dyDescent="0.25">
      <c r="A12174" s="1" t="s">
        <v>24132</v>
      </c>
      <c r="B12174" s="1" t="str">
        <f>"9781940446165"</f>
        <v>9781940446165</v>
      </c>
      <c r="C12174" s="1" t="s">
        <v>23057</v>
      </c>
      <c r="D12174" s="2">
        <v>42125</v>
      </c>
      <c r="E12174" s="1" t="s">
        <v>23094</v>
      </c>
      <c r="F12174" s="1" t="s">
        <v>19836</v>
      </c>
    </row>
    <row r="12175" spans="1:6" ht="30" customHeight="1" x14ac:dyDescent="0.25">
      <c r="A12175" s="1" t="s">
        <v>24133</v>
      </c>
      <c r="B12175" s="1" t="str">
        <f>"9781940446066"</f>
        <v>9781940446066</v>
      </c>
      <c r="C12175" s="1" t="s">
        <v>23057</v>
      </c>
      <c r="D12175" s="2">
        <v>42005</v>
      </c>
      <c r="E12175" s="1" t="s">
        <v>24134</v>
      </c>
      <c r="F12175" s="1" t="s">
        <v>126</v>
      </c>
    </row>
    <row r="12176" spans="1:6" ht="30" customHeight="1" x14ac:dyDescent="0.25">
      <c r="A12176" s="1" t="s">
        <v>24135</v>
      </c>
      <c r="B12176" s="1" t="str">
        <f>"9781937554972"</f>
        <v>9781937554972</v>
      </c>
      <c r="C12176" s="1" t="s">
        <v>23057</v>
      </c>
      <c r="D12176" s="2">
        <v>42156</v>
      </c>
      <c r="E12176" s="1" t="s">
        <v>24136</v>
      </c>
      <c r="F12176" s="1" t="s">
        <v>95</v>
      </c>
    </row>
    <row r="12177" spans="1:6" ht="30" customHeight="1" x14ac:dyDescent="0.25">
      <c r="A12177" s="1" t="s">
        <v>24137</v>
      </c>
      <c r="B12177" s="1" t="str">
        <f>"9781940446028"</f>
        <v>9781940446028</v>
      </c>
      <c r="C12177" s="1" t="s">
        <v>23057</v>
      </c>
      <c r="D12177" s="2">
        <v>42172</v>
      </c>
      <c r="E12177" s="1" t="s">
        <v>24138</v>
      </c>
      <c r="F12177" s="1" t="s">
        <v>126</v>
      </c>
    </row>
    <row r="12178" spans="1:6" ht="30" customHeight="1" x14ac:dyDescent="0.25">
      <c r="A12178" s="1" t="s">
        <v>24139</v>
      </c>
      <c r="B12178" s="1" t="str">
        <f>"9780780813977"</f>
        <v>9780780813977</v>
      </c>
      <c r="C12178" s="1" t="s">
        <v>23181</v>
      </c>
      <c r="D12178" s="2">
        <v>42185</v>
      </c>
      <c r="E12178" s="1" t="s">
        <v>24140</v>
      </c>
      <c r="F12178" s="1" t="s">
        <v>13</v>
      </c>
    </row>
    <row r="12179" spans="1:6" ht="30" customHeight="1" x14ac:dyDescent="0.25">
      <c r="A12179" s="1" t="s">
        <v>24141</v>
      </c>
      <c r="B12179" s="1" t="str">
        <f>"9781935864226"</f>
        <v>9781935864226</v>
      </c>
      <c r="C12179" s="1" t="s">
        <v>23184</v>
      </c>
      <c r="D12179" s="2">
        <v>40923</v>
      </c>
      <c r="E12179" s="1" t="s">
        <v>24142</v>
      </c>
      <c r="F12179" s="1" t="s">
        <v>126</v>
      </c>
    </row>
    <row r="12180" spans="1:6" ht="30" customHeight="1" x14ac:dyDescent="0.25">
      <c r="A12180" s="1" t="s">
        <v>24143</v>
      </c>
      <c r="B12180" s="1" t="str">
        <f>"9781935864349"</f>
        <v>9781935864349</v>
      </c>
      <c r="C12180" s="1" t="s">
        <v>23184</v>
      </c>
      <c r="D12180" s="2">
        <v>41379</v>
      </c>
      <c r="E12180" s="1" t="s">
        <v>24144</v>
      </c>
      <c r="F12180" s="1" t="s">
        <v>13</v>
      </c>
    </row>
    <row r="12181" spans="1:6" ht="30" customHeight="1" x14ac:dyDescent="0.25">
      <c r="A12181" s="1" t="s">
        <v>6999</v>
      </c>
      <c r="B12181" s="1" t="str">
        <f>""</f>
        <v/>
      </c>
      <c r="C12181" s="1" t="s">
        <v>23184</v>
      </c>
      <c r="D12181" s="2">
        <v>40923</v>
      </c>
      <c r="E12181" s="1" t="s">
        <v>24145</v>
      </c>
      <c r="F12181" s="1" t="s">
        <v>13</v>
      </c>
    </row>
    <row r="12182" spans="1:6" ht="30" customHeight="1" x14ac:dyDescent="0.25">
      <c r="A12182" s="1" t="s">
        <v>24146</v>
      </c>
      <c r="B12182" s="1" t="str">
        <f>"9781935864653"</f>
        <v>9781935864653</v>
      </c>
      <c r="C12182" s="1" t="s">
        <v>23184</v>
      </c>
      <c r="D12182" s="2">
        <v>42156</v>
      </c>
      <c r="E12182" s="1" t="s">
        <v>24147</v>
      </c>
      <c r="F12182" s="1" t="s">
        <v>95</v>
      </c>
    </row>
    <row r="12183" spans="1:6" ht="30" customHeight="1" x14ac:dyDescent="0.25">
      <c r="A12183" s="1" t="s">
        <v>24148</v>
      </c>
      <c r="B12183" s="1" t="str">
        <f>""</f>
        <v/>
      </c>
      <c r="C12183" s="1" t="s">
        <v>23184</v>
      </c>
      <c r="D12183" s="2">
        <v>41424</v>
      </c>
      <c r="E12183" s="1" t="s">
        <v>24149</v>
      </c>
      <c r="F12183" s="1" t="s">
        <v>13</v>
      </c>
    </row>
    <row r="12184" spans="1:6" ht="30" customHeight="1" x14ac:dyDescent="0.25">
      <c r="A12184" s="1" t="s">
        <v>24150</v>
      </c>
      <c r="B12184" s="1" t="str">
        <f>""</f>
        <v/>
      </c>
      <c r="C12184" s="1" t="s">
        <v>23184</v>
      </c>
      <c r="D12184" s="2">
        <v>40527</v>
      </c>
      <c r="E12184" s="1" t="s">
        <v>24151</v>
      </c>
      <c r="F12184" s="1" t="s">
        <v>13</v>
      </c>
    </row>
    <row r="12185" spans="1:6" ht="30" customHeight="1" x14ac:dyDescent="0.25">
      <c r="A12185" s="1" t="s">
        <v>24152</v>
      </c>
      <c r="B12185" s="1" t="str">
        <f>"9781935864493"</f>
        <v>9781935864493</v>
      </c>
      <c r="C12185" s="1" t="s">
        <v>23184</v>
      </c>
      <c r="D12185" s="2">
        <v>40817</v>
      </c>
      <c r="E12185" s="1" t="s">
        <v>24153</v>
      </c>
      <c r="F12185" s="1" t="s">
        <v>13</v>
      </c>
    </row>
    <row r="12186" spans="1:6" ht="30" customHeight="1" x14ac:dyDescent="0.25">
      <c r="A12186" s="1" t="s">
        <v>24154</v>
      </c>
      <c r="B12186" s="1" t="str">
        <f>"9781935864462"</f>
        <v>9781935864462</v>
      </c>
      <c r="C12186" s="1" t="s">
        <v>23184</v>
      </c>
      <c r="D12186" s="2">
        <v>41183</v>
      </c>
      <c r="E12186" s="1" t="s">
        <v>24155</v>
      </c>
      <c r="F12186" s="1" t="s">
        <v>234</v>
      </c>
    </row>
    <row r="12187" spans="1:6" ht="30" customHeight="1" x14ac:dyDescent="0.25">
      <c r="A12187" s="1" t="s">
        <v>24156</v>
      </c>
      <c r="B12187" s="1" t="str">
        <f>"9781935864585"</f>
        <v>9781935864585</v>
      </c>
      <c r="C12187" s="1" t="s">
        <v>23184</v>
      </c>
      <c r="D12187" s="2">
        <v>42109</v>
      </c>
      <c r="E12187" s="1" t="s">
        <v>24157</v>
      </c>
      <c r="F12187" s="1" t="s">
        <v>13</v>
      </c>
    </row>
    <row r="12188" spans="1:6" ht="30" customHeight="1" x14ac:dyDescent="0.25">
      <c r="A12188" s="1" t="s">
        <v>277</v>
      </c>
      <c r="B12188" s="1" t="str">
        <f>""</f>
        <v/>
      </c>
      <c r="C12188" s="1" t="s">
        <v>23184</v>
      </c>
      <c r="D12188" s="2">
        <v>40801</v>
      </c>
      <c r="E12188" s="1" t="s">
        <v>24158</v>
      </c>
      <c r="F12188" s="1" t="s">
        <v>13</v>
      </c>
    </row>
    <row r="12189" spans="1:6" ht="30" customHeight="1" x14ac:dyDescent="0.25">
      <c r="A12189" s="1" t="s">
        <v>24159</v>
      </c>
      <c r="B12189" s="1" t="str">
        <f>""</f>
        <v/>
      </c>
      <c r="C12189" s="1" t="s">
        <v>23184</v>
      </c>
      <c r="D12189" s="2">
        <v>40954</v>
      </c>
      <c r="E12189" s="1" t="s">
        <v>24160</v>
      </c>
      <c r="F12189" s="1" t="s">
        <v>13</v>
      </c>
    </row>
    <row r="12190" spans="1:6" ht="30" customHeight="1" x14ac:dyDescent="0.25">
      <c r="A12190" s="1" t="s">
        <v>24161</v>
      </c>
      <c r="B12190" s="1" t="str">
        <f>"9781935864394"</f>
        <v>9781935864394</v>
      </c>
      <c r="C12190" s="1" t="s">
        <v>23184</v>
      </c>
      <c r="D12190" s="2">
        <v>40360</v>
      </c>
      <c r="E12190" s="1" t="s">
        <v>24151</v>
      </c>
      <c r="F12190" s="1" t="s">
        <v>13</v>
      </c>
    </row>
    <row r="12191" spans="1:6" ht="30" customHeight="1" x14ac:dyDescent="0.25">
      <c r="A12191" s="1" t="s">
        <v>24162</v>
      </c>
      <c r="B12191" s="1" t="str">
        <f>"9781935864455"</f>
        <v>9781935864455</v>
      </c>
      <c r="C12191" s="1" t="s">
        <v>23184</v>
      </c>
      <c r="D12191" s="2">
        <v>41669</v>
      </c>
      <c r="E12191" s="1" t="s">
        <v>24147</v>
      </c>
      <c r="F12191" s="1" t="s">
        <v>13</v>
      </c>
    </row>
    <row r="12192" spans="1:6" ht="30" customHeight="1" x14ac:dyDescent="0.25">
      <c r="A12192" s="1" t="s">
        <v>24163</v>
      </c>
      <c r="B12192" s="1" t="str">
        <f>"9781935864516"</f>
        <v>9781935864516</v>
      </c>
      <c r="C12192" s="1" t="s">
        <v>23184</v>
      </c>
      <c r="D12192" s="2">
        <v>41455</v>
      </c>
      <c r="E12192" s="1" t="s">
        <v>24164</v>
      </c>
      <c r="F12192" s="1" t="s">
        <v>13</v>
      </c>
    </row>
    <row r="12193" spans="1:6" ht="30" customHeight="1" x14ac:dyDescent="0.25">
      <c r="A12193" s="1" t="s">
        <v>24165</v>
      </c>
      <c r="B12193" s="1" t="str">
        <f>""</f>
        <v/>
      </c>
      <c r="C12193" s="1" t="s">
        <v>23184</v>
      </c>
      <c r="D12193" s="2">
        <v>40954</v>
      </c>
      <c r="E12193" s="1" t="s">
        <v>24166</v>
      </c>
      <c r="F12193" s="1" t="s">
        <v>13</v>
      </c>
    </row>
    <row r="12194" spans="1:6" ht="30" customHeight="1" x14ac:dyDescent="0.25">
      <c r="A12194" s="1" t="s">
        <v>24167</v>
      </c>
      <c r="B12194" s="1" t="str">
        <f>"9781935864363"</f>
        <v>9781935864363</v>
      </c>
      <c r="C12194" s="1" t="s">
        <v>23184</v>
      </c>
      <c r="D12194" s="2">
        <v>40756</v>
      </c>
      <c r="E12194" s="1" t="s">
        <v>24168</v>
      </c>
      <c r="F12194" s="1" t="s">
        <v>13</v>
      </c>
    </row>
    <row r="12195" spans="1:6" ht="30" customHeight="1" x14ac:dyDescent="0.25">
      <c r="A12195" s="1" t="s">
        <v>24169</v>
      </c>
      <c r="B12195" s="1" t="str">
        <f>"9781935864578"</f>
        <v>9781935864578</v>
      </c>
      <c r="C12195" s="1" t="s">
        <v>23184</v>
      </c>
      <c r="D12195" s="2">
        <v>41883</v>
      </c>
      <c r="E12195" s="1" t="s">
        <v>24170</v>
      </c>
      <c r="F12195" s="1" t="s">
        <v>13</v>
      </c>
    </row>
    <row r="12196" spans="1:6" ht="30" customHeight="1" x14ac:dyDescent="0.25">
      <c r="A12196" s="1" t="s">
        <v>24171</v>
      </c>
      <c r="B12196" s="1" t="str">
        <f>""</f>
        <v/>
      </c>
      <c r="C12196" s="1" t="s">
        <v>23184</v>
      </c>
      <c r="D12196" s="2">
        <v>40878</v>
      </c>
      <c r="E12196" s="1" t="s">
        <v>24172</v>
      </c>
      <c r="F12196" s="1" t="s">
        <v>13</v>
      </c>
    </row>
    <row r="12197" spans="1:6" ht="30" customHeight="1" x14ac:dyDescent="0.25">
      <c r="A12197" s="1" t="s">
        <v>24173</v>
      </c>
      <c r="B12197" s="1" t="str">
        <f>"9781935864233"</f>
        <v>9781935864233</v>
      </c>
      <c r="C12197" s="1" t="s">
        <v>23184</v>
      </c>
      <c r="D12197" s="2">
        <v>40923</v>
      </c>
      <c r="E12197" s="1" t="s">
        <v>24147</v>
      </c>
      <c r="F12197" s="1" t="s">
        <v>13</v>
      </c>
    </row>
    <row r="12198" spans="1:6" ht="30" customHeight="1" x14ac:dyDescent="0.25">
      <c r="A12198" s="1" t="s">
        <v>24174</v>
      </c>
      <c r="B12198" s="1" t="str">
        <f>""</f>
        <v/>
      </c>
      <c r="C12198" s="1" t="s">
        <v>23184</v>
      </c>
      <c r="D12198" s="2">
        <v>41105</v>
      </c>
      <c r="E12198" s="1" t="s">
        <v>24175</v>
      </c>
      <c r="F12198" s="1" t="s">
        <v>13</v>
      </c>
    </row>
    <row r="12199" spans="1:6" ht="30" customHeight="1" x14ac:dyDescent="0.25">
      <c r="A12199" s="1" t="s">
        <v>24176</v>
      </c>
      <c r="B12199" s="1" t="str">
        <f>"9781935864981"</f>
        <v>9781935864981</v>
      </c>
      <c r="C12199" s="1" t="s">
        <v>23184</v>
      </c>
      <c r="D12199" s="2">
        <v>41850</v>
      </c>
      <c r="E12199" s="1" t="s">
        <v>24177</v>
      </c>
      <c r="F12199" s="1" t="s">
        <v>234</v>
      </c>
    </row>
    <row r="12200" spans="1:6" ht="30" customHeight="1" x14ac:dyDescent="0.25">
      <c r="A12200" s="1" t="s">
        <v>24178</v>
      </c>
      <c r="B12200" s="1" t="str">
        <f>"9781935864509"</f>
        <v>9781935864509</v>
      </c>
      <c r="C12200" s="1" t="s">
        <v>23184</v>
      </c>
      <c r="D12200" s="2">
        <v>41456</v>
      </c>
      <c r="E12200" s="1" t="s">
        <v>24179</v>
      </c>
      <c r="F12200" s="1" t="s">
        <v>13</v>
      </c>
    </row>
    <row r="12201" spans="1:6" ht="30" customHeight="1" x14ac:dyDescent="0.25">
      <c r="A12201" s="1" t="s">
        <v>24180</v>
      </c>
      <c r="B12201" s="1" t="str">
        <f>"9781935864967"</f>
        <v>9781935864967</v>
      </c>
      <c r="C12201" s="1" t="s">
        <v>23184</v>
      </c>
      <c r="D12201" s="2">
        <v>41305</v>
      </c>
      <c r="E12201" s="1" t="s">
        <v>24181</v>
      </c>
      <c r="F12201" s="1" t="s">
        <v>234</v>
      </c>
    </row>
    <row r="12202" spans="1:6" ht="30" customHeight="1" x14ac:dyDescent="0.25">
      <c r="A12202" s="1" t="s">
        <v>24182</v>
      </c>
      <c r="B12202" s="1" t="str">
        <f>"9781935864691"</f>
        <v>9781935864691</v>
      </c>
      <c r="C12202" s="1" t="s">
        <v>23184</v>
      </c>
      <c r="D12202" s="2">
        <v>42125</v>
      </c>
      <c r="E12202" s="1" t="s">
        <v>24183</v>
      </c>
      <c r="F12202" s="1" t="s">
        <v>30</v>
      </c>
    </row>
    <row r="12203" spans="1:6" ht="30" customHeight="1" x14ac:dyDescent="0.25">
      <c r="A12203" s="1" t="s">
        <v>24184</v>
      </c>
      <c r="B12203" s="1" t="str">
        <f>"9781935864998"</f>
        <v>9781935864998</v>
      </c>
      <c r="C12203" s="1" t="s">
        <v>23184</v>
      </c>
      <c r="D12203" s="2">
        <v>41852</v>
      </c>
      <c r="E12203" s="1" t="s">
        <v>24185</v>
      </c>
      <c r="F12203" s="1" t="s">
        <v>13</v>
      </c>
    </row>
    <row r="12204" spans="1:6" ht="30" customHeight="1" x14ac:dyDescent="0.25">
      <c r="A12204" s="1" t="s">
        <v>24186</v>
      </c>
      <c r="B12204" s="1" t="str">
        <f>"9781935864974"</f>
        <v>9781935864974</v>
      </c>
      <c r="C12204" s="1" t="s">
        <v>23184</v>
      </c>
      <c r="D12204" s="2">
        <v>41640</v>
      </c>
      <c r="E12204" s="1" t="s">
        <v>24187</v>
      </c>
      <c r="F12204" s="1" t="s">
        <v>13</v>
      </c>
    </row>
    <row r="12205" spans="1:6" ht="30" customHeight="1" x14ac:dyDescent="0.25">
      <c r="A12205" s="1" t="s">
        <v>24188</v>
      </c>
      <c r="B12205" s="1" t="str">
        <f>""</f>
        <v/>
      </c>
      <c r="C12205" s="1" t="s">
        <v>23184</v>
      </c>
      <c r="D12205" s="2">
        <v>40998</v>
      </c>
      <c r="E12205" s="1" t="s">
        <v>24189</v>
      </c>
      <c r="F12205" s="1" t="s">
        <v>13</v>
      </c>
    </row>
    <row r="12206" spans="1:6" ht="30" customHeight="1" x14ac:dyDescent="0.25">
      <c r="A12206" s="1" t="s">
        <v>24190</v>
      </c>
      <c r="B12206" s="1" t="str">
        <f>"9781783741199"</f>
        <v>9781783741199</v>
      </c>
      <c r="C12206" s="1" t="s">
        <v>24191</v>
      </c>
      <c r="D12206" s="2">
        <v>41886</v>
      </c>
      <c r="E12206" s="1" t="s">
        <v>24192</v>
      </c>
      <c r="F12206" s="1" t="s">
        <v>13</v>
      </c>
    </row>
    <row r="12207" spans="1:6" ht="30" customHeight="1" x14ac:dyDescent="0.25">
      <c r="A12207" s="1" t="s">
        <v>24193</v>
      </c>
      <c r="B12207" s="1" t="str">
        <f>"9780826266040"</f>
        <v>9780826266040</v>
      </c>
      <c r="C12207" s="1" t="s">
        <v>24194</v>
      </c>
      <c r="D12207" s="2">
        <v>39417</v>
      </c>
      <c r="E12207" s="1" t="s">
        <v>24195</v>
      </c>
      <c r="F12207" s="1" t="s">
        <v>70</v>
      </c>
    </row>
    <row r="12208" spans="1:6" ht="30" customHeight="1" x14ac:dyDescent="0.25">
      <c r="A12208" s="1" t="s">
        <v>24196</v>
      </c>
      <c r="B12208" s="1" t="str">
        <f>"9780826272218"</f>
        <v>9780826272218</v>
      </c>
      <c r="C12208" s="1" t="s">
        <v>24194</v>
      </c>
      <c r="D12208" s="2">
        <v>40513</v>
      </c>
      <c r="E12208" s="1" t="s">
        <v>24197</v>
      </c>
      <c r="F12208" s="1" t="s">
        <v>13</v>
      </c>
    </row>
    <row r="12209" spans="1:6" ht="30" customHeight="1" x14ac:dyDescent="0.25">
      <c r="A12209" s="1" t="s">
        <v>24198</v>
      </c>
      <c r="B12209" s="1" t="str">
        <f>"9780826272928"</f>
        <v>9780826272928</v>
      </c>
      <c r="C12209" s="1" t="s">
        <v>24194</v>
      </c>
      <c r="D12209" s="2">
        <v>41773</v>
      </c>
      <c r="E12209" s="1" t="s">
        <v>24199</v>
      </c>
      <c r="F12209" s="1" t="s">
        <v>13</v>
      </c>
    </row>
    <row r="12210" spans="1:6" ht="30" customHeight="1" x14ac:dyDescent="0.25">
      <c r="A12210" s="1" t="s">
        <v>24200</v>
      </c>
      <c r="B12210" s="1" t="str">
        <f>"9780826273420"</f>
        <v>9780826273420</v>
      </c>
      <c r="C12210" s="1" t="s">
        <v>24194</v>
      </c>
      <c r="D12210" s="2">
        <v>41926</v>
      </c>
      <c r="E12210" s="1" t="s">
        <v>24201</v>
      </c>
      <c r="F12210" s="1" t="s">
        <v>13</v>
      </c>
    </row>
    <row r="12211" spans="1:6" ht="30" customHeight="1" x14ac:dyDescent="0.25">
      <c r="A12211" s="1" t="s">
        <v>24202</v>
      </c>
      <c r="B12211" s="1" t="str">
        <f>"9780268084608"</f>
        <v>9780268084608</v>
      </c>
      <c r="C12211" s="1" t="s">
        <v>24203</v>
      </c>
      <c r="D12211" s="2">
        <v>41455</v>
      </c>
      <c r="E12211" s="1" t="s">
        <v>24204</v>
      </c>
      <c r="F12211" s="1" t="s">
        <v>205</v>
      </c>
    </row>
    <row r="12212" spans="1:6" ht="30" customHeight="1" x14ac:dyDescent="0.25">
      <c r="A12212" s="1" t="s">
        <v>24205</v>
      </c>
      <c r="B12212" s="1" t="str">
        <f>"9780812204735"</f>
        <v>9780812204735</v>
      </c>
      <c r="C12212" s="1" t="s">
        <v>24206</v>
      </c>
      <c r="D12212" s="2">
        <v>36526</v>
      </c>
      <c r="E12212" s="1" t="s">
        <v>24207</v>
      </c>
      <c r="F12212" s="1" t="s">
        <v>13</v>
      </c>
    </row>
    <row r="12213" spans="1:6" ht="30" customHeight="1" x14ac:dyDescent="0.25">
      <c r="A12213" s="1" t="s">
        <v>24208</v>
      </c>
      <c r="B12213" s="1" t="str">
        <f>"9780812200904"</f>
        <v>9780812200904</v>
      </c>
      <c r="C12213" s="1" t="s">
        <v>24206</v>
      </c>
      <c r="D12213" s="2">
        <v>40723</v>
      </c>
      <c r="E12213" s="1" t="s">
        <v>24209</v>
      </c>
      <c r="F12213" s="1" t="s">
        <v>87</v>
      </c>
    </row>
    <row r="12214" spans="1:6" ht="30" customHeight="1" x14ac:dyDescent="0.25">
      <c r="A12214" s="1" t="s">
        <v>24210</v>
      </c>
      <c r="B12214" s="1" t="str">
        <f>"9780812200430"</f>
        <v>9780812200430</v>
      </c>
      <c r="C12214" s="1" t="s">
        <v>24206</v>
      </c>
      <c r="D12214" s="2">
        <v>34335</v>
      </c>
      <c r="E12214" s="1" t="s">
        <v>24211</v>
      </c>
      <c r="F12214" s="1" t="s">
        <v>158</v>
      </c>
    </row>
    <row r="12215" spans="1:6" ht="30" customHeight="1" x14ac:dyDescent="0.25">
      <c r="A12215" s="1" t="s">
        <v>24212</v>
      </c>
      <c r="B12215" s="1" t="str">
        <f>"9780812200270"</f>
        <v>9780812200270</v>
      </c>
      <c r="C12215" s="1" t="s">
        <v>24206</v>
      </c>
      <c r="D12215" s="2">
        <v>34700</v>
      </c>
      <c r="E12215" s="1" t="s">
        <v>23646</v>
      </c>
      <c r="F12215" s="1" t="s">
        <v>30</v>
      </c>
    </row>
    <row r="12216" spans="1:6" ht="30" customHeight="1" x14ac:dyDescent="0.25">
      <c r="A12216" s="1" t="s">
        <v>24213</v>
      </c>
      <c r="B12216" s="1" t="str">
        <f>"9780812202083"</f>
        <v>9780812202083</v>
      </c>
      <c r="C12216" s="1" t="s">
        <v>24206</v>
      </c>
      <c r="D12216" s="2">
        <v>37257</v>
      </c>
      <c r="E12216" s="1" t="s">
        <v>24214</v>
      </c>
      <c r="F12216" s="1" t="s">
        <v>13</v>
      </c>
    </row>
    <row r="12217" spans="1:6" ht="30" customHeight="1" x14ac:dyDescent="0.25">
      <c r="A12217" s="1" t="s">
        <v>24215</v>
      </c>
      <c r="B12217" s="1" t="str">
        <f>"9780812200539"</f>
        <v>9780812200539</v>
      </c>
      <c r="C12217" s="1" t="s">
        <v>24206</v>
      </c>
      <c r="D12217" s="2">
        <v>40393</v>
      </c>
      <c r="E12217" s="1" t="s">
        <v>24216</v>
      </c>
      <c r="F12217" s="1" t="s">
        <v>13</v>
      </c>
    </row>
    <row r="12218" spans="1:6" ht="30" customHeight="1" x14ac:dyDescent="0.25">
      <c r="A12218" s="1" t="s">
        <v>24217</v>
      </c>
      <c r="B12218" s="1" t="str">
        <f>"9780812201918"</f>
        <v>9780812201918</v>
      </c>
      <c r="C12218" s="1" t="s">
        <v>24206</v>
      </c>
      <c r="D12218" s="2">
        <v>38718</v>
      </c>
      <c r="E12218" s="1" t="s">
        <v>24218</v>
      </c>
      <c r="F12218" s="1" t="s">
        <v>13</v>
      </c>
    </row>
    <row r="12219" spans="1:6" ht="30" customHeight="1" x14ac:dyDescent="0.25">
      <c r="A12219" s="1" t="s">
        <v>24219</v>
      </c>
      <c r="B12219" s="1" t="str">
        <f>"9780812202908"</f>
        <v>9780812202908</v>
      </c>
      <c r="C12219" s="1" t="s">
        <v>24206</v>
      </c>
      <c r="D12219" s="2">
        <v>36892</v>
      </c>
      <c r="E12219" s="1" t="s">
        <v>24220</v>
      </c>
      <c r="F12219" s="1" t="s">
        <v>126</v>
      </c>
    </row>
    <row r="12220" spans="1:6" ht="30" customHeight="1" x14ac:dyDescent="0.25">
      <c r="A12220" s="1" t="s">
        <v>24221</v>
      </c>
      <c r="B12220" s="1" t="str">
        <f>"9780812202977"</f>
        <v>9780812202977</v>
      </c>
      <c r="C12220" s="1" t="s">
        <v>24206</v>
      </c>
      <c r="D12220" s="2">
        <v>40393</v>
      </c>
      <c r="E12220" s="1" t="s">
        <v>24222</v>
      </c>
      <c r="F12220" s="1" t="s">
        <v>286</v>
      </c>
    </row>
    <row r="12221" spans="1:6" ht="30" customHeight="1" x14ac:dyDescent="0.25">
      <c r="A12221" s="1" t="s">
        <v>24223</v>
      </c>
      <c r="B12221" s="1" t="str">
        <f>"9780812202403"</f>
        <v>9780812202403</v>
      </c>
      <c r="C12221" s="1" t="s">
        <v>24206</v>
      </c>
      <c r="D12221" s="2">
        <v>39814</v>
      </c>
      <c r="E12221" s="1" t="s">
        <v>24224</v>
      </c>
      <c r="F12221" s="1" t="s">
        <v>13</v>
      </c>
    </row>
    <row r="12222" spans="1:6" ht="30" customHeight="1" x14ac:dyDescent="0.25">
      <c r="A12222" s="1" t="s">
        <v>24225</v>
      </c>
      <c r="B12222" s="1" t="str">
        <f>"9780812207552"</f>
        <v>9780812207552</v>
      </c>
      <c r="C12222" s="1" t="s">
        <v>24206</v>
      </c>
      <c r="D12222" s="2">
        <v>41211</v>
      </c>
      <c r="E12222" s="1" t="s">
        <v>24226</v>
      </c>
      <c r="F12222" s="1" t="s">
        <v>30</v>
      </c>
    </row>
    <row r="12223" spans="1:6" ht="30" customHeight="1" x14ac:dyDescent="0.25">
      <c r="A12223" s="1" t="s">
        <v>24227</v>
      </c>
      <c r="B12223" s="1" t="str">
        <f>"9780812205084"</f>
        <v>9780812205084</v>
      </c>
      <c r="C12223" s="1" t="s">
        <v>24206</v>
      </c>
      <c r="D12223" s="2">
        <v>40774</v>
      </c>
      <c r="E12223" s="1" t="s">
        <v>24228</v>
      </c>
      <c r="F12223" s="1" t="s">
        <v>95</v>
      </c>
    </row>
    <row r="12224" spans="1:6" ht="30" customHeight="1" x14ac:dyDescent="0.25">
      <c r="A12224" s="1" t="s">
        <v>24229</v>
      </c>
      <c r="B12224" s="1" t="str">
        <f>"9780812206500"</f>
        <v>9780812206500</v>
      </c>
      <c r="C12224" s="1" t="s">
        <v>24206</v>
      </c>
      <c r="D12224" s="2">
        <v>41135</v>
      </c>
      <c r="E12224" s="1" t="s">
        <v>24230</v>
      </c>
      <c r="F12224" s="1" t="s">
        <v>13</v>
      </c>
    </row>
    <row r="12225" spans="1:6" ht="30" customHeight="1" x14ac:dyDescent="0.25">
      <c r="A12225" s="1" t="s">
        <v>24231</v>
      </c>
      <c r="B12225" s="1" t="str">
        <f>"9780812203165"</f>
        <v>9780812203165</v>
      </c>
      <c r="C12225" s="1" t="s">
        <v>24206</v>
      </c>
      <c r="D12225" s="2">
        <v>36161</v>
      </c>
      <c r="E12225" s="1" t="s">
        <v>24232</v>
      </c>
      <c r="F12225" s="1" t="s">
        <v>13</v>
      </c>
    </row>
    <row r="12226" spans="1:6" ht="30" customHeight="1" x14ac:dyDescent="0.25">
      <c r="A12226" s="1" t="s">
        <v>24233</v>
      </c>
      <c r="B12226" s="1" t="str">
        <f>"9780812204698"</f>
        <v>9780812204698</v>
      </c>
      <c r="C12226" s="1" t="s">
        <v>24206</v>
      </c>
      <c r="D12226" s="2">
        <v>36892</v>
      </c>
      <c r="E12226" s="1" t="s">
        <v>24214</v>
      </c>
      <c r="F12226" s="1" t="s">
        <v>13</v>
      </c>
    </row>
    <row r="12227" spans="1:6" ht="30" customHeight="1" x14ac:dyDescent="0.25">
      <c r="A12227" s="1" t="s">
        <v>24234</v>
      </c>
      <c r="B12227" s="1" t="str">
        <f>"9780812202212"</f>
        <v>9780812202212</v>
      </c>
      <c r="C12227" s="1" t="s">
        <v>24206</v>
      </c>
      <c r="D12227" s="2">
        <v>36892</v>
      </c>
      <c r="E12227" s="1" t="s">
        <v>24235</v>
      </c>
      <c r="F12227" s="1" t="s">
        <v>13</v>
      </c>
    </row>
    <row r="12228" spans="1:6" ht="30" customHeight="1" x14ac:dyDescent="0.25">
      <c r="A12228" s="1" t="s">
        <v>24236</v>
      </c>
      <c r="B12228" s="1" t="str">
        <f>"9780812209020"</f>
        <v>9780812209020</v>
      </c>
      <c r="C12228" s="1" t="s">
        <v>24206</v>
      </c>
      <c r="D12228" s="2">
        <v>41627</v>
      </c>
      <c r="E12228" s="1" t="s">
        <v>24237</v>
      </c>
      <c r="F12228" s="1" t="s">
        <v>95</v>
      </c>
    </row>
    <row r="12229" spans="1:6" ht="30" customHeight="1" x14ac:dyDescent="0.25">
      <c r="A12229" s="1" t="s">
        <v>24238</v>
      </c>
      <c r="B12229" s="1" t="str">
        <f>"9780812209280"</f>
        <v>9780812209280</v>
      </c>
      <c r="C12229" s="1" t="s">
        <v>24206</v>
      </c>
      <c r="D12229" s="2">
        <v>41650</v>
      </c>
      <c r="E12229" s="1" t="s">
        <v>24239</v>
      </c>
      <c r="F12229" s="1" t="s">
        <v>599</v>
      </c>
    </row>
    <row r="12230" spans="1:6" ht="30" customHeight="1" x14ac:dyDescent="0.25">
      <c r="A12230" s="1" t="s">
        <v>24240</v>
      </c>
      <c r="B12230" s="1" t="str">
        <f>"9780812290882"</f>
        <v>9780812290882</v>
      </c>
      <c r="C12230" s="1" t="s">
        <v>24206</v>
      </c>
      <c r="D12230" s="2">
        <v>39814</v>
      </c>
      <c r="E12230" s="1" t="s">
        <v>24241</v>
      </c>
      <c r="F12230" s="1" t="s">
        <v>13</v>
      </c>
    </row>
    <row r="12231" spans="1:6" ht="30" customHeight="1" x14ac:dyDescent="0.25">
      <c r="A12231" s="1" t="s">
        <v>24242</v>
      </c>
      <c r="B12231" s="1" t="str">
        <f>"9780812290271"</f>
        <v>9780812290271</v>
      </c>
      <c r="C12231" s="1" t="s">
        <v>24206</v>
      </c>
      <c r="D12231" s="2">
        <v>41985</v>
      </c>
      <c r="E12231" s="1" t="s">
        <v>24243</v>
      </c>
      <c r="F12231" s="1" t="s">
        <v>126</v>
      </c>
    </row>
    <row r="12232" spans="1:6" ht="30" customHeight="1" x14ac:dyDescent="0.25">
      <c r="A12232" s="1" t="s">
        <v>24244</v>
      </c>
      <c r="B12232" s="1" t="str">
        <f>"9780874219296"</f>
        <v>9780874219296</v>
      </c>
      <c r="C12232" s="1" t="s">
        <v>24245</v>
      </c>
      <c r="D12232" s="2">
        <v>41713</v>
      </c>
      <c r="E12232" s="1" t="s">
        <v>24246</v>
      </c>
      <c r="F12232" s="1" t="s">
        <v>214</v>
      </c>
    </row>
    <row r="12233" spans="1:6" ht="30" customHeight="1" x14ac:dyDescent="0.25">
      <c r="A12233" s="1" t="s">
        <v>24247</v>
      </c>
      <c r="B12233" s="1" t="str">
        <f>"9780292798182"</f>
        <v>9780292798182</v>
      </c>
      <c r="C12233" s="1" t="s">
        <v>24248</v>
      </c>
      <c r="D12233" s="2">
        <v>37591</v>
      </c>
      <c r="E12233" s="1" t="s">
        <v>24249</v>
      </c>
      <c r="F12233" s="1" t="s">
        <v>87</v>
      </c>
    </row>
    <row r="12234" spans="1:6" ht="30" customHeight="1" x14ac:dyDescent="0.25">
      <c r="A12234" s="1" t="s">
        <v>24250</v>
      </c>
      <c r="B12234" s="1" t="str">
        <f>"9780292796911"</f>
        <v>9780292796911</v>
      </c>
      <c r="C12234" s="1" t="s">
        <v>24248</v>
      </c>
      <c r="D12234" s="2">
        <v>38687</v>
      </c>
      <c r="E12234" s="1" t="s">
        <v>24251</v>
      </c>
      <c r="F12234" s="1" t="s">
        <v>5288</v>
      </c>
    </row>
    <row r="12235" spans="1:6" ht="30" customHeight="1" x14ac:dyDescent="0.25">
      <c r="A12235" s="1" t="s">
        <v>24252</v>
      </c>
      <c r="B12235" s="1" t="str">
        <f>"9780292797963"</f>
        <v>9780292797963</v>
      </c>
      <c r="C12235" s="1" t="s">
        <v>24248</v>
      </c>
      <c r="D12235" s="2">
        <v>37226</v>
      </c>
      <c r="E12235" s="1" t="s">
        <v>24253</v>
      </c>
      <c r="F12235" s="1" t="s">
        <v>24254</v>
      </c>
    </row>
    <row r="12236" spans="1:6" ht="30" customHeight="1" x14ac:dyDescent="0.25">
      <c r="A12236" s="1" t="s">
        <v>24255</v>
      </c>
      <c r="B12236" s="1" t="str">
        <f>"9780292794566"</f>
        <v>9780292794566</v>
      </c>
      <c r="C12236" s="1" t="s">
        <v>24248</v>
      </c>
      <c r="D12236" s="2">
        <v>39783</v>
      </c>
      <c r="E12236" s="1" t="s">
        <v>24256</v>
      </c>
      <c r="F12236" s="1" t="s">
        <v>4434</v>
      </c>
    </row>
    <row r="12237" spans="1:6" ht="30" customHeight="1" x14ac:dyDescent="0.25">
      <c r="A12237" s="1" t="s">
        <v>24257</v>
      </c>
      <c r="B12237" s="1" t="str">
        <f>"9780292794443"</f>
        <v>9780292794443</v>
      </c>
      <c r="C12237" s="1" t="s">
        <v>24248</v>
      </c>
      <c r="D12237" s="2">
        <v>39783</v>
      </c>
      <c r="E12237" s="1" t="s">
        <v>24258</v>
      </c>
      <c r="F12237" s="1" t="s">
        <v>13</v>
      </c>
    </row>
    <row r="12238" spans="1:6" ht="30" customHeight="1" x14ac:dyDescent="0.25">
      <c r="A12238" s="1" t="s">
        <v>24259</v>
      </c>
      <c r="B12238" s="1" t="str">
        <f>"9780292799707"</f>
        <v>9780292799707</v>
      </c>
      <c r="C12238" s="1" t="s">
        <v>24248</v>
      </c>
      <c r="D12238" s="2">
        <v>39873</v>
      </c>
      <c r="E12238" s="1" t="s">
        <v>24260</v>
      </c>
      <c r="F12238" s="1" t="s">
        <v>104</v>
      </c>
    </row>
    <row r="12239" spans="1:6" ht="30" customHeight="1" x14ac:dyDescent="0.25">
      <c r="A12239" s="1" t="s">
        <v>24261</v>
      </c>
      <c r="B12239" s="1" t="str">
        <f>"9780292793453"</f>
        <v>9780292793453</v>
      </c>
      <c r="C12239" s="1" t="s">
        <v>24248</v>
      </c>
      <c r="D12239" s="2">
        <v>40148</v>
      </c>
      <c r="E12239" s="1" t="s">
        <v>24262</v>
      </c>
      <c r="F12239" s="1" t="s">
        <v>3843</v>
      </c>
    </row>
    <row r="12240" spans="1:6" ht="30" customHeight="1" x14ac:dyDescent="0.25">
      <c r="A12240" s="1" t="s">
        <v>24263</v>
      </c>
      <c r="B12240" s="1" t="str">
        <f>"9780292784765"</f>
        <v>9780292784765</v>
      </c>
      <c r="C12240" s="1" t="s">
        <v>24248</v>
      </c>
      <c r="D12240" s="2">
        <v>40544</v>
      </c>
      <c r="E12240" s="1" t="s">
        <v>24264</v>
      </c>
      <c r="F12240" s="1" t="s">
        <v>158</v>
      </c>
    </row>
    <row r="12241" spans="1:6" ht="30" customHeight="1" x14ac:dyDescent="0.25">
      <c r="A12241" s="1" t="s">
        <v>24265</v>
      </c>
      <c r="B12241" s="1" t="str">
        <f>"9780292744660"</f>
        <v>9780292744660</v>
      </c>
      <c r="C12241" s="1" t="s">
        <v>24248</v>
      </c>
      <c r="D12241" s="2">
        <v>41409</v>
      </c>
      <c r="E12241" s="1" t="s">
        <v>24266</v>
      </c>
      <c r="F12241" s="1" t="s">
        <v>158</v>
      </c>
    </row>
    <row r="12242" spans="1:6" ht="30" customHeight="1" x14ac:dyDescent="0.25">
      <c r="A12242" s="1" t="s">
        <v>24267</v>
      </c>
      <c r="B12242" s="1" t="str">
        <f>"9780292745452"</f>
        <v>9780292745452</v>
      </c>
      <c r="C12242" s="1" t="s">
        <v>24248</v>
      </c>
      <c r="D12242" s="2">
        <v>41501</v>
      </c>
      <c r="E12242" s="1" t="s">
        <v>24268</v>
      </c>
      <c r="F12242" s="1" t="s">
        <v>13</v>
      </c>
    </row>
    <row r="12243" spans="1:6" ht="30" customHeight="1" x14ac:dyDescent="0.25">
      <c r="A12243" s="1" t="s">
        <v>24269</v>
      </c>
      <c r="B12243" s="1" t="str">
        <f>"9781607819981"</f>
        <v>9781607819981</v>
      </c>
      <c r="C12243" s="1" t="s">
        <v>24270</v>
      </c>
      <c r="D12243" s="2">
        <v>41773</v>
      </c>
      <c r="E12243" s="1" t="s">
        <v>24271</v>
      </c>
      <c r="F12243" s="1" t="s">
        <v>13</v>
      </c>
    </row>
    <row r="12244" spans="1:6" ht="30" customHeight="1" x14ac:dyDescent="0.25">
      <c r="A12244" s="1" t="s">
        <v>24272</v>
      </c>
      <c r="B12244" s="1" t="str">
        <f>"9781607812098"</f>
        <v>9781607812098</v>
      </c>
      <c r="C12244" s="1" t="s">
        <v>24270</v>
      </c>
      <c r="D12244" s="2">
        <v>41213</v>
      </c>
      <c r="E12244" s="1" t="s">
        <v>24273</v>
      </c>
      <c r="F12244" s="1" t="s">
        <v>541</v>
      </c>
    </row>
    <row r="12245" spans="1:6" ht="30" customHeight="1" x14ac:dyDescent="0.25">
      <c r="A12245" s="1" t="s">
        <v>24274</v>
      </c>
      <c r="B12245" s="1" t="str">
        <f>"9781607813873"</f>
        <v>9781607813873</v>
      </c>
      <c r="C12245" s="1" t="s">
        <v>24270</v>
      </c>
      <c r="D12245" s="2">
        <v>41883</v>
      </c>
      <c r="E12245" s="1" t="s">
        <v>24275</v>
      </c>
      <c r="F12245" s="1" t="s">
        <v>148</v>
      </c>
    </row>
    <row r="12246" spans="1:6" ht="30" customHeight="1" x14ac:dyDescent="0.25">
      <c r="A12246" s="1" t="s">
        <v>24276</v>
      </c>
      <c r="B12246" s="1" t="str">
        <f>"9780295800059"</f>
        <v>9780295800059</v>
      </c>
      <c r="C12246" s="1" t="s">
        <v>24277</v>
      </c>
      <c r="D12246" s="2">
        <v>39576</v>
      </c>
      <c r="E12246" s="1" t="s">
        <v>24278</v>
      </c>
      <c r="F12246" s="1" t="s">
        <v>30</v>
      </c>
    </row>
    <row r="12247" spans="1:6" ht="30" customHeight="1" x14ac:dyDescent="0.25">
      <c r="A12247" s="1" t="s">
        <v>24279</v>
      </c>
      <c r="B12247" s="1" t="str">
        <f>"9780295990354"</f>
        <v>9780295990354</v>
      </c>
      <c r="C12247" s="1" t="s">
        <v>24277</v>
      </c>
      <c r="D12247" s="2">
        <v>40664</v>
      </c>
      <c r="E12247" s="1" t="s">
        <v>24280</v>
      </c>
      <c r="F12247" s="1" t="s">
        <v>13</v>
      </c>
    </row>
    <row r="12248" spans="1:6" ht="30" customHeight="1" x14ac:dyDescent="0.25">
      <c r="A12248" s="1" t="s">
        <v>24281</v>
      </c>
      <c r="B12248" s="1" t="str">
        <f>"9780295990323"</f>
        <v>9780295990323</v>
      </c>
      <c r="C12248" s="1" t="s">
        <v>24277</v>
      </c>
      <c r="D12248" s="2">
        <v>40299</v>
      </c>
      <c r="E12248" s="1" t="s">
        <v>24282</v>
      </c>
      <c r="F12248" s="1" t="s">
        <v>30</v>
      </c>
    </row>
    <row r="12249" spans="1:6" ht="30" customHeight="1" x14ac:dyDescent="0.25">
      <c r="A12249" s="1" t="s">
        <v>24283</v>
      </c>
      <c r="B12249" s="1" t="str">
        <f>"9780295803012"</f>
        <v>9780295803012</v>
      </c>
      <c r="C12249" s="1" t="s">
        <v>24277</v>
      </c>
      <c r="D12249" s="2">
        <v>40725</v>
      </c>
      <c r="E12249" s="1" t="s">
        <v>24284</v>
      </c>
      <c r="F12249" s="1" t="s">
        <v>13</v>
      </c>
    </row>
    <row r="12250" spans="1:6" ht="30" customHeight="1" x14ac:dyDescent="0.25">
      <c r="A12250" s="1" t="s">
        <v>24285</v>
      </c>
      <c r="B12250" s="1" t="str">
        <f>"9780295990767"</f>
        <v>9780295990767</v>
      </c>
      <c r="C12250" s="1" t="s">
        <v>24277</v>
      </c>
      <c r="D12250" s="2">
        <v>40862</v>
      </c>
      <c r="E12250" s="1" t="s">
        <v>24286</v>
      </c>
      <c r="F12250" s="1" t="s">
        <v>13</v>
      </c>
    </row>
    <row r="12251" spans="1:6" ht="30" customHeight="1" x14ac:dyDescent="0.25">
      <c r="A12251" s="1" t="s">
        <v>24287</v>
      </c>
      <c r="B12251" s="1" t="str">
        <f>"9780295804200"</f>
        <v>9780295804200</v>
      </c>
      <c r="C12251" s="1" t="s">
        <v>24277</v>
      </c>
      <c r="D12251" s="2">
        <v>41153</v>
      </c>
      <c r="E12251" s="1" t="s">
        <v>24288</v>
      </c>
      <c r="F12251" s="1" t="s">
        <v>87</v>
      </c>
    </row>
    <row r="12252" spans="1:6" ht="30" customHeight="1" x14ac:dyDescent="0.25">
      <c r="A12252" s="1" t="s">
        <v>24289</v>
      </c>
      <c r="B12252" s="1" t="str">
        <f>"9780295804408"</f>
        <v>9780295804408</v>
      </c>
      <c r="C12252" s="1" t="s">
        <v>24277</v>
      </c>
      <c r="D12252" s="2">
        <v>41244</v>
      </c>
      <c r="E12252" s="1" t="s">
        <v>24290</v>
      </c>
      <c r="F12252" s="1" t="s">
        <v>13</v>
      </c>
    </row>
    <row r="12253" spans="1:6" ht="30" customHeight="1" x14ac:dyDescent="0.25">
      <c r="A12253" s="1" t="s">
        <v>24291</v>
      </c>
      <c r="B12253" s="1" t="str">
        <f>"9780295804675"</f>
        <v>9780295804675</v>
      </c>
      <c r="C12253" s="1" t="s">
        <v>24277</v>
      </c>
      <c r="D12253" s="2">
        <v>41409</v>
      </c>
      <c r="E12253" s="1" t="s">
        <v>24292</v>
      </c>
      <c r="F12253" s="1" t="s">
        <v>176</v>
      </c>
    </row>
    <row r="12254" spans="1:6" ht="30" customHeight="1" x14ac:dyDescent="0.25">
      <c r="A12254" s="1" t="s">
        <v>24293</v>
      </c>
      <c r="B12254" s="1" t="str">
        <f>"9780295804569"</f>
        <v>9780295804569</v>
      </c>
      <c r="C12254" s="1" t="s">
        <v>24277</v>
      </c>
      <c r="D12254" s="2">
        <v>41409</v>
      </c>
      <c r="E12254" s="1" t="s">
        <v>24294</v>
      </c>
      <c r="F12254" s="1" t="s">
        <v>13</v>
      </c>
    </row>
    <row r="12255" spans="1:6" ht="30" customHeight="1" x14ac:dyDescent="0.25">
      <c r="A12255" s="1" t="s">
        <v>24295</v>
      </c>
      <c r="B12255" s="1" t="str">
        <f>"9780299208639"</f>
        <v>9780299208639</v>
      </c>
      <c r="C12255" s="1" t="s">
        <v>24296</v>
      </c>
      <c r="D12255" s="2">
        <v>38477</v>
      </c>
      <c r="E12255" s="1" t="s">
        <v>24297</v>
      </c>
      <c r="F12255" s="1" t="s">
        <v>87</v>
      </c>
    </row>
    <row r="12256" spans="1:6" ht="30" customHeight="1" x14ac:dyDescent="0.25">
      <c r="A12256" s="1" t="s">
        <v>24298</v>
      </c>
      <c r="B12256" s="1" t="str">
        <f>"9780299203931"</f>
        <v>9780299203931</v>
      </c>
      <c r="C12256" s="1" t="s">
        <v>24296</v>
      </c>
      <c r="D12256" s="2">
        <v>38687</v>
      </c>
      <c r="E12256" s="1" t="s">
        <v>24299</v>
      </c>
      <c r="F12256" s="1" t="s">
        <v>2203</v>
      </c>
    </row>
    <row r="12257" spans="1:6" ht="30" customHeight="1" x14ac:dyDescent="0.25">
      <c r="A12257" s="1" t="s">
        <v>24300</v>
      </c>
      <c r="B12257" s="1" t="str">
        <f>"9780299114831"</f>
        <v>9780299114831</v>
      </c>
      <c r="C12257" s="1" t="s">
        <v>24296</v>
      </c>
      <c r="D12257" s="2">
        <v>32127</v>
      </c>
      <c r="E12257" s="1" t="s">
        <v>24301</v>
      </c>
      <c r="F12257" s="1" t="s">
        <v>33</v>
      </c>
    </row>
    <row r="12258" spans="1:6" ht="30" customHeight="1" x14ac:dyDescent="0.25">
      <c r="A12258" s="1" t="s">
        <v>24302</v>
      </c>
      <c r="B12258" s="1" t="str">
        <f>"9780299222536"</f>
        <v>9780299222536</v>
      </c>
      <c r="C12258" s="1" t="s">
        <v>24296</v>
      </c>
      <c r="D12258" s="2">
        <v>39417</v>
      </c>
      <c r="E12258" s="1" t="s">
        <v>24303</v>
      </c>
      <c r="F12258" s="1" t="s">
        <v>104</v>
      </c>
    </row>
    <row r="12259" spans="1:6" ht="30" customHeight="1" x14ac:dyDescent="0.25">
      <c r="A12259" s="1" t="s">
        <v>24304</v>
      </c>
      <c r="B12259" s="1" t="str">
        <f>"9780299216535"</f>
        <v>9780299216535</v>
      </c>
      <c r="C12259" s="1" t="s">
        <v>24296</v>
      </c>
      <c r="D12259" s="2">
        <v>38838</v>
      </c>
      <c r="E12259" s="1" t="s">
        <v>24305</v>
      </c>
      <c r="F12259" s="1" t="s">
        <v>21</v>
      </c>
    </row>
    <row r="12260" spans="1:6" ht="30" customHeight="1" x14ac:dyDescent="0.25">
      <c r="A12260" s="1" t="s">
        <v>24306</v>
      </c>
      <c r="B12260" s="1" t="str">
        <f>"9780299155636"</f>
        <v>9780299155636</v>
      </c>
      <c r="C12260" s="1" t="s">
        <v>24296</v>
      </c>
      <c r="D12260" s="2">
        <v>35765</v>
      </c>
      <c r="E12260" s="1" t="s">
        <v>24307</v>
      </c>
      <c r="F12260" s="1" t="s">
        <v>13</v>
      </c>
    </row>
    <row r="12261" spans="1:6" ht="30" customHeight="1" x14ac:dyDescent="0.25">
      <c r="A12261" s="1" t="s">
        <v>24308</v>
      </c>
      <c r="B12261" s="1" t="str">
        <f>"9780299151638"</f>
        <v>9780299151638</v>
      </c>
      <c r="C12261" s="1" t="s">
        <v>24296</v>
      </c>
      <c r="D12261" s="2">
        <v>41773</v>
      </c>
      <c r="E12261" s="1" t="s">
        <v>7205</v>
      </c>
      <c r="F12261" s="1" t="s">
        <v>30</v>
      </c>
    </row>
    <row r="12262" spans="1:6" ht="30" customHeight="1" x14ac:dyDescent="0.25">
      <c r="A12262" s="1" t="s">
        <v>24309</v>
      </c>
      <c r="B12262" s="1" t="str">
        <f>"9780299172930"</f>
        <v>9780299172930</v>
      </c>
      <c r="C12262" s="1" t="s">
        <v>24296</v>
      </c>
      <c r="D12262" s="2">
        <v>37166</v>
      </c>
      <c r="E12262" s="1" t="s">
        <v>14994</v>
      </c>
      <c r="F12262" s="1" t="s">
        <v>30</v>
      </c>
    </row>
    <row r="12263" spans="1:6" ht="30" customHeight="1" x14ac:dyDescent="0.25">
      <c r="A12263" s="1" t="s">
        <v>24310</v>
      </c>
      <c r="B12263" s="1" t="str">
        <f>"9780299184339"</f>
        <v>9780299184339</v>
      </c>
      <c r="C12263" s="1" t="s">
        <v>24296</v>
      </c>
      <c r="D12263" s="2">
        <v>37756</v>
      </c>
      <c r="E12263" s="1" t="s">
        <v>24311</v>
      </c>
      <c r="F12263" s="1" t="s">
        <v>70</v>
      </c>
    </row>
    <row r="12264" spans="1:6" ht="30" customHeight="1" x14ac:dyDescent="0.25">
      <c r="A12264" s="1" t="s">
        <v>24312</v>
      </c>
      <c r="B12264" s="1" t="str">
        <f>"9780299171735"</f>
        <v>9780299171735</v>
      </c>
      <c r="C12264" s="1" t="s">
        <v>24296</v>
      </c>
      <c r="D12264" s="2">
        <v>36962</v>
      </c>
      <c r="E12264" s="1" t="s">
        <v>7831</v>
      </c>
      <c r="F12264" s="1" t="s">
        <v>13</v>
      </c>
    </row>
    <row r="12265" spans="1:6" ht="30" customHeight="1" x14ac:dyDescent="0.25">
      <c r="A12265" s="1" t="s">
        <v>24313</v>
      </c>
      <c r="B12265" s="1" t="str">
        <f>"9780299184834"</f>
        <v>9780299184834</v>
      </c>
      <c r="C12265" s="1" t="s">
        <v>24296</v>
      </c>
      <c r="D12265" s="2">
        <v>37705</v>
      </c>
      <c r="E12265" s="1" t="s">
        <v>24314</v>
      </c>
      <c r="F12265" s="1" t="s">
        <v>126</v>
      </c>
    </row>
    <row r="12266" spans="1:6" ht="30" customHeight="1" x14ac:dyDescent="0.25">
      <c r="A12266" s="1" t="s">
        <v>24315</v>
      </c>
      <c r="B12266" s="1" t="str">
        <f>"9780299129330"</f>
        <v>9780299129330</v>
      </c>
      <c r="C12266" s="1" t="s">
        <v>24296</v>
      </c>
      <c r="D12266" s="2">
        <v>40527</v>
      </c>
      <c r="E12266" s="1" t="s">
        <v>24316</v>
      </c>
      <c r="F12266" s="1" t="s">
        <v>13</v>
      </c>
    </row>
    <row r="12267" spans="1:6" ht="30" customHeight="1" x14ac:dyDescent="0.25">
      <c r="A12267" s="1" t="s">
        <v>24317</v>
      </c>
      <c r="B12267" s="1" t="str">
        <f>"9781940425382"</f>
        <v>9781940425382</v>
      </c>
      <c r="C12267" s="1" t="s">
        <v>24318</v>
      </c>
      <c r="D12267" s="2">
        <v>42005</v>
      </c>
      <c r="E12267" s="1" t="s">
        <v>24319</v>
      </c>
      <c r="F12267" s="1" t="s">
        <v>13</v>
      </c>
    </row>
    <row r="12268" spans="1:6" ht="30" customHeight="1" x14ac:dyDescent="0.25">
      <c r="A12268" s="1" t="s">
        <v>24320</v>
      </c>
      <c r="B12268" s="1" t="str">
        <f>"9781868146048"</f>
        <v>9781868146048</v>
      </c>
      <c r="C12268" s="1" t="s">
        <v>24321</v>
      </c>
      <c r="D12268" s="2">
        <v>40695</v>
      </c>
      <c r="E12268" s="1" t="s">
        <v>24322</v>
      </c>
      <c r="F12268" s="1" t="s">
        <v>13</v>
      </c>
    </row>
    <row r="12269" spans="1:6" ht="30" customHeight="1" x14ac:dyDescent="0.25">
      <c r="A12269" s="1" t="s">
        <v>24323</v>
      </c>
      <c r="B12269" s="1" t="str">
        <f>"9781868147489"</f>
        <v>9781868147489</v>
      </c>
      <c r="C12269" s="1" t="s">
        <v>24321</v>
      </c>
      <c r="D12269" s="2">
        <v>40544</v>
      </c>
      <c r="E12269" s="1" t="s">
        <v>24324</v>
      </c>
      <c r="F12269" s="1" t="s">
        <v>95</v>
      </c>
    </row>
    <row r="12270" spans="1:6" ht="30" customHeight="1" x14ac:dyDescent="0.25">
      <c r="A12270" s="1" t="s">
        <v>24325</v>
      </c>
      <c r="B12270" s="1" t="str">
        <f>"9781555817411"</f>
        <v>9781555817411</v>
      </c>
      <c r="C12270" s="1" t="s">
        <v>7254</v>
      </c>
      <c r="D12270" s="2">
        <v>42154</v>
      </c>
      <c r="E12270" s="1" t="s">
        <v>24326</v>
      </c>
      <c r="F12270" s="1" t="s">
        <v>13</v>
      </c>
    </row>
    <row r="12271" spans="1:6" ht="30" customHeight="1" x14ac:dyDescent="0.25">
      <c r="A12271" s="1" t="s">
        <v>24327</v>
      </c>
      <c r="B12271" s="1" t="str">
        <f>"9781614995388"</f>
        <v>9781614995388</v>
      </c>
      <c r="C12271" s="1" t="s">
        <v>1390</v>
      </c>
      <c r="D12271" s="2">
        <v>40544</v>
      </c>
      <c r="E12271" s="1" t="s">
        <v>24328</v>
      </c>
      <c r="F12271" s="1" t="s">
        <v>13</v>
      </c>
    </row>
    <row r="12272" spans="1:6" ht="30" customHeight="1" x14ac:dyDescent="0.25">
      <c r="A12272" s="1" t="s">
        <v>24329</v>
      </c>
      <c r="B12272" s="1" t="str">
        <f>"9781614995166"</f>
        <v>9781614995166</v>
      </c>
      <c r="C12272" s="1" t="s">
        <v>1390</v>
      </c>
      <c r="D12272" s="2">
        <v>35796</v>
      </c>
      <c r="E12272" s="1" t="s">
        <v>24330</v>
      </c>
      <c r="F12272" s="1" t="s">
        <v>13</v>
      </c>
    </row>
    <row r="12273" spans="1:6" ht="30" customHeight="1" x14ac:dyDescent="0.25">
      <c r="A12273" s="1" t="s">
        <v>24331</v>
      </c>
      <c r="B12273" s="1" t="str">
        <f>"9780874620948"</f>
        <v>9780874620948</v>
      </c>
      <c r="C12273" s="1" t="s">
        <v>7312</v>
      </c>
      <c r="D12273" s="2">
        <v>40878</v>
      </c>
      <c r="E12273" s="1" t="s">
        <v>24332</v>
      </c>
      <c r="F12273" s="1" t="s">
        <v>13</v>
      </c>
    </row>
    <row r="12274" spans="1:6" ht="30" customHeight="1" x14ac:dyDescent="0.25">
      <c r="A12274" s="1" t="s">
        <v>24333</v>
      </c>
      <c r="B12274" s="1" t="str">
        <f>"9780309508186"</f>
        <v>9780309508186</v>
      </c>
      <c r="C12274" s="1" t="s">
        <v>20924</v>
      </c>
      <c r="D12274" s="2">
        <v>37591</v>
      </c>
      <c r="E12274" s="1" t="s">
        <v>24334</v>
      </c>
      <c r="F12274" s="1" t="s">
        <v>30</v>
      </c>
    </row>
    <row r="12275" spans="1:6" ht="30" customHeight="1" x14ac:dyDescent="0.25">
      <c r="A12275" s="1" t="s">
        <v>24335</v>
      </c>
      <c r="B12275" s="1" t="str">
        <f>"9780309500098"</f>
        <v>9780309500098</v>
      </c>
      <c r="C12275" s="1" t="s">
        <v>20924</v>
      </c>
      <c r="D12275" s="2">
        <v>37226</v>
      </c>
      <c r="E12275" s="1" t="s">
        <v>24336</v>
      </c>
      <c r="F12275" s="1" t="s">
        <v>13</v>
      </c>
    </row>
    <row r="12276" spans="1:6" ht="30" customHeight="1" x14ac:dyDescent="0.25">
      <c r="A12276" s="1" t="s">
        <v>24337</v>
      </c>
      <c r="B12276" s="1" t="str">
        <f>"9780309502993"</f>
        <v>9780309502993</v>
      </c>
      <c r="C12276" s="1" t="s">
        <v>20924</v>
      </c>
      <c r="D12276" s="2">
        <v>37208</v>
      </c>
      <c r="E12276" s="1" t="s">
        <v>24338</v>
      </c>
      <c r="F12276" s="1" t="s">
        <v>95</v>
      </c>
    </row>
    <row r="12277" spans="1:6" ht="30" customHeight="1" x14ac:dyDescent="0.25">
      <c r="A12277" s="1" t="s">
        <v>24339</v>
      </c>
      <c r="B12277" s="1" t="str">
        <f>"9780309525510"</f>
        <v>9780309525510</v>
      </c>
      <c r="C12277" s="1" t="s">
        <v>20924</v>
      </c>
      <c r="D12277" s="2">
        <v>37956</v>
      </c>
      <c r="E12277" s="1" t="s">
        <v>24340</v>
      </c>
      <c r="F12277" s="1" t="s">
        <v>599</v>
      </c>
    </row>
    <row r="12278" spans="1:6" ht="30" customHeight="1" x14ac:dyDescent="0.25">
      <c r="A12278" s="1" t="s">
        <v>24341</v>
      </c>
      <c r="B12278" s="1" t="str">
        <f>"9780309526517"</f>
        <v>9780309526517</v>
      </c>
      <c r="C12278" s="1" t="s">
        <v>20924</v>
      </c>
      <c r="D12278" s="2">
        <v>37956</v>
      </c>
      <c r="E12278" s="1" t="s">
        <v>24342</v>
      </c>
      <c r="F12278" s="1" t="s">
        <v>30</v>
      </c>
    </row>
    <row r="12279" spans="1:6" ht="30" customHeight="1" x14ac:dyDescent="0.25">
      <c r="A12279" s="1" t="s">
        <v>24343</v>
      </c>
      <c r="B12279" s="1" t="str">
        <f>"9780309511452"</f>
        <v>9780309511452</v>
      </c>
      <c r="C12279" s="1" t="s">
        <v>20924</v>
      </c>
      <c r="D12279" s="2">
        <v>37956</v>
      </c>
      <c r="E12279" s="1" t="s">
        <v>24344</v>
      </c>
      <c r="F12279" s="1" t="s">
        <v>13</v>
      </c>
    </row>
    <row r="12280" spans="1:6" ht="30" customHeight="1" x14ac:dyDescent="0.25">
      <c r="A12280" s="1" t="s">
        <v>24345</v>
      </c>
      <c r="B12280" s="1" t="str">
        <f>"9780309518826"</f>
        <v>9780309518826</v>
      </c>
      <c r="C12280" s="1" t="s">
        <v>20924</v>
      </c>
      <c r="D12280" s="2">
        <v>37956</v>
      </c>
      <c r="E12280" s="1" t="s">
        <v>24346</v>
      </c>
      <c r="F12280" s="1" t="s">
        <v>12302</v>
      </c>
    </row>
    <row r="12281" spans="1:6" ht="30" customHeight="1" x14ac:dyDescent="0.25">
      <c r="A12281" s="1" t="s">
        <v>24347</v>
      </c>
      <c r="B12281" s="1" t="str">
        <f>"9780309505840"</f>
        <v>9780309505840</v>
      </c>
      <c r="C12281" s="1" t="s">
        <v>20924</v>
      </c>
      <c r="D12281" s="2">
        <v>37956</v>
      </c>
      <c r="E12281" s="1" t="s">
        <v>24348</v>
      </c>
      <c r="F12281" s="1" t="s">
        <v>30</v>
      </c>
    </row>
    <row r="12282" spans="1:6" ht="30" customHeight="1" x14ac:dyDescent="0.25">
      <c r="A12282" s="1" t="s">
        <v>24349</v>
      </c>
      <c r="B12282" s="1" t="str">
        <f>"9780309528115"</f>
        <v>9780309528115</v>
      </c>
      <c r="C12282" s="1" t="s">
        <v>20924</v>
      </c>
      <c r="D12282" s="2">
        <v>38322</v>
      </c>
      <c r="E12282" s="1" t="s">
        <v>24350</v>
      </c>
      <c r="F12282" s="1" t="s">
        <v>95</v>
      </c>
    </row>
    <row r="12283" spans="1:6" ht="30" customHeight="1" x14ac:dyDescent="0.25">
      <c r="A12283" s="1" t="s">
        <v>24351</v>
      </c>
      <c r="B12283" s="1" t="str">
        <f>"9780309527323"</f>
        <v>9780309527323</v>
      </c>
      <c r="C12283" s="1" t="s">
        <v>20924</v>
      </c>
      <c r="D12283" s="2">
        <v>38322</v>
      </c>
      <c r="E12283" s="1" t="s">
        <v>24352</v>
      </c>
      <c r="F12283" s="1" t="s">
        <v>283</v>
      </c>
    </row>
    <row r="12284" spans="1:6" ht="30" customHeight="1" x14ac:dyDescent="0.25">
      <c r="A12284" s="1" t="s">
        <v>24353</v>
      </c>
      <c r="B12284" s="1" t="str">
        <f>"9780309527200"</f>
        <v>9780309527200</v>
      </c>
      <c r="C12284" s="1" t="s">
        <v>20924</v>
      </c>
      <c r="D12284" s="2">
        <v>38322</v>
      </c>
      <c r="E12284" s="1" t="s">
        <v>24354</v>
      </c>
      <c r="F12284" s="1" t="s">
        <v>24355</v>
      </c>
    </row>
    <row r="12285" spans="1:6" ht="30" customHeight="1" x14ac:dyDescent="0.25">
      <c r="A12285" s="1" t="s">
        <v>24356</v>
      </c>
      <c r="B12285" s="1" t="str">
        <f>"9780309528443"</f>
        <v>9780309528443</v>
      </c>
      <c r="C12285" s="1" t="s">
        <v>20924</v>
      </c>
      <c r="D12285" s="2">
        <v>38322</v>
      </c>
      <c r="E12285" s="1" t="s">
        <v>24357</v>
      </c>
      <c r="F12285" s="1" t="s">
        <v>13</v>
      </c>
    </row>
    <row r="12286" spans="1:6" ht="30" customHeight="1" x14ac:dyDescent="0.25">
      <c r="A12286" s="1" t="s">
        <v>24358</v>
      </c>
      <c r="B12286" s="1" t="str">
        <f>"9780309527149"</f>
        <v>9780309527149</v>
      </c>
      <c r="C12286" s="1" t="s">
        <v>20924</v>
      </c>
      <c r="D12286" s="2">
        <v>38322</v>
      </c>
      <c r="E12286" s="1" t="s">
        <v>24359</v>
      </c>
      <c r="F12286" s="1" t="s">
        <v>214</v>
      </c>
    </row>
    <row r="12287" spans="1:6" ht="30" customHeight="1" x14ac:dyDescent="0.25">
      <c r="A12287" s="1" t="s">
        <v>24360</v>
      </c>
      <c r="B12287" s="1" t="str">
        <f>"9780309505352"</f>
        <v>9780309505352</v>
      </c>
      <c r="C12287" s="1" t="s">
        <v>20924</v>
      </c>
      <c r="D12287" s="2">
        <v>37895</v>
      </c>
      <c r="E12287" s="1" t="s">
        <v>24361</v>
      </c>
      <c r="F12287" s="1" t="s">
        <v>30</v>
      </c>
    </row>
    <row r="12288" spans="1:6" ht="30" customHeight="1" x14ac:dyDescent="0.25">
      <c r="A12288" s="1" t="s">
        <v>24362</v>
      </c>
      <c r="B12288" s="1" t="str">
        <f>"9780309530224"</f>
        <v>9780309530224</v>
      </c>
      <c r="C12288" s="1" t="s">
        <v>20924</v>
      </c>
      <c r="D12288" s="2">
        <v>38148</v>
      </c>
      <c r="E12288" s="1" t="s">
        <v>24363</v>
      </c>
      <c r="F12288" s="1" t="s">
        <v>114</v>
      </c>
    </row>
    <row r="12289" spans="1:6" ht="30" customHeight="1" x14ac:dyDescent="0.25">
      <c r="A12289" s="1" t="s">
        <v>24364</v>
      </c>
      <c r="B12289" s="1" t="str">
        <f>"9780309529501"</f>
        <v>9780309529501</v>
      </c>
      <c r="C12289" s="1" t="s">
        <v>20924</v>
      </c>
      <c r="D12289" s="2">
        <v>37987</v>
      </c>
      <c r="E12289" s="1" t="s">
        <v>24365</v>
      </c>
      <c r="F12289" s="1" t="s">
        <v>13</v>
      </c>
    </row>
    <row r="12290" spans="1:6" ht="30" customHeight="1" x14ac:dyDescent="0.25">
      <c r="A12290" s="1" t="s">
        <v>24366</v>
      </c>
      <c r="B12290" s="1" t="str">
        <f>"9780309529204"</f>
        <v>9780309529204</v>
      </c>
      <c r="C12290" s="1" t="s">
        <v>20924</v>
      </c>
      <c r="D12290" s="2">
        <v>37932</v>
      </c>
      <c r="E12290" s="1" t="s">
        <v>24367</v>
      </c>
      <c r="F12290" s="1" t="s">
        <v>14204</v>
      </c>
    </row>
    <row r="12291" spans="1:6" ht="30" customHeight="1" x14ac:dyDescent="0.25">
      <c r="A12291" s="1" t="s">
        <v>21526</v>
      </c>
      <c r="B12291" s="1" t="str">
        <f>"9780309554091"</f>
        <v>9780309554091</v>
      </c>
      <c r="C12291" s="1" t="s">
        <v>20924</v>
      </c>
      <c r="D12291" s="2">
        <v>29190</v>
      </c>
      <c r="E12291" s="1" t="s">
        <v>24368</v>
      </c>
      <c r="F12291" s="1" t="s">
        <v>95</v>
      </c>
    </row>
    <row r="12292" spans="1:6" ht="30" customHeight="1" x14ac:dyDescent="0.25">
      <c r="A12292" s="1" t="s">
        <v>24369</v>
      </c>
      <c r="B12292" s="1" t="str">
        <f>"9780309531948"</f>
        <v>9780309531948</v>
      </c>
      <c r="C12292" s="1" t="s">
        <v>20924</v>
      </c>
      <c r="D12292" s="2">
        <v>38322</v>
      </c>
      <c r="E12292" s="1" t="s">
        <v>24370</v>
      </c>
      <c r="F12292" s="1" t="s">
        <v>95</v>
      </c>
    </row>
    <row r="12293" spans="1:6" ht="30" customHeight="1" x14ac:dyDescent="0.25">
      <c r="A12293" s="1" t="s">
        <v>24371</v>
      </c>
      <c r="B12293" s="1" t="str">
        <f>"9780309566483"</f>
        <v>9780309566483</v>
      </c>
      <c r="C12293" s="1" t="s">
        <v>20924</v>
      </c>
      <c r="D12293" s="2">
        <v>37956</v>
      </c>
      <c r="E12293" s="1" t="s">
        <v>24372</v>
      </c>
      <c r="F12293" s="1" t="s">
        <v>30</v>
      </c>
    </row>
    <row r="12294" spans="1:6" ht="30" customHeight="1" x14ac:dyDescent="0.25">
      <c r="A12294" s="1" t="s">
        <v>24373</v>
      </c>
      <c r="B12294" s="1" t="str">
        <f>"9780309564861"</f>
        <v>9780309564861</v>
      </c>
      <c r="C12294" s="1" t="s">
        <v>20924</v>
      </c>
      <c r="D12294" s="2">
        <v>36873</v>
      </c>
      <c r="E12294" s="1" t="s">
        <v>24374</v>
      </c>
      <c r="F12294" s="1" t="s">
        <v>21</v>
      </c>
    </row>
    <row r="12295" spans="1:6" ht="30" customHeight="1" x14ac:dyDescent="0.25">
      <c r="A12295" s="1" t="s">
        <v>24375</v>
      </c>
      <c r="B12295" s="1" t="str">
        <f>"9780309565882"</f>
        <v>9780309565882</v>
      </c>
      <c r="C12295" s="1" t="s">
        <v>20924</v>
      </c>
      <c r="D12295" s="2">
        <v>37226</v>
      </c>
      <c r="E12295" s="1" t="s">
        <v>24376</v>
      </c>
      <c r="F12295" s="1" t="s">
        <v>6447</v>
      </c>
    </row>
    <row r="12296" spans="1:6" ht="30" customHeight="1" x14ac:dyDescent="0.25">
      <c r="A12296" s="1" t="s">
        <v>24377</v>
      </c>
      <c r="B12296" s="1" t="str">
        <f>"9780309545143"</f>
        <v>9780309545143</v>
      </c>
      <c r="C12296" s="1" t="s">
        <v>20924</v>
      </c>
      <c r="D12296" s="2">
        <v>38308</v>
      </c>
      <c r="E12296" s="1" t="s">
        <v>24378</v>
      </c>
      <c r="F12296" s="1" t="s">
        <v>304</v>
      </c>
    </row>
    <row r="12297" spans="1:6" ht="30" customHeight="1" x14ac:dyDescent="0.25">
      <c r="A12297" s="1" t="s">
        <v>24379</v>
      </c>
      <c r="B12297" s="1" t="str">
        <f>"9780309548748"</f>
        <v>9780309548748</v>
      </c>
      <c r="C12297" s="1" t="s">
        <v>20924</v>
      </c>
      <c r="D12297" s="2">
        <v>38471</v>
      </c>
      <c r="E12297" s="1" t="s">
        <v>24380</v>
      </c>
      <c r="F12297" s="1" t="s">
        <v>70</v>
      </c>
    </row>
    <row r="12298" spans="1:6" ht="30" customHeight="1" x14ac:dyDescent="0.25">
      <c r="A12298" s="1" t="s">
        <v>24381</v>
      </c>
      <c r="B12298" s="1" t="str">
        <f>"9780309547819"</f>
        <v>9780309547819</v>
      </c>
      <c r="C12298" s="1" t="s">
        <v>20924</v>
      </c>
      <c r="D12298" s="2">
        <v>38446</v>
      </c>
      <c r="E12298" s="1" t="s">
        <v>24382</v>
      </c>
      <c r="F12298" s="1" t="s">
        <v>70</v>
      </c>
    </row>
    <row r="12299" spans="1:6" ht="30" customHeight="1" x14ac:dyDescent="0.25">
      <c r="A12299" s="1" t="s">
        <v>24383</v>
      </c>
      <c r="B12299" s="1" t="str">
        <f>"9780309655200"</f>
        <v>9780309655200</v>
      </c>
      <c r="C12299" s="1" t="s">
        <v>20924</v>
      </c>
      <c r="D12299" s="2">
        <v>38322</v>
      </c>
      <c r="E12299" s="1" t="s">
        <v>24384</v>
      </c>
      <c r="F12299" s="1" t="s">
        <v>2333</v>
      </c>
    </row>
    <row r="12300" spans="1:6" ht="30" customHeight="1" x14ac:dyDescent="0.25">
      <c r="A12300" s="1" t="s">
        <v>24385</v>
      </c>
      <c r="B12300" s="1" t="str">
        <f>"9780309653916"</f>
        <v>9780309653916</v>
      </c>
      <c r="C12300" s="1" t="s">
        <v>20924</v>
      </c>
      <c r="D12300" s="2">
        <v>38666</v>
      </c>
      <c r="E12300" s="1" t="s">
        <v>24386</v>
      </c>
      <c r="F12300" s="1" t="s">
        <v>30</v>
      </c>
    </row>
    <row r="12301" spans="1:6" ht="30" customHeight="1" x14ac:dyDescent="0.25">
      <c r="A12301" s="1" t="s">
        <v>24387</v>
      </c>
      <c r="B12301" s="1" t="str">
        <f>"9780309660150"</f>
        <v>9780309660150</v>
      </c>
      <c r="C12301" s="1" t="s">
        <v>20924</v>
      </c>
      <c r="D12301" s="2">
        <v>39052</v>
      </c>
      <c r="E12301" s="1" t="s">
        <v>24388</v>
      </c>
      <c r="F12301" s="1" t="s">
        <v>13</v>
      </c>
    </row>
    <row r="12302" spans="1:6" ht="30" customHeight="1" x14ac:dyDescent="0.25">
      <c r="A12302" s="1" t="s">
        <v>24389</v>
      </c>
      <c r="B12302" s="1" t="str">
        <f>"9780309659109"</f>
        <v>9780309659109</v>
      </c>
      <c r="C12302" s="1" t="s">
        <v>20924</v>
      </c>
      <c r="D12302" s="2">
        <v>39052</v>
      </c>
      <c r="E12302" s="1" t="s">
        <v>24390</v>
      </c>
      <c r="F12302" s="1" t="s">
        <v>137</v>
      </c>
    </row>
    <row r="12303" spans="1:6" ht="30" customHeight="1" x14ac:dyDescent="0.25">
      <c r="A12303" s="1" t="s">
        <v>24391</v>
      </c>
      <c r="B12303" s="1" t="str">
        <f>"9780309663939"</f>
        <v>9780309663939</v>
      </c>
      <c r="C12303" s="1" t="s">
        <v>20924</v>
      </c>
      <c r="D12303" s="2">
        <v>39052</v>
      </c>
      <c r="E12303" s="1" t="s">
        <v>24392</v>
      </c>
      <c r="F12303" s="1" t="s">
        <v>13</v>
      </c>
    </row>
    <row r="12304" spans="1:6" ht="30" customHeight="1" x14ac:dyDescent="0.25">
      <c r="A12304" s="1" t="s">
        <v>24393</v>
      </c>
      <c r="B12304" s="1" t="str">
        <f>"9780309659765"</f>
        <v>9780309659765</v>
      </c>
      <c r="C12304" s="1" t="s">
        <v>20924</v>
      </c>
      <c r="D12304" s="2">
        <v>39052</v>
      </c>
      <c r="E12304" s="1" t="s">
        <v>24394</v>
      </c>
      <c r="F12304" s="1" t="s">
        <v>286</v>
      </c>
    </row>
    <row r="12305" spans="1:6" ht="30" customHeight="1" x14ac:dyDescent="0.25">
      <c r="A12305" s="1" t="s">
        <v>24395</v>
      </c>
      <c r="B12305" s="1" t="str">
        <f>"9780309667685"</f>
        <v>9780309667685</v>
      </c>
      <c r="C12305" s="1" t="s">
        <v>20924</v>
      </c>
      <c r="D12305" s="2">
        <v>39065</v>
      </c>
      <c r="E12305" s="1" t="s">
        <v>24396</v>
      </c>
      <c r="F12305" s="1" t="s">
        <v>13</v>
      </c>
    </row>
    <row r="12306" spans="1:6" ht="30" customHeight="1" x14ac:dyDescent="0.25">
      <c r="A12306" s="1" t="s">
        <v>24397</v>
      </c>
      <c r="B12306" s="1" t="str">
        <f>"9780309551663"</f>
        <v>9780309551663</v>
      </c>
      <c r="C12306" s="1" t="s">
        <v>20924</v>
      </c>
      <c r="D12306" s="2">
        <v>38582</v>
      </c>
      <c r="E12306" s="1" t="s">
        <v>24398</v>
      </c>
      <c r="F12306" s="1" t="s">
        <v>599</v>
      </c>
    </row>
    <row r="12307" spans="1:6" ht="30" customHeight="1" x14ac:dyDescent="0.25">
      <c r="A12307" s="1" t="s">
        <v>24399</v>
      </c>
      <c r="B12307" s="1" t="str">
        <f>"9780309657600"</f>
        <v>9780309657600</v>
      </c>
      <c r="C12307" s="1" t="s">
        <v>20924</v>
      </c>
      <c r="D12307" s="2">
        <v>38910</v>
      </c>
      <c r="E12307" s="1" t="s">
        <v>24400</v>
      </c>
      <c r="F12307" s="1" t="s">
        <v>205</v>
      </c>
    </row>
    <row r="12308" spans="1:6" ht="30" customHeight="1" x14ac:dyDescent="0.25">
      <c r="A12308" s="1" t="s">
        <v>24401</v>
      </c>
      <c r="B12308" s="1" t="str">
        <f>"9780309666152"</f>
        <v>9780309666152</v>
      </c>
      <c r="C12308" s="1" t="s">
        <v>20924</v>
      </c>
      <c r="D12308" s="2">
        <v>39069</v>
      </c>
      <c r="E12308" s="1" t="s">
        <v>24402</v>
      </c>
      <c r="F12308" s="1" t="s">
        <v>95</v>
      </c>
    </row>
    <row r="12309" spans="1:6" ht="30" customHeight="1" x14ac:dyDescent="0.25">
      <c r="A12309" s="1" t="s">
        <v>24403</v>
      </c>
      <c r="B12309" s="1" t="str">
        <f>"9780309545594"</f>
        <v>9780309545594</v>
      </c>
      <c r="C12309" s="1" t="s">
        <v>20924</v>
      </c>
      <c r="D12309" s="2">
        <v>38512</v>
      </c>
      <c r="E12309" s="1" t="s">
        <v>24404</v>
      </c>
      <c r="F12309" s="1" t="s">
        <v>95</v>
      </c>
    </row>
    <row r="12310" spans="1:6" ht="30" customHeight="1" x14ac:dyDescent="0.25">
      <c r="A12310" s="1" t="s">
        <v>24405</v>
      </c>
      <c r="B12310" s="1" t="str">
        <f>"9780309661119"</f>
        <v>9780309661119</v>
      </c>
      <c r="C12310" s="1" t="s">
        <v>20924</v>
      </c>
      <c r="D12310" s="2">
        <v>38981</v>
      </c>
      <c r="E12310" s="1" t="s">
        <v>24406</v>
      </c>
      <c r="F12310" s="1" t="s">
        <v>30</v>
      </c>
    </row>
    <row r="12311" spans="1:6" ht="30" customHeight="1" x14ac:dyDescent="0.25">
      <c r="A12311" s="1" t="s">
        <v>22477</v>
      </c>
      <c r="B12311" s="1" t="str">
        <f>"9780309106610"</f>
        <v>9780309106610</v>
      </c>
      <c r="C12311" s="1" t="s">
        <v>20924</v>
      </c>
      <c r="D12311" s="2">
        <v>38331</v>
      </c>
      <c r="E12311" s="1" t="s">
        <v>24407</v>
      </c>
      <c r="F12311" s="1" t="s">
        <v>158</v>
      </c>
    </row>
    <row r="12312" spans="1:6" ht="30" customHeight="1" x14ac:dyDescent="0.25">
      <c r="A12312" s="1" t="s">
        <v>24408</v>
      </c>
      <c r="B12312" s="1" t="str">
        <f>"9780309667623"</f>
        <v>9780309667623</v>
      </c>
      <c r="C12312" s="1" t="s">
        <v>20924</v>
      </c>
      <c r="D12312" s="2">
        <v>39171</v>
      </c>
      <c r="E12312" s="1" t="s">
        <v>24409</v>
      </c>
      <c r="F12312" s="1" t="s">
        <v>24410</v>
      </c>
    </row>
    <row r="12313" spans="1:6" ht="30" customHeight="1" x14ac:dyDescent="0.25">
      <c r="A12313" s="1" t="s">
        <v>24411</v>
      </c>
      <c r="B12313" s="1" t="str">
        <f>"9780309106245"</f>
        <v>9780309106245</v>
      </c>
      <c r="C12313" s="1" t="s">
        <v>20924</v>
      </c>
      <c r="D12313" s="2">
        <v>39417</v>
      </c>
      <c r="E12313" s="1" t="s">
        <v>24412</v>
      </c>
      <c r="F12313" s="1" t="s">
        <v>95</v>
      </c>
    </row>
    <row r="12314" spans="1:6" ht="30" customHeight="1" x14ac:dyDescent="0.25">
      <c r="A12314" s="1" t="s">
        <v>24413</v>
      </c>
      <c r="B12314" s="1" t="str">
        <f>"9780309667203"</f>
        <v>9780309667203</v>
      </c>
      <c r="C12314" s="1" t="s">
        <v>20924</v>
      </c>
      <c r="D12314" s="2">
        <v>39417</v>
      </c>
      <c r="E12314" s="1" t="s">
        <v>24414</v>
      </c>
      <c r="F12314" s="1" t="s">
        <v>95</v>
      </c>
    </row>
    <row r="12315" spans="1:6" ht="30" customHeight="1" x14ac:dyDescent="0.25">
      <c r="A12315" s="1" t="s">
        <v>24415</v>
      </c>
      <c r="B12315" s="1" t="str">
        <f>"9780309112994"</f>
        <v>9780309112994</v>
      </c>
      <c r="C12315" s="1" t="s">
        <v>22310</v>
      </c>
      <c r="D12315" s="2">
        <v>39417</v>
      </c>
      <c r="E12315" s="1" t="s">
        <v>24416</v>
      </c>
      <c r="F12315" s="1" t="s">
        <v>148</v>
      </c>
    </row>
    <row r="12316" spans="1:6" ht="30" customHeight="1" x14ac:dyDescent="0.25">
      <c r="A12316" s="1" t="s">
        <v>24417</v>
      </c>
      <c r="B12316" s="1" t="str">
        <f>"9780309112703"</f>
        <v>9780309112703</v>
      </c>
      <c r="C12316" s="1" t="s">
        <v>22310</v>
      </c>
      <c r="D12316" s="2">
        <v>39417</v>
      </c>
      <c r="E12316" s="1" t="s">
        <v>24418</v>
      </c>
      <c r="F12316" s="1" t="s">
        <v>148</v>
      </c>
    </row>
    <row r="12317" spans="1:6" ht="30" customHeight="1" x14ac:dyDescent="0.25">
      <c r="A12317" s="1" t="s">
        <v>24419</v>
      </c>
      <c r="B12317" s="1" t="str">
        <f>"9780309110112"</f>
        <v>9780309110112</v>
      </c>
      <c r="C12317" s="1" t="s">
        <v>22310</v>
      </c>
      <c r="D12317" s="2">
        <v>39417</v>
      </c>
      <c r="E12317" s="1" t="s">
        <v>24420</v>
      </c>
      <c r="F12317" s="1" t="s">
        <v>214</v>
      </c>
    </row>
    <row r="12318" spans="1:6" ht="30" customHeight="1" x14ac:dyDescent="0.25">
      <c r="A12318" s="1" t="s">
        <v>24421</v>
      </c>
      <c r="B12318" s="1" t="str">
        <f>"9780309108683"</f>
        <v>9780309108683</v>
      </c>
      <c r="C12318" s="1" t="s">
        <v>20924</v>
      </c>
      <c r="D12318" s="2">
        <v>39453</v>
      </c>
      <c r="E12318" s="1" t="s">
        <v>24422</v>
      </c>
      <c r="F12318" s="1" t="s">
        <v>30</v>
      </c>
    </row>
    <row r="12319" spans="1:6" ht="30" customHeight="1" x14ac:dyDescent="0.25">
      <c r="A12319" s="1" t="s">
        <v>24423</v>
      </c>
      <c r="B12319" s="1" t="str">
        <f>"9780309110372"</f>
        <v>9780309110372</v>
      </c>
      <c r="C12319" s="1" t="s">
        <v>20924</v>
      </c>
      <c r="D12319" s="2">
        <v>39783</v>
      </c>
      <c r="E12319" s="1" t="s">
        <v>24424</v>
      </c>
      <c r="F12319" s="1" t="s">
        <v>70</v>
      </c>
    </row>
    <row r="12320" spans="1:6" ht="30" customHeight="1" x14ac:dyDescent="0.25">
      <c r="A12320" s="1" t="s">
        <v>24425</v>
      </c>
      <c r="B12320" s="1" t="str">
        <f>"9780309145640"</f>
        <v>9780309145640</v>
      </c>
      <c r="C12320" s="1" t="s">
        <v>20924</v>
      </c>
      <c r="D12320" s="2">
        <v>40148</v>
      </c>
      <c r="E12320" s="1" t="s">
        <v>24426</v>
      </c>
      <c r="F12320" s="1" t="s">
        <v>95</v>
      </c>
    </row>
    <row r="12321" spans="1:6" ht="30" customHeight="1" x14ac:dyDescent="0.25">
      <c r="A12321" s="1" t="s">
        <v>24427</v>
      </c>
      <c r="B12321" s="1" t="str">
        <f>"9780309145367"</f>
        <v>9780309145367</v>
      </c>
      <c r="C12321" s="1" t="s">
        <v>20924</v>
      </c>
      <c r="D12321" s="2">
        <v>40148</v>
      </c>
      <c r="E12321" s="1" t="s">
        <v>24428</v>
      </c>
      <c r="F12321" s="1" t="s">
        <v>54</v>
      </c>
    </row>
    <row r="12322" spans="1:6" ht="30" customHeight="1" x14ac:dyDescent="0.25">
      <c r="A12322" s="1" t="s">
        <v>24429</v>
      </c>
      <c r="B12322" s="1" t="str">
        <f>"9780309137355"</f>
        <v>9780309137355</v>
      </c>
      <c r="C12322" s="1" t="s">
        <v>20924</v>
      </c>
      <c r="D12322" s="2">
        <v>40148</v>
      </c>
      <c r="E12322" s="1" t="s">
        <v>24430</v>
      </c>
      <c r="F12322" s="1" t="s">
        <v>33</v>
      </c>
    </row>
    <row r="12323" spans="1:6" ht="30" customHeight="1" x14ac:dyDescent="0.25">
      <c r="A12323" s="1" t="s">
        <v>24431</v>
      </c>
      <c r="B12323" s="1" t="str">
        <f>"9780309150224"</f>
        <v>9780309150224</v>
      </c>
      <c r="C12323" s="1" t="s">
        <v>22310</v>
      </c>
      <c r="D12323" s="2">
        <v>40148</v>
      </c>
      <c r="E12323" s="1" t="s">
        <v>24432</v>
      </c>
      <c r="F12323" s="1" t="s">
        <v>126</v>
      </c>
    </row>
    <row r="12324" spans="1:6" ht="30" customHeight="1" x14ac:dyDescent="0.25">
      <c r="A12324" s="1" t="s">
        <v>24433</v>
      </c>
      <c r="B12324" s="1" t="str">
        <f>"9780309147644"</f>
        <v>9780309147644</v>
      </c>
      <c r="C12324" s="1" t="s">
        <v>22310</v>
      </c>
      <c r="D12324" s="2">
        <v>40299</v>
      </c>
      <c r="E12324" s="1" t="s">
        <v>24434</v>
      </c>
      <c r="F12324" s="1" t="s">
        <v>10335</v>
      </c>
    </row>
    <row r="12325" spans="1:6" ht="30" customHeight="1" x14ac:dyDescent="0.25">
      <c r="A12325" s="1" t="s">
        <v>24435</v>
      </c>
      <c r="B12325" s="1" t="str">
        <f>"9780309153942"</f>
        <v>9780309153942</v>
      </c>
      <c r="C12325" s="1" t="s">
        <v>20924</v>
      </c>
      <c r="D12325" s="2">
        <v>40148</v>
      </c>
      <c r="E12325" s="1" t="s">
        <v>24436</v>
      </c>
      <c r="F12325" s="1" t="s">
        <v>95</v>
      </c>
    </row>
    <row r="12326" spans="1:6" ht="30" customHeight="1" x14ac:dyDescent="0.25">
      <c r="A12326" s="1" t="s">
        <v>24437</v>
      </c>
      <c r="B12326" s="1" t="str">
        <f>"9780309147675"</f>
        <v>9780309147675</v>
      </c>
      <c r="C12326" s="1" t="s">
        <v>20924</v>
      </c>
      <c r="D12326" s="2">
        <v>40148</v>
      </c>
      <c r="E12326" s="1" t="s">
        <v>24438</v>
      </c>
      <c r="F12326" s="1" t="s">
        <v>24439</v>
      </c>
    </row>
    <row r="12327" spans="1:6" ht="30" customHeight="1" x14ac:dyDescent="0.25">
      <c r="A12327" s="1" t="s">
        <v>24440</v>
      </c>
      <c r="B12327" s="1" t="str">
        <f>"9780309152839"</f>
        <v>9780309152839</v>
      </c>
      <c r="C12327" s="1" t="s">
        <v>22310</v>
      </c>
      <c r="D12327" s="2">
        <v>40148</v>
      </c>
      <c r="E12327" s="1" t="s">
        <v>24441</v>
      </c>
      <c r="F12327" s="1" t="s">
        <v>126</v>
      </c>
    </row>
    <row r="12328" spans="1:6" ht="30" customHeight="1" x14ac:dyDescent="0.25">
      <c r="A12328" s="1" t="s">
        <v>24442</v>
      </c>
      <c r="B12328" s="1" t="str">
        <f>"9780309177108"</f>
        <v>9780309177108</v>
      </c>
      <c r="C12328" s="1" t="s">
        <v>20924</v>
      </c>
      <c r="D12328" s="2">
        <v>40148</v>
      </c>
      <c r="E12328" s="1" t="s">
        <v>24443</v>
      </c>
      <c r="F12328" s="1" t="s">
        <v>3396</v>
      </c>
    </row>
    <row r="12329" spans="1:6" ht="30" customHeight="1" x14ac:dyDescent="0.25">
      <c r="A12329" s="1" t="s">
        <v>24444</v>
      </c>
      <c r="B12329" s="1" t="str">
        <f>"9780309176941"</f>
        <v>9780309176941</v>
      </c>
      <c r="C12329" s="1" t="s">
        <v>20924</v>
      </c>
      <c r="D12329" s="2">
        <v>40148</v>
      </c>
      <c r="E12329" s="1" t="s">
        <v>24445</v>
      </c>
      <c r="F12329" s="1" t="s">
        <v>158</v>
      </c>
    </row>
    <row r="12330" spans="1:6" ht="30" customHeight="1" x14ac:dyDescent="0.25">
      <c r="A12330" s="1" t="s">
        <v>24446</v>
      </c>
      <c r="B12330" s="1" t="str">
        <f>"9780309160193"</f>
        <v>9780309160193</v>
      </c>
      <c r="C12330" s="1" t="s">
        <v>20924</v>
      </c>
      <c r="D12330" s="2">
        <v>40513</v>
      </c>
      <c r="E12330" s="1" t="s">
        <v>24447</v>
      </c>
      <c r="F12330" s="1" t="s">
        <v>30</v>
      </c>
    </row>
    <row r="12331" spans="1:6" ht="30" customHeight="1" x14ac:dyDescent="0.25">
      <c r="A12331" s="1" t="s">
        <v>24448</v>
      </c>
      <c r="B12331" s="1" t="str">
        <f>"9780309162555"</f>
        <v>9780309162555</v>
      </c>
      <c r="C12331" s="1" t="s">
        <v>20924</v>
      </c>
      <c r="D12331" s="2">
        <v>40689</v>
      </c>
      <c r="E12331" s="1" t="s">
        <v>24449</v>
      </c>
      <c r="F12331" s="1" t="s">
        <v>33</v>
      </c>
    </row>
    <row r="12332" spans="1:6" ht="30" customHeight="1" x14ac:dyDescent="0.25">
      <c r="A12332" s="1" t="s">
        <v>24450</v>
      </c>
      <c r="B12332" s="1" t="str">
        <f>"9780309210621"</f>
        <v>9780309210621</v>
      </c>
      <c r="C12332" s="1" t="s">
        <v>20924</v>
      </c>
      <c r="D12332" s="2">
        <v>40732</v>
      </c>
      <c r="E12332" s="1" t="s">
        <v>24451</v>
      </c>
      <c r="F12332" s="1" t="s">
        <v>30</v>
      </c>
    </row>
    <row r="12333" spans="1:6" ht="30" customHeight="1" x14ac:dyDescent="0.25">
      <c r="A12333" s="1" t="s">
        <v>24452</v>
      </c>
      <c r="B12333" s="1" t="str">
        <f>"9780309112956"</f>
        <v>9780309112956</v>
      </c>
      <c r="C12333" s="1" t="s">
        <v>20924</v>
      </c>
      <c r="D12333" s="2">
        <v>39783</v>
      </c>
      <c r="E12333" s="1" t="s">
        <v>24453</v>
      </c>
      <c r="F12333" s="1" t="s">
        <v>95</v>
      </c>
    </row>
    <row r="12334" spans="1:6" ht="30" customHeight="1" x14ac:dyDescent="0.25">
      <c r="A12334" s="1" t="s">
        <v>24454</v>
      </c>
      <c r="B12334" s="1" t="str">
        <f>"9780309212175"</f>
        <v>9780309212175</v>
      </c>
      <c r="C12334" s="1" t="s">
        <v>20924</v>
      </c>
      <c r="D12334" s="2">
        <v>40781</v>
      </c>
      <c r="E12334" s="1" t="s">
        <v>24455</v>
      </c>
      <c r="F12334" s="1" t="s">
        <v>148</v>
      </c>
    </row>
    <row r="12335" spans="1:6" ht="30" customHeight="1" x14ac:dyDescent="0.25">
      <c r="A12335" s="1" t="s">
        <v>24456</v>
      </c>
      <c r="B12335" s="1" t="str">
        <f>"9780309209427"</f>
        <v>9780309209427</v>
      </c>
      <c r="C12335" s="1" t="s">
        <v>20924</v>
      </c>
      <c r="D12335" s="2">
        <v>40786</v>
      </c>
      <c r="E12335" s="1" t="s">
        <v>24457</v>
      </c>
      <c r="F12335" s="1" t="s">
        <v>13</v>
      </c>
    </row>
    <row r="12336" spans="1:6" ht="30" customHeight="1" x14ac:dyDescent="0.25">
      <c r="A12336" s="1" t="s">
        <v>24458</v>
      </c>
      <c r="B12336" s="1" t="str">
        <f>"9780309138857"</f>
        <v>9780309138857</v>
      </c>
      <c r="C12336" s="1" t="s">
        <v>20924</v>
      </c>
      <c r="D12336" s="2">
        <v>40167</v>
      </c>
      <c r="E12336" s="1" t="s">
        <v>24459</v>
      </c>
      <c r="F12336" s="1" t="s">
        <v>95</v>
      </c>
    </row>
    <row r="12337" spans="1:6" ht="30" customHeight="1" x14ac:dyDescent="0.25">
      <c r="A12337" s="1" t="s">
        <v>24460</v>
      </c>
      <c r="B12337" s="1" t="str">
        <f>"9780309214483"</f>
        <v>9780309214483</v>
      </c>
      <c r="C12337" s="1" t="s">
        <v>20924</v>
      </c>
      <c r="D12337" s="2">
        <v>40951</v>
      </c>
      <c r="E12337" s="1" t="s">
        <v>24461</v>
      </c>
      <c r="F12337" s="1" t="s">
        <v>33</v>
      </c>
    </row>
    <row r="12338" spans="1:6" ht="30" customHeight="1" x14ac:dyDescent="0.25">
      <c r="A12338" s="1" t="s">
        <v>24462</v>
      </c>
      <c r="B12338" s="1" t="str">
        <f>"9780309221283"</f>
        <v>9780309221283</v>
      </c>
      <c r="C12338" s="1" t="s">
        <v>22310</v>
      </c>
      <c r="D12338" s="2">
        <v>40724</v>
      </c>
      <c r="E12338" s="1" t="s">
        <v>24463</v>
      </c>
      <c r="F12338" s="1" t="s">
        <v>214</v>
      </c>
    </row>
    <row r="12339" spans="1:6" ht="30" customHeight="1" x14ac:dyDescent="0.25">
      <c r="A12339" s="1" t="s">
        <v>24464</v>
      </c>
      <c r="B12339" s="1" t="str">
        <f>"9780309255219"</f>
        <v>9780309255219</v>
      </c>
      <c r="C12339" s="1" t="s">
        <v>20924</v>
      </c>
      <c r="D12339" s="2">
        <v>40878</v>
      </c>
      <c r="E12339" s="1" t="s">
        <v>24465</v>
      </c>
      <c r="F12339" s="1" t="s">
        <v>95</v>
      </c>
    </row>
    <row r="12340" spans="1:6" ht="30" customHeight="1" x14ac:dyDescent="0.25">
      <c r="A12340" s="1" t="s">
        <v>24466</v>
      </c>
      <c r="B12340" s="1" t="str">
        <f>"9780309257671"</f>
        <v>9780309257671</v>
      </c>
      <c r="C12340" s="1" t="s">
        <v>20924</v>
      </c>
      <c r="D12340" s="2">
        <v>41102</v>
      </c>
      <c r="E12340" s="1" t="s">
        <v>24467</v>
      </c>
      <c r="F12340" s="1" t="s">
        <v>70</v>
      </c>
    </row>
    <row r="12341" spans="1:6" ht="30" customHeight="1" x14ac:dyDescent="0.25">
      <c r="A12341" s="1" t="s">
        <v>24468</v>
      </c>
      <c r="B12341" s="1" t="str">
        <f>"9780309255721"</f>
        <v>9780309255721</v>
      </c>
      <c r="C12341" s="1" t="s">
        <v>20924</v>
      </c>
      <c r="D12341" s="2">
        <v>41089</v>
      </c>
      <c r="E12341" s="1" t="s">
        <v>24469</v>
      </c>
      <c r="F12341" s="1" t="s">
        <v>356</v>
      </c>
    </row>
    <row r="12342" spans="1:6" ht="30" customHeight="1" x14ac:dyDescent="0.25">
      <c r="A12342" s="1" t="s">
        <v>24470</v>
      </c>
      <c r="B12342" s="1" t="str">
        <f>"9780309218146"</f>
        <v>9780309218146</v>
      </c>
      <c r="C12342" s="1" t="s">
        <v>20924</v>
      </c>
      <c r="D12342" s="2">
        <v>41122</v>
      </c>
      <c r="E12342" s="1" t="s">
        <v>24471</v>
      </c>
      <c r="F12342" s="1" t="s">
        <v>24472</v>
      </c>
    </row>
    <row r="12343" spans="1:6" ht="30" customHeight="1" x14ac:dyDescent="0.25">
      <c r="A12343" s="1" t="s">
        <v>24473</v>
      </c>
      <c r="B12343" s="1" t="str">
        <f>"9780309221085"</f>
        <v>9780309221085</v>
      </c>
      <c r="C12343" s="1" t="s">
        <v>20924</v>
      </c>
      <c r="D12343" s="2">
        <v>41091</v>
      </c>
      <c r="E12343" s="1" t="s">
        <v>24474</v>
      </c>
      <c r="F12343" s="1" t="s">
        <v>95</v>
      </c>
    </row>
    <row r="12344" spans="1:6" ht="30" customHeight="1" x14ac:dyDescent="0.25">
      <c r="A12344" s="1" t="s">
        <v>24475</v>
      </c>
      <c r="B12344" s="1" t="str">
        <f>"9780309225502"</f>
        <v>9780309225502</v>
      </c>
      <c r="C12344" s="1" t="s">
        <v>20924</v>
      </c>
      <c r="D12344" s="2">
        <v>41165</v>
      </c>
      <c r="E12344" s="1" t="s">
        <v>24476</v>
      </c>
      <c r="F12344" s="1" t="s">
        <v>137</v>
      </c>
    </row>
    <row r="12345" spans="1:6" ht="30" customHeight="1" x14ac:dyDescent="0.25">
      <c r="A12345" s="1" t="s">
        <v>24477</v>
      </c>
      <c r="B12345" s="1" t="str">
        <f>"9780309297165"</f>
        <v>9780309297165</v>
      </c>
      <c r="C12345" s="1" t="s">
        <v>20924</v>
      </c>
      <c r="D12345" s="2">
        <v>41709</v>
      </c>
      <c r="E12345" s="1" t="s">
        <v>24478</v>
      </c>
      <c r="F12345" s="1" t="s">
        <v>17280</v>
      </c>
    </row>
    <row r="12346" spans="1:6" ht="30" customHeight="1" x14ac:dyDescent="0.25">
      <c r="A12346" s="1" t="s">
        <v>24479</v>
      </c>
      <c r="B12346" s="1" t="str">
        <f>"9780309267038"</f>
        <v>9780309267038</v>
      </c>
      <c r="C12346" s="1" t="s">
        <v>20924</v>
      </c>
      <c r="D12346" s="2">
        <v>41391</v>
      </c>
      <c r="E12346" s="1" t="s">
        <v>24480</v>
      </c>
      <c r="F12346" s="1" t="s">
        <v>356</v>
      </c>
    </row>
    <row r="12347" spans="1:6" ht="30" customHeight="1" x14ac:dyDescent="0.25">
      <c r="A12347" s="1" t="s">
        <v>24481</v>
      </c>
      <c r="B12347" s="1" t="str">
        <f>"9780309260664"</f>
        <v>9780309260664</v>
      </c>
      <c r="C12347" s="1" t="s">
        <v>20924</v>
      </c>
      <c r="D12347" s="2">
        <v>40930</v>
      </c>
      <c r="E12347" s="1" t="s">
        <v>24482</v>
      </c>
      <c r="F12347" s="1" t="s">
        <v>359</v>
      </c>
    </row>
    <row r="12348" spans="1:6" ht="30" customHeight="1" x14ac:dyDescent="0.25">
      <c r="A12348" s="1" t="s">
        <v>24483</v>
      </c>
      <c r="B12348" s="1" t="str">
        <f>"9780309284752"</f>
        <v>9780309284752</v>
      </c>
      <c r="C12348" s="1" t="s">
        <v>20924</v>
      </c>
      <c r="D12348" s="2">
        <v>41556</v>
      </c>
      <c r="E12348" s="1" t="s">
        <v>24484</v>
      </c>
      <c r="F12348" s="1" t="s">
        <v>13</v>
      </c>
    </row>
    <row r="12349" spans="1:6" ht="30" customHeight="1" x14ac:dyDescent="0.25">
      <c r="A12349" s="1" t="s">
        <v>24485</v>
      </c>
      <c r="B12349" s="1" t="str">
        <f>"9780309260565"</f>
        <v>9780309260565</v>
      </c>
      <c r="C12349" s="1" t="s">
        <v>20924</v>
      </c>
      <c r="D12349" s="2">
        <v>41274</v>
      </c>
      <c r="E12349" s="1" t="s">
        <v>24486</v>
      </c>
      <c r="F12349" s="1" t="s">
        <v>13</v>
      </c>
    </row>
    <row r="12350" spans="1:6" ht="30" customHeight="1" x14ac:dyDescent="0.25">
      <c r="A12350" s="1" t="s">
        <v>24487</v>
      </c>
      <c r="B12350" s="1" t="str">
        <f>"9780309301114"</f>
        <v>9780309301114</v>
      </c>
      <c r="C12350" s="1" t="s">
        <v>20924</v>
      </c>
      <c r="D12350" s="2">
        <v>41843</v>
      </c>
      <c r="E12350" s="1" t="s">
        <v>24488</v>
      </c>
      <c r="F12350" s="1" t="s">
        <v>356</v>
      </c>
    </row>
    <row r="12351" spans="1:6" ht="30" customHeight="1" x14ac:dyDescent="0.25">
      <c r="A12351" s="1" t="s">
        <v>24489</v>
      </c>
      <c r="B12351" s="1" t="str">
        <f>"9781626251403"</f>
        <v>9781626251403</v>
      </c>
      <c r="C12351" s="1" t="s">
        <v>10294</v>
      </c>
      <c r="D12351" s="2">
        <v>42156</v>
      </c>
      <c r="E12351" s="1" t="s">
        <v>24490</v>
      </c>
      <c r="F12351" s="1" t="s">
        <v>13</v>
      </c>
    </row>
    <row r="12352" spans="1:6" ht="30" customHeight="1" x14ac:dyDescent="0.25">
      <c r="A12352" s="1" t="s">
        <v>24491</v>
      </c>
      <c r="B12352" s="1" t="str">
        <f>"9780813565927"</f>
        <v>9780813565927</v>
      </c>
      <c r="C12352" s="1" t="s">
        <v>3656</v>
      </c>
      <c r="D12352" s="2">
        <v>42111</v>
      </c>
      <c r="E12352" s="1" t="s">
        <v>24492</v>
      </c>
      <c r="F12352" s="1" t="s">
        <v>33</v>
      </c>
    </row>
    <row r="12353" spans="1:6" ht="30" customHeight="1" x14ac:dyDescent="0.25">
      <c r="A12353" s="1" t="s">
        <v>24493</v>
      </c>
      <c r="B12353" s="1" t="str">
        <f>"9783869458168"</f>
        <v>9783869458168</v>
      </c>
      <c r="C12353" s="1" t="s">
        <v>16369</v>
      </c>
      <c r="D12353" s="2">
        <v>42216</v>
      </c>
      <c r="E12353" s="1" t="s">
        <v>24494</v>
      </c>
      <c r="F12353" s="1" t="s">
        <v>13</v>
      </c>
    </row>
    <row r="12354" spans="1:6" ht="30" customHeight="1" x14ac:dyDescent="0.25">
      <c r="A12354" s="1" t="s">
        <v>24495</v>
      </c>
      <c r="B12354" s="1" t="str">
        <f>"9780809334063"</f>
        <v>9780809334063</v>
      </c>
      <c r="C12354" s="1" t="s">
        <v>13897</v>
      </c>
      <c r="D12354" s="2">
        <v>42179</v>
      </c>
      <c r="E12354" s="1" t="s">
        <v>24496</v>
      </c>
      <c r="F12354" s="1" t="s">
        <v>304</v>
      </c>
    </row>
    <row r="12355" spans="1:6" ht="30" customHeight="1" x14ac:dyDescent="0.25">
      <c r="A12355" s="1" t="s">
        <v>24497</v>
      </c>
      <c r="B12355" s="1" t="str">
        <f>"9780826122667"</f>
        <v>9780826122667</v>
      </c>
      <c r="C12355" s="1" t="s">
        <v>2339</v>
      </c>
      <c r="D12355" s="2">
        <v>42036</v>
      </c>
      <c r="E12355" s="1" t="s">
        <v>24498</v>
      </c>
      <c r="F12355" s="1" t="s">
        <v>13</v>
      </c>
    </row>
    <row r="12356" spans="1:6" ht="30" customHeight="1" x14ac:dyDescent="0.25">
      <c r="A12356" s="1" t="s">
        <v>24499</v>
      </c>
      <c r="B12356" s="1" t="str">
        <f>"9780826128836"</f>
        <v>9780826128836</v>
      </c>
      <c r="C12356" s="1" t="s">
        <v>2339</v>
      </c>
      <c r="D12356" s="2">
        <v>42156</v>
      </c>
      <c r="E12356" s="1" t="s">
        <v>24500</v>
      </c>
      <c r="F12356" s="1" t="s">
        <v>95</v>
      </c>
    </row>
    <row r="12357" spans="1:6" ht="30" customHeight="1" x14ac:dyDescent="0.25">
      <c r="A12357" s="1" t="s">
        <v>24501</v>
      </c>
      <c r="B12357" s="1" t="str">
        <f>"9780826171795"</f>
        <v>9780826171795</v>
      </c>
      <c r="C12357" s="1" t="s">
        <v>2339</v>
      </c>
      <c r="D12357" s="2">
        <v>42156</v>
      </c>
      <c r="E12357" s="1" t="s">
        <v>24502</v>
      </c>
      <c r="F12357" s="1" t="s">
        <v>126</v>
      </c>
    </row>
    <row r="12358" spans="1:6" ht="30" customHeight="1" x14ac:dyDescent="0.25">
      <c r="A12358" s="1" t="s">
        <v>24503</v>
      </c>
      <c r="B12358" s="1" t="str">
        <f>"9780804795494"</f>
        <v>9780804795494</v>
      </c>
      <c r="C12358" s="1" t="s">
        <v>7827</v>
      </c>
      <c r="D12358" s="2">
        <v>42158</v>
      </c>
      <c r="E12358" s="1" t="s">
        <v>24504</v>
      </c>
      <c r="F12358" s="1" t="s">
        <v>541</v>
      </c>
    </row>
    <row r="12359" spans="1:6" ht="30" customHeight="1" x14ac:dyDescent="0.25">
      <c r="A12359" s="1" t="s">
        <v>24505</v>
      </c>
      <c r="B12359" s="1" t="str">
        <f>"9780472029235"</f>
        <v>9780472029235</v>
      </c>
      <c r="C12359" s="1" t="s">
        <v>23652</v>
      </c>
      <c r="D12359" s="2">
        <v>41435</v>
      </c>
      <c r="E12359" s="1" t="s">
        <v>23672</v>
      </c>
      <c r="F12359" s="1" t="s">
        <v>10174</v>
      </c>
    </row>
    <row r="12360" spans="1:6" ht="30" customHeight="1" x14ac:dyDescent="0.25">
      <c r="A12360" s="1" t="s">
        <v>24506</v>
      </c>
      <c r="B12360" s="1" t="str">
        <f>"9780826263612"</f>
        <v>9780826263612</v>
      </c>
      <c r="C12360" s="1" t="s">
        <v>24194</v>
      </c>
      <c r="D12360" s="2">
        <v>37226</v>
      </c>
      <c r="E12360" s="1" t="s">
        <v>24507</v>
      </c>
      <c r="F12360" s="1" t="s">
        <v>158</v>
      </c>
    </row>
    <row r="12361" spans="1:6" ht="30" customHeight="1" x14ac:dyDescent="0.25">
      <c r="A12361" s="1" t="s">
        <v>24508</v>
      </c>
      <c r="B12361" s="1" t="str">
        <f>"9780826262974"</f>
        <v>9780826262974</v>
      </c>
      <c r="C12361" s="1" t="s">
        <v>24194</v>
      </c>
      <c r="D12361" s="2">
        <v>36861</v>
      </c>
      <c r="E12361" s="1" t="s">
        <v>24509</v>
      </c>
      <c r="F12361" s="1" t="s">
        <v>13</v>
      </c>
    </row>
    <row r="12362" spans="1:6" ht="30" customHeight="1" x14ac:dyDescent="0.25">
      <c r="A12362" s="1" t="s">
        <v>24510</v>
      </c>
      <c r="B12362" s="1" t="str">
        <f>"9780826264183"</f>
        <v>9780826264183</v>
      </c>
      <c r="C12362" s="1" t="s">
        <v>24194</v>
      </c>
      <c r="D12362" s="2">
        <v>38322</v>
      </c>
      <c r="E12362" s="1" t="s">
        <v>24511</v>
      </c>
      <c r="F12362" s="1" t="s">
        <v>95</v>
      </c>
    </row>
    <row r="12363" spans="1:6" ht="30" customHeight="1" x14ac:dyDescent="0.25">
      <c r="A12363" s="1" t="s">
        <v>24512</v>
      </c>
      <c r="B12363" s="1" t="str">
        <f>"9780826265685"</f>
        <v>9780826265685</v>
      </c>
      <c r="C12363" s="1" t="s">
        <v>24194</v>
      </c>
      <c r="D12363" s="2">
        <v>39052</v>
      </c>
      <c r="E12363" s="1" t="s">
        <v>24513</v>
      </c>
      <c r="F12363" s="1" t="s">
        <v>13</v>
      </c>
    </row>
    <row r="12364" spans="1:6" ht="30" customHeight="1" x14ac:dyDescent="0.25">
      <c r="A12364" s="1" t="s">
        <v>24514</v>
      </c>
      <c r="B12364" s="1" t="str">
        <f>"9780826265548"</f>
        <v>9780826265548</v>
      </c>
      <c r="C12364" s="1" t="s">
        <v>24194</v>
      </c>
      <c r="D12364" s="2">
        <v>39417</v>
      </c>
      <c r="E12364" s="1" t="s">
        <v>24515</v>
      </c>
      <c r="F12364" s="1" t="s">
        <v>176</v>
      </c>
    </row>
    <row r="12365" spans="1:6" ht="30" customHeight="1" x14ac:dyDescent="0.25">
      <c r="A12365" s="1" t="s">
        <v>24516</v>
      </c>
      <c r="B12365" s="1" t="str">
        <f>"9780826265814"</f>
        <v>9780826265814</v>
      </c>
      <c r="C12365" s="1" t="s">
        <v>24194</v>
      </c>
      <c r="D12365" s="2">
        <v>39417</v>
      </c>
      <c r="E12365" s="1" t="s">
        <v>24517</v>
      </c>
      <c r="F12365" s="1" t="s">
        <v>87</v>
      </c>
    </row>
    <row r="12366" spans="1:6" ht="30" customHeight="1" x14ac:dyDescent="0.25">
      <c r="A12366" s="1" t="s">
        <v>24518</v>
      </c>
      <c r="B12366" s="1" t="str">
        <f>"9780826266170"</f>
        <v>9780826266170</v>
      </c>
      <c r="C12366" s="1" t="s">
        <v>24194</v>
      </c>
      <c r="D12366" s="2">
        <v>39417</v>
      </c>
      <c r="E12366" s="1" t="s">
        <v>24519</v>
      </c>
      <c r="F12366" s="1" t="s">
        <v>13</v>
      </c>
    </row>
    <row r="12367" spans="1:6" ht="30" customHeight="1" x14ac:dyDescent="0.25">
      <c r="A12367" s="1" t="s">
        <v>24520</v>
      </c>
      <c r="B12367" s="1" t="str">
        <f>"9780268075859"</f>
        <v>9780268075859</v>
      </c>
      <c r="C12367" s="1" t="s">
        <v>24203</v>
      </c>
      <c r="D12367" s="2">
        <v>40805</v>
      </c>
      <c r="E12367" s="1" t="s">
        <v>24521</v>
      </c>
      <c r="F12367" s="1" t="s">
        <v>205</v>
      </c>
    </row>
    <row r="12368" spans="1:6" ht="30" customHeight="1" x14ac:dyDescent="0.25">
      <c r="A12368" s="1" t="s">
        <v>24522</v>
      </c>
      <c r="B12368" s="1" t="str">
        <f>"9789898265012"</f>
        <v>9789898265012</v>
      </c>
      <c r="C12368" s="1" t="s">
        <v>24523</v>
      </c>
      <c r="D12368" s="2">
        <v>39600</v>
      </c>
      <c r="E12368" s="1" t="s">
        <v>24524</v>
      </c>
      <c r="F12368" s="1" t="s">
        <v>268</v>
      </c>
    </row>
    <row r="12369" spans="1:6" ht="30" customHeight="1" x14ac:dyDescent="0.25">
      <c r="A12369" s="1" t="s">
        <v>24525</v>
      </c>
      <c r="B12369" s="1" t="str">
        <f>"9781903737101"</f>
        <v>9781903737101</v>
      </c>
      <c r="C12369" s="1" t="s">
        <v>24526</v>
      </c>
      <c r="D12369" s="2">
        <v>38869</v>
      </c>
      <c r="E12369" s="1" t="s">
        <v>24527</v>
      </c>
      <c r="F12369" s="1" t="s">
        <v>4817</v>
      </c>
    </row>
    <row r="12370" spans="1:6" ht="30" customHeight="1" x14ac:dyDescent="0.25">
      <c r="A12370" s="1" t="s">
        <v>24528</v>
      </c>
      <c r="B12370" s="1" t="str">
        <f>"9781903737088"</f>
        <v>9781903737088</v>
      </c>
      <c r="C12370" s="1" t="s">
        <v>24526</v>
      </c>
      <c r="D12370" s="2">
        <v>39144</v>
      </c>
      <c r="E12370" s="1" t="s">
        <v>24527</v>
      </c>
      <c r="F12370" s="1" t="s">
        <v>13</v>
      </c>
    </row>
    <row r="12371" spans="1:6" ht="30" customHeight="1" x14ac:dyDescent="0.25">
      <c r="A12371" s="1" t="s">
        <v>24529</v>
      </c>
      <c r="B12371" s="1" t="str">
        <f>"9780292766631"</f>
        <v>9780292766631</v>
      </c>
      <c r="C12371" s="1" t="s">
        <v>24248</v>
      </c>
      <c r="D12371" s="2">
        <v>42156</v>
      </c>
      <c r="E12371" s="1" t="s">
        <v>24530</v>
      </c>
      <c r="F12371" s="1" t="s">
        <v>95</v>
      </c>
    </row>
    <row r="12372" spans="1:6" ht="30" customHeight="1" x14ac:dyDescent="0.25">
      <c r="A12372" s="1" t="s">
        <v>24531</v>
      </c>
      <c r="B12372" s="1" t="str">
        <f>"9783110374827"</f>
        <v>9783110374827</v>
      </c>
      <c r="C12372" s="1" t="s">
        <v>13524</v>
      </c>
      <c r="D12372" s="2">
        <v>42153</v>
      </c>
      <c r="E12372" s="1" t="s">
        <v>24532</v>
      </c>
      <c r="F12372" s="1" t="s">
        <v>13</v>
      </c>
    </row>
    <row r="12373" spans="1:6" ht="30" customHeight="1" x14ac:dyDescent="0.25">
      <c r="A12373" s="1" t="s">
        <v>24533</v>
      </c>
      <c r="B12373" s="1" t="str">
        <f>"9781464806414"</f>
        <v>9781464806414</v>
      </c>
      <c r="C12373" s="1" t="s">
        <v>6702</v>
      </c>
      <c r="D12373" s="2">
        <v>42247</v>
      </c>
      <c r="E12373" s="1" t="s">
        <v>24534</v>
      </c>
      <c r="F12373" s="1" t="s">
        <v>95</v>
      </c>
    </row>
    <row r="12374" spans="1:6" ht="30" customHeight="1" x14ac:dyDescent="0.25">
      <c r="A12374" s="1" t="s">
        <v>24535</v>
      </c>
      <c r="B12374" s="1" t="str">
        <f>"9789956762415"</f>
        <v>9789956762415</v>
      </c>
      <c r="C12374" s="1" t="s">
        <v>13063</v>
      </c>
      <c r="D12374" s="2">
        <v>42223</v>
      </c>
      <c r="E12374" s="1" t="s">
        <v>24536</v>
      </c>
      <c r="F12374" s="1" t="s">
        <v>24537</v>
      </c>
    </row>
    <row r="12375" spans="1:6" ht="30" customHeight="1" x14ac:dyDescent="0.25">
      <c r="A12375" s="1" t="s">
        <v>24538</v>
      </c>
      <c r="B12375" s="1" t="str">
        <f>"9789004253131"</f>
        <v>9789004253131</v>
      </c>
      <c r="C12375" s="1" t="s">
        <v>906</v>
      </c>
      <c r="D12375" s="2">
        <v>40805</v>
      </c>
      <c r="E12375" s="1" t="s">
        <v>24539</v>
      </c>
      <c r="F12375" s="1" t="s">
        <v>13</v>
      </c>
    </row>
    <row r="12376" spans="1:6" ht="30" customHeight="1" x14ac:dyDescent="0.25">
      <c r="A12376" s="1" t="s">
        <v>24540</v>
      </c>
      <c r="B12376" s="1" t="str">
        <f>"9780803290235"</f>
        <v>9780803290235</v>
      </c>
      <c r="C12376" s="1" t="s">
        <v>16405</v>
      </c>
      <c r="D12376" s="2">
        <v>42309</v>
      </c>
      <c r="E12376" s="1" t="s">
        <v>24541</v>
      </c>
      <c r="F12376" s="1" t="s">
        <v>541</v>
      </c>
    </row>
    <row r="12377" spans="1:6" ht="30" customHeight="1" x14ac:dyDescent="0.25">
      <c r="A12377" s="1" t="s">
        <v>24542</v>
      </c>
      <c r="B12377" s="1" t="str">
        <f>"9781782412212"</f>
        <v>9781782412212</v>
      </c>
      <c r="C12377" s="1" t="s">
        <v>68</v>
      </c>
      <c r="D12377" s="2">
        <v>42289</v>
      </c>
      <c r="E12377" s="1" t="s">
        <v>24543</v>
      </c>
      <c r="F12377" s="1" t="s">
        <v>13</v>
      </c>
    </row>
    <row r="12378" spans="1:6" ht="30" customHeight="1" x14ac:dyDescent="0.25">
      <c r="A12378" s="1" t="s">
        <v>24544</v>
      </c>
      <c r="B12378" s="1" t="str">
        <f>"9780819575906"</f>
        <v>9780819575906</v>
      </c>
      <c r="C12378" s="1" t="s">
        <v>24545</v>
      </c>
      <c r="D12378" s="2">
        <v>42283</v>
      </c>
      <c r="E12378" s="1" t="s">
        <v>24546</v>
      </c>
      <c r="F12378" s="1" t="s">
        <v>13</v>
      </c>
    </row>
    <row r="12379" spans="1:6" ht="30" customHeight="1" x14ac:dyDescent="0.25">
      <c r="A12379" s="1" t="s">
        <v>24547</v>
      </c>
      <c r="B12379" s="1" t="str">
        <f>"9781782412779"</f>
        <v>9781782412779</v>
      </c>
      <c r="C12379" s="1" t="s">
        <v>8994</v>
      </c>
      <c r="D12379" s="2">
        <v>42312</v>
      </c>
      <c r="E12379" s="1" t="s">
        <v>24548</v>
      </c>
      <c r="F12379" s="1" t="s">
        <v>104</v>
      </c>
    </row>
    <row r="12380" spans="1:6" ht="30" customHeight="1" x14ac:dyDescent="0.25">
      <c r="A12380" s="1" t="s">
        <v>24549</v>
      </c>
      <c r="B12380" s="1" t="str">
        <f>"9781782414308"</f>
        <v>9781782414308</v>
      </c>
      <c r="C12380" s="1" t="s">
        <v>68</v>
      </c>
      <c r="D12380" s="2">
        <v>42292</v>
      </c>
      <c r="E12380" s="1" t="s">
        <v>3090</v>
      </c>
      <c r="F12380" s="1" t="s">
        <v>13</v>
      </c>
    </row>
    <row r="12381" spans="1:6" ht="30" customHeight="1" x14ac:dyDescent="0.25">
      <c r="A12381" s="1" t="s">
        <v>24550</v>
      </c>
      <c r="B12381" s="1" t="str">
        <f>"9781782414568"</f>
        <v>9781782414568</v>
      </c>
      <c r="C12381" s="1" t="s">
        <v>8994</v>
      </c>
      <c r="D12381" s="2">
        <v>42294</v>
      </c>
      <c r="E12381" s="1" t="s">
        <v>24551</v>
      </c>
      <c r="F12381" s="1" t="s">
        <v>13</v>
      </c>
    </row>
    <row r="12382" spans="1:6" ht="30" customHeight="1" x14ac:dyDescent="0.25">
      <c r="A12382" s="1" t="s">
        <v>24552</v>
      </c>
      <c r="B12382" s="1" t="str">
        <f>"9781118330128"</f>
        <v>9781118330128</v>
      </c>
      <c r="C12382" s="1" t="s">
        <v>65</v>
      </c>
      <c r="D12382" s="2">
        <v>41600</v>
      </c>
      <c r="E12382" s="1" t="s">
        <v>24553</v>
      </c>
      <c r="F12382" s="1" t="s">
        <v>1795</v>
      </c>
    </row>
    <row r="12383" spans="1:6" ht="30" customHeight="1" x14ac:dyDescent="0.25">
      <c r="A12383" s="1" t="s">
        <v>24554</v>
      </c>
      <c r="B12383" s="1" t="str">
        <f>"9781118369425"</f>
        <v>9781118369425</v>
      </c>
      <c r="C12383" s="1" t="s">
        <v>65</v>
      </c>
      <c r="D12383" s="2">
        <v>42255</v>
      </c>
      <c r="E12383" s="1" t="s">
        <v>24555</v>
      </c>
      <c r="F12383" s="1" t="s">
        <v>176</v>
      </c>
    </row>
    <row r="12384" spans="1:6" ht="30" customHeight="1" x14ac:dyDescent="0.25">
      <c r="A12384" s="1" t="s">
        <v>24556</v>
      </c>
      <c r="B12384" s="1" t="str">
        <f>"9781118468661"</f>
        <v>9781118468661</v>
      </c>
      <c r="C12384" s="1" t="s">
        <v>65</v>
      </c>
      <c r="D12384" s="2">
        <v>42285</v>
      </c>
      <c r="E12384" s="1" t="s">
        <v>24557</v>
      </c>
      <c r="F12384" s="1" t="s">
        <v>13</v>
      </c>
    </row>
    <row r="12385" spans="1:6" ht="30" customHeight="1" x14ac:dyDescent="0.25">
      <c r="A12385" s="1" t="s">
        <v>24558</v>
      </c>
      <c r="B12385" s="1" t="str">
        <f>"9781118524978"</f>
        <v>9781118524978</v>
      </c>
      <c r="C12385" s="1" t="s">
        <v>65</v>
      </c>
      <c r="D12385" s="2">
        <v>42220</v>
      </c>
      <c r="E12385" s="1" t="s">
        <v>24559</v>
      </c>
      <c r="F12385" s="1" t="s">
        <v>13</v>
      </c>
    </row>
    <row r="12386" spans="1:6" ht="30" customHeight="1" x14ac:dyDescent="0.25">
      <c r="A12386" s="1" t="s">
        <v>24560</v>
      </c>
      <c r="B12386" s="1" t="str">
        <f>"9781118557242"</f>
        <v>9781118557242</v>
      </c>
      <c r="C12386" s="1" t="s">
        <v>65</v>
      </c>
      <c r="D12386" s="2">
        <v>42268</v>
      </c>
      <c r="E12386" s="1" t="s">
        <v>24561</v>
      </c>
      <c r="F12386" s="1" t="s">
        <v>13</v>
      </c>
    </row>
    <row r="12387" spans="1:6" ht="30" customHeight="1" x14ac:dyDescent="0.25">
      <c r="A12387" s="1" t="s">
        <v>24562</v>
      </c>
      <c r="B12387" s="1" t="str">
        <f>"9781118573976"</f>
        <v>9781118573976</v>
      </c>
      <c r="C12387" s="1" t="s">
        <v>65</v>
      </c>
      <c r="D12387" s="2">
        <v>42202</v>
      </c>
      <c r="E12387" s="1" t="s">
        <v>24563</v>
      </c>
      <c r="F12387" s="1" t="s">
        <v>268</v>
      </c>
    </row>
    <row r="12388" spans="1:6" ht="30" customHeight="1" x14ac:dyDescent="0.25">
      <c r="A12388" s="1" t="s">
        <v>24564</v>
      </c>
      <c r="B12388" s="1" t="str">
        <f>"9781118655184"</f>
        <v>9781118655184</v>
      </c>
      <c r="C12388" s="1" t="s">
        <v>65</v>
      </c>
      <c r="D12388" s="2">
        <v>42241</v>
      </c>
      <c r="E12388" s="1" t="s">
        <v>24565</v>
      </c>
      <c r="F12388" s="1" t="s">
        <v>13</v>
      </c>
    </row>
    <row r="12389" spans="1:6" ht="30" customHeight="1" x14ac:dyDescent="0.25">
      <c r="A12389" s="1" t="s">
        <v>24566</v>
      </c>
      <c r="B12389" s="1" t="str">
        <f>"9781118669327"</f>
        <v>9781118669327</v>
      </c>
      <c r="C12389" s="1" t="s">
        <v>65</v>
      </c>
      <c r="D12389" s="2">
        <v>42257</v>
      </c>
      <c r="E12389" s="1" t="s">
        <v>24567</v>
      </c>
      <c r="F12389" s="1" t="s">
        <v>2130</v>
      </c>
    </row>
    <row r="12390" spans="1:6" ht="30" customHeight="1" x14ac:dyDescent="0.25">
      <c r="A12390" s="1" t="s">
        <v>24568</v>
      </c>
      <c r="B12390" s="1" t="str">
        <f>"9781118674857"</f>
        <v>9781118674857</v>
      </c>
      <c r="C12390" s="1" t="s">
        <v>65</v>
      </c>
      <c r="D12390" s="2">
        <v>42286</v>
      </c>
      <c r="E12390" s="1" t="s">
        <v>24569</v>
      </c>
      <c r="F12390" s="1" t="s">
        <v>13</v>
      </c>
    </row>
    <row r="12391" spans="1:6" ht="30" customHeight="1" x14ac:dyDescent="0.25">
      <c r="A12391" s="1" t="s">
        <v>24570</v>
      </c>
      <c r="B12391" s="1" t="str">
        <f>"9781118682807"</f>
        <v>9781118682807</v>
      </c>
      <c r="C12391" s="1" t="s">
        <v>65</v>
      </c>
      <c r="D12391" s="2">
        <v>42202</v>
      </c>
      <c r="E12391" s="1" t="s">
        <v>24571</v>
      </c>
      <c r="F12391" s="1" t="s">
        <v>137</v>
      </c>
    </row>
    <row r="12392" spans="1:6" ht="30" customHeight="1" x14ac:dyDescent="0.25">
      <c r="A12392" s="1" t="s">
        <v>24572</v>
      </c>
      <c r="B12392" s="1" t="str">
        <f>"9781118773192"</f>
        <v>9781118773192</v>
      </c>
      <c r="C12392" s="1" t="s">
        <v>65</v>
      </c>
      <c r="D12392" s="2">
        <v>42272</v>
      </c>
      <c r="E12392" s="1" t="s">
        <v>24573</v>
      </c>
      <c r="F12392" s="1" t="s">
        <v>13</v>
      </c>
    </row>
    <row r="12393" spans="1:6" ht="30" customHeight="1" x14ac:dyDescent="0.25">
      <c r="A12393" s="1" t="s">
        <v>6408</v>
      </c>
      <c r="B12393" s="1" t="str">
        <f>"9781118777459"</f>
        <v>9781118777459</v>
      </c>
      <c r="C12393" s="1" t="s">
        <v>65</v>
      </c>
      <c r="D12393" s="2">
        <v>42137</v>
      </c>
      <c r="E12393" s="1" t="s">
        <v>24574</v>
      </c>
      <c r="F12393" s="1" t="s">
        <v>13</v>
      </c>
    </row>
    <row r="12394" spans="1:6" ht="30" customHeight="1" x14ac:dyDescent="0.25">
      <c r="A12394" s="1" t="s">
        <v>24575</v>
      </c>
      <c r="B12394" s="1" t="str">
        <f>"9781118780862"</f>
        <v>9781118780862</v>
      </c>
      <c r="C12394" s="1" t="s">
        <v>65</v>
      </c>
      <c r="D12394" s="2">
        <v>42013</v>
      </c>
      <c r="E12394" s="1" t="s">
        <v>24576</v>
      </c>
      <c r="F12394" s="1" t="s">
        <v>13</v>
      </c>
    </row>
    <row r="12395" spans="1:6" ht="30" customHeight="1" x14ac:dyDescent="0.25">
      <c r="A12395" s="1" t="s">
        <v>24577</v>
      </c>
      <c r="B12395" s="1" t="str">
        <f>"9781118799529"</f>
        <v>9781118799529</v>
      </c>
      <c r="C12395" s="1" t="s">
        <v>65</v>
      </c>
      <c r="D12395" s="2">
        <v>42142</v>
      </c>
      <c r="E12395" s="1" t="s">
        <v>24578</v>
      </c>
      <c r="F12395" s="1" t="s">
        <v>137</v>
      </c>
    </row>
    <row r="12396" spans="1:6" ht="30" customHeight="1" x14ac:dyDescent="0.25">
      <c r="A12396" s="1" t="s">
        <v>24579</v>
      </c>
      <c r="B12396" s="1" t="str">
        <f>"9781118814543"</f>
        <v>9781118814543</v>
      </c>
      <c r="C12396" s="1" t="s">
        <v>65</v>
      </c>
      <c r="D12396" s="2">
        <v>42142</v>
      </c>
      <c r="E12396" s="1" t="s">
        <v>24580</v>
      </c>
      <c r="F12396" s="1" t="s">
        <v>148</v>
      </c>
    </row>
    <row r="12397" spans="1:6" ht="30" customHeight="1" x14ac:dyDescent="0.25">
      <c r="A12397" s="1" t="s">
        <v>24581</v>
      </c>
      <c r="B12397" s="1" t="str">
        <f>"9781118818527"</f>
        <v>9781118818527</v>
      </c>
      <c r="C12397" s="1" t="s">
        <v>65</v>
      </c>
      <c r="D12397" s="2">
        <v>42270</v>
      </c>
      <c r="E12397" s="1" t="s">
        <v>6673</v>
      </c>
      <c r="F12397" s="1" t="s">
        <v>13</v>
      </c>
    </row>
    <row r="12398" spans="1:6" ht="30" customHeight="1" x14ac:dyDescent="0.25">
      <c r="A12398" s="1" t="s">
        <v>24582</v>
      </c>
      <c r="B12398" s="1" t="str">
        <f>"9781118818725"</f>
        <v>9781118818725</v>
      </c>
      <c r="C12398" s="1" t="s">
        <v>65</v>
      </c>
      <c r="D12398" s="2">
        <v>42184</v>
      </c>
      <c r="E12398" s="1" t="s">
        <v>24583</v>
      </c>
      <c r="F12398" s="1" t="s">
        <v>176</v>
      </c>
    </row>
    <row r="12399" spans="1:6" ht="30" customHeight="1" x14ac:dyDescent="0.25">
      <c r="A12399" s="1" t="s">
        <v>24584</v>
      </c>
      <c r="B12399" s="1" t="str">
        <f>"9781118824986"</f>
        <v>9781118824986</v>
      </c>
      <c r="C12399" s="1" t="s">
        <v>65</v>
      </c>
      <c r="D12399" s="2">
        <v>42171</v>
      </c>
      <c r="E12399" s="1" t="s">
        <v>24585</v>
      </c>
      <c r="F12399" s="1" t="s">
        <v>13</v>
      </c>
    </row>
    <row r="12400" spans="1:6" ht="30" customHeight="1" x14ac:dyDescent="0.25">
      <c r="A12400" s="1" t="s">
        <v>24586</v>
      </c>
      <c r="B12400" s="1" t="str">
        <f>"9781118838327"</f>
        <v>9781118838327</v>
      </c>
      <c r="C12400" s="1" t="s">
        <v>65</v>
      </c>
      <c r="D12400" s="2">
        <v>42268</v>
      </c>
      <c r="E12400" s="1" t="s">
        <v>24587</v>
      </c>
      <c r="F12400" s="1" t="s">
        <v>137</v>
      </c>
    </row>
    <row r="12401" spans="1:6" ht="30" customHeight="1" x14ac:dyDescent="0.25">
      <c r="A12401" s="1" t="s">
        <v>24588</v>
      </c>
      <c r="B12401" s="1" t="str">
        <f>"9781118860632"</f>
        <v>9781118860632</v>
      </c>
      <c r="C12401" s="1" t="s">
        <v>65</v>
      </c>
      <c r="D12401" s="2">
        <v>42230</v>
      </c>
      <c r="E12401" s="1" t="s">
        <v>24589</v>
      </c>
      <c r="F12401" s="1" t="s">
        <v>13</v>
      </c>
    </row>
    <row r="12402" spans="1:6" ht="30" customHeight="1" x14ac:dyDescent="0.25">
      <c r="A12402" s="1" t="s">
        <v>24590</v>
      </c>
      <c r="B12402" s="1" t="str">
        <f>"9781118863275"</f>
        <v>9781118863275</v>
      </c>
      <c r="C12402" s="1" t="s">
        <v>65</v>
      </c>
      <c r="D12402" s="2">
        <v>42184</v>
      </c>
      <c r="E12402" s="1" t="s">
        <v>24591</v>
      </c>
      <c r="F12402" s="1" t="s">
        <v>13</v>
      </c>
    </row>
    <row r="12403" spans="1:6" ht="30" customHeight="1" x14ac:dyDescent="0.25">
      <c r="A12403" s="1" t="s">
        <v>24592</v>
      </c>
      <c r="B12403" s="1" t="str">
        <f>"9781118864135"</f>
        <v>9781118864135</v>
      </c>
      <c r="C12403" s="1" t="s">
        <v>65</v>
      </c>
      <c r="D12403" s="2">
        <v>42339</v>
      </c>
      <c r="E12403" s="1" t="s">
        <v>24593</v>
      </c>
      <c r="F12403" s="1" t="s">
        <v>3875</v>
      </c>
    </row>
    <row r="12404" spans="1:6" ht="30" customHeight="1" x14ac:dyDescent="0.25">
      <c r="A12404" s="1" t="s">
        <v>24594</v>
      </c>
      <c r="B12404" s="1" t="str">
        <f>"9781118897171"</f>
        <v>9781118897171</v>
      </c>
      <c r="C12404" s="1" t="s">
        <v>65</v>
      </c>
      <c r="D12404" s="2">
        <v>42258</v>
      </c>
      <c r="E12404" s="1" t="s">
        <v>24595</v>
      </c>
      <c r="F12404" s="1" t="s">
        <v>13</v>
      </c>
    </row>
    <row r="12405" spans="1:6" ht="30" customHeight="1" x14ac:dyDescent="0.25">
      <c r="A12405" s="1" t="s">
        <v>24596</v>
      </c>
      <c r="B12405" s="1" t="str">
        <f>"9781118913178"</f>
        <v>9781118913178</v>
      </c>
      <c r="C12405" s="1" t="s">
        <v>65</v>
      </c>
      <c r="D12405" s="2">
        <v>42173</v>
      </c>
      <c r="E12405" s="1" t="s">
        <v>24597</v>
      </c>
      <c r="F12405" s="1" t="s">
        <v>13</v>
      </c>
    </row>
    <row r="12406" spans="1:6" ht="30" customHeight="1" x14ac:dyDescent="0.25">
      <c r="A12406" s="1" t="s">
        <v>24598</v>
      </c>
      <c r="B12406" s="1" t="str">
        <f>"9781118913796"</f>
        <v>9781118913796</v>
      </c>
      <c r="C12406" s="1" t="s">
        <v>65</v>
      </c>
      <c r="D12406" s="2">
        <v>42222</v>
      </c>
      <c r="E12406" s="1" t="s">
        <v>24599</v>
      </c>
      <c r="F12406" s="1" t="s">
        <v>13</v>
      </c>
    </row>
    <row r="12407" spans="1:6" ht="30" customHeight="1" x14ac:dyDescent="0.25">
      <c r="A12407" s="1" t="s">
        <v>24600</v>
      </c>
      <c r="B12407" s="1" t="str">
        <f>"9781118917930"</f>
        <v>9781118917930</v>
      </c>
      <c r="C12407" s="1" t="s">
        <v>65</v>
      </c>
      <c r="D12407" s="2">
        <v>42258</v>
      </c>
      <c r="E12407" s="1" t="s">
        <v>24601</v>
      </c>
      <c r="F12407" s="1" t="s">
        <v>13</v>
      </c>
    </row>
    <row r="12408" spans="1:6" ht="30" customHeight="1" x14ac:dyDescent="0.25">
      <c r="A12408" s="1" t="s">
        <v>24602</v>
      </c>
      <c r="B12408" s="1" t="str">
        <f>"9781118925201"</f>
        <v>9781118925201</v>
      </c>
      <c r="C12408" s="1" t="s">
        <v>65</v>
      </c>
      <c r="D12408" s="2">
        <v>42138</v>
      </c>
      <c r="E12408" s="1" t="s">
        <v>24603</v>
      </c>
      <c r="F12408" s="1" t="s">
        <v>13</v>
      </c>
    </row>
    <row r="12409" spans="1:6" ht="30" customHeight="1" x14ac:dyDescent="0.25">
      <c r="A12409" s="1" t="s">
        <v>24604</v>
      </c>
      <c r="B12409" s="1" t="str">
        <f>"9781118947609"</f>
        <v>9781118947609</v>
      </c>
      <c r="C12409" s="1" t="s">
        <v>65</v>
      </c>
      <c r="D12409" s="2">
        <v>42270</v>
      </c>
      <c r="E12409" s="1" t="s">
        <v>24605</v>
      </c>
      <c r="F12409" s="1" t="s">
        <v>13</v>
      </c>
    </row>
    <row r="12410" spans="1:6" ht="30" customHeight="1" x14ac:dyDescent="0.25">
      <c r="A12410" s="1" t="s">
        <v>24606</v>
      </c>
      <c r="B12410" s="1" t="str">
        <f>"9781118961704"</f>
        <v>9781118961704</v>
      </c>
      <c r="C12410" s="1" t="s">
        <v>65</v>
      </c>
      <c r="D12410" s="2">
        <v>42339</v>
      </c>
      <c r="E12410" s="1" t="s">
        <v>24607</v>
      </c>
      <c r="F12410" s="1" t="s">
        <v>13</v>
      </c>
    </row>
    <row r="12411" spans="1:6" ht="30" customHeight="1" x14ac:dyDescent="0.25">
      <c r="A12411" s="1" t="s">
        <v>24608</v>
      </c>
      <c r="B12411" s="1" t="str">
        <f>"9781118972717"</f>
        <v>9781118972717</v>
      </c>
      <c r="C12411" s="1" t="s">
        <v>65</v>
      </c>
      <c r="D12411" s="2">
        <v>42195</v>
      </c>
      <c r="E12411" s="1" t="s">
        <v>24609</v>
      </c>
      <c r="F12411" s="1" t="s">
        <v>13</v>
      </c>
    </row>
    <row r="12412" spans="1:6" ht="30" customHeight="1" x14ac:dyDescent="0.25">
      <c r="A12412" s="1" t="s">
        <v>24610</v>
      </c>
      <c r="B12412" s="1" t="str">
        <f>"9781119013129"</f>
        <v>9781119013129</v>
      </c>
      <c r="C12412" s="1" t="s">
        <v>65</v>
      </c>
      <c r="D12412" s="2">
        <v>42265</v>
      </c>
      <c r="E12412" s="1" t="s">
        <v>24611</v>
      </c>
      <c r="F12412" s="1" t="s">
        <v>13</v>
      </c>
    </row>
    <row r="12413" spans="1:6" ht="30" customHeight="1" x14ac:dyDescent="0.25">
      <c r="A12413" s="1" t="s">
        <v>24612</v>
      </c>
      <c r="B12413" s="1" t="str">
        <f>"9781119041436"</f>
        <v>9781119041436</v>
      </c>
      <c r="C12413" s="1" t="s">
        <v>65</v>
      </c>
      <c r="D12413" s="2">
        <v>42270</v>
      </c>
      <c r="E12413" s="1" t="s">
        <v>24613</v>
      </c>
      <c r="F12413" s="1" t="s">
        <v>17963</v>
      </c>
    </row>
    <row r="12414" spans="1:6" ht="30" customHeight="1" x14ac:dyDescent="0.25">
      <c r="A12414" s="1" t="s">
        <v>3756</v>
      </c>
      <c r="B12414" s="1" t="str">
        <f>"9781119067337"</f>
        <v>9781119067337</v>
      </c>
      <c r="C12414" s="1" t="s">
        <v>65</v>
      </c>
      <c r="D12414" s="2">
        <v>42286</v>
      </c>
      <c r="E12414" s="1" t="s">
        <v>24614</v>
      </c>
      <c r="F12414" s="1" t="s">
        <v>13</v>
      </c>
    </row>
    <row r="12415" spans="1:6" ht="30" customHeight="1" x14ac:dyDescent="0.25">
      <c r="A12415" s="1" t="s">
        <v>24615</v>
      </c>
      <c r="B12415" s="1" t="str">
        <f>"9781119074885"</f>
        <v>9781119074885</v>
      </c>
      <c r="C12415" s="1" t="s">
        <v>65</v>
      </c>
      <c r="D12415" s="2">
        <v>42069</v>
      </c>
      <c r="E12415" s="1" t="s">
        <v>16213</v>
      </c>
      <c r="F12415" s="1" t="s">
        <v>13</v>
      </c>
    </row>
    <row r="12416" spans="1:6" ht="30" customHeight="1" x14ac:dyDescent="0.25">
      <c r="A12416" s="1" t="s">
        <v>24616</v>
      </c>
      <c r="B12416" s="1" t="str">
        <f>"9781119075073"</f>
        <v>9781119075073</v>
      </c>
      <c r="C12416" s="1" t="s">
        <v>65</v>
      </c>
      <c r="D12416" s="2">
        <v>42257</v>
      </c>
      <c r="E12416" s="1" t="s">
        <v>24617</v>
      </c>
      <c r="F12416" s="1" t="s">
        <v>13</v>
      </c>
    </row>
    <row r="12417" spans="1:6" ht="30" customHeight="1" x14ac:dyDescent="0.25">
      <c r="A12417" s="1" t="s">
        <v>24618</v>
      </c>
      <c r="B12417" s="1" t="str">
        <f>"9781119075097"</f>
        <v>9781119075097</v>
      </c>
      <c r="C12417" s="1" t="s">
        <v>65</v>
      </c>
      <c r="D12417" s="2">
        <v>42237</v>
      </c>
      <c r="E12417" s="1" t="s">
        <v>24619</v>
      </c>
      <c r="F12417" s="1" t="s">
        <v>158</v>
      </c>
    </row>
    <row r="12418" spans="1:6" ht="30" customHeight="1" x14ac:dyDescent="0.25">
      <c r="A12418" s="1" t="s">
        <v>24620</v>
      </c>
      <c r="B12418" s="1" t="str">
        <f>"9781119087328"</f>
        <v>9781119087328</v>
      </c>
      <c r="C12418" s="1" t="s">
        <v>65</v>
      </c>
      <c r="D12418" s="2">
        <v>42349</v>
      </c>
      <c r="E12418" s="1" t="s">
        <v>10659</v>
      </c>
      <c r="F12418" s="1" t="s">
        <v>13</v>
      </c>
    </row>
    <row r="12419" spans="1:6" ht="30" customHeight="1" x14ac:dyDescent="0.25">
      <c r="A12419" s="1" t="s">
        <v>24621</v>
      </c>
      <c r="B12419" s="1" t="str">
        <f>"9781118306567"</f>
        <v>9781118306567</v>
      </c>
      <c r="C12419" s="1" t="s">
        <v>65</v>
      </c>
      <c r="D12419" s="2">
        <v>42296</v>
      </c>
      <c r="E12419" s="1" t="s">
        <v>24622</v>
      </c>
      <c r="F12419" s="1" t="s">
        <v>13</v>
      </c>
    </row>
    <row r="12420" spans="1:6" ht="30" customHeight="1" x14ac:dyDescent="0.25">
      <c r="A12420" s="1" t="s">
        <v>24623</v>
      </c>
      <c r="B12420" s="1" t="str">
        <f>"9781118509883"</f>
        <v>9781118509883</v>
      </c>
      <c r="C12420" s="1" t="s">
        <v>65</v>
      </c>
      <c r="D12420" s="2">
        <v>42296</v>
      </c>
      <c r="E12420" s="1" t="s">
        <v>24624</v>
      </c>
      <c r="F12420" s="1" t="s">
        <v>13</v>
      </c>
    </row>
    <row r="12421" spans="1:6" ht="30" customHeight="1" x14ac:dyDescent="0.25">
      <c r="A12421" s="1" t="s">
        <v>24625</v>
      </c>
      <c r="B12421" s="1" t="str">
        <f>"9781118742150"</f>
        <v>9781118742150</v>
      </c>
      <c r="C12421" s="1" t="s">
        <v>65</v>
      </c>
      <c r="D12421" s="2">
        <v>42296</v>
      </c>
      <c r="E12421" s="1" t="s">
        <v>24626</v>
      </c>
      <c r="F12421" s="1" t="s">
        <v>13</v>
      </c>
    </row>
    <row r="12422" spans="1:6" ht="30" customHeight="1" x14ac:dyDescent="0.25">
      <c r="A12422" s="1" t="s">
        <v>24627</v>
      </c>
      <c r="B12422" s="1" t="str">
        <f>"9781118859735"</f>
        <v>9781118859735</v>
      </c>
      <c r="C12422" s="1" t="s">
        <v>11</v>
      </c>
      <c r="D12422" s="2">
        <v>42296</v>
      </c>
      <c r="E12422" s="1" t="s">
        <v>24628</v>
      </c>
      <c r="F12422" s="1" t="s">
        <v>13</v>
      </c>
    </row>
    <row r="12423" spans="1:6" ht="30" customHeight="1" x14ac:dyDescent="0.25">
      <c r="A12423" s="1" t="s">
        <v>24629</v>
      </c>
      <c r="B12423" s="1" t="str">
        <f>"9781118941515"</f>
        <v>9781118941515</v>
      </c>
      <c r="C12423" s="1" t="s">
        <v>65</v>
      </c>
      <c r="D12423" s="2">
        <v>42296</v>
      </c>
      <c r="E12423" s="1" t="s">
        <v>24630</v>
      </c>
      <c r="F12423" s="1" t="s">
        <v>205</v>
      </c>
    </row>
    <row r="12424" spans="1:6" ht="30" customHeight="1" x14ac:dyDescent="0.25">
      <c r="A12424" s="1" t="s">
        <v>24631</v>
      </c>
      <c r="B12424" s="1" t="str">
        <f>"9781119134565"</f>
        <v>9781119134565</v>
      </c>
      <c r="C12424" s="1" t="s">
        <v>65</v>
      </c>
      <c r="D12424" s="2">
        <v>42233</v>
      </c>
      <c r="E12424" s="1" t="s">
        <v>24632</v>
      </c>
      <c r="F12424" s="1" t="s">
        <v>13</v>
      </c>
    </row>
    <row r="12425" spans="1:6" ht="30" customHeight="1" x14ac:dyDescent="0.25">
      <c r="A12425" s="1" t="s">
        <v>24633</v>
      </c>
      <c r="B12425" s="1" t="str">
        <f>"9781119178262"</f>
        <v>9781119178262</v>
      </c>
      <c r="C12425" s="1" t="s">
        <v>65</v>
      </c>
      <c r="D12425" s="2">
        <v>42221</v>
      </c>
      <c r="E12425" s="1" t="s">
        <v>24634</v>
      </c>
      <c r="F12425" s="1" t="s">
        <v>13</v>
      </c>
    </row>
    <row r="12426" spans="1:6" ht="30" customHeight="1" x14ac:dyDescent="0.25">
      <c r="A12426" s="1" t="s">
        <v>24635</v>
      </c>
      <c r="B12426" s="1" t="str">
        <f>"9781119179771"</f>
        <v>9781119179771</v>
      </c>
      <c r="C12426" s="1" t="s">
        <v>65</v>
      </c>
      <c r="D12426" s="2">
        <v>42296</v>
      </c>
      <c r="E12426" s="1" t="s">
        <v>24636</v>
      </c>
      <c r="F12426" s="1" t="s">
        <v>13</v>
      </c>
    </row>
    <row r="12427" spans="1:6" ht="30" customHeight="1" x14ac:dyDescent="0.25">
      <c r="A12427" s="1" t="s">
        <v>24637</v>
      </c>
      <c r="B12427" s="1" t="str">
        <f>"9783527676033"</f>
        <v>9783527676033</v>
      </c>
      <c r="C12427" s="1" t="s">
        <v>65</v>
      </c>
      <c r="D12427" s="2">
        <v>42194</v>
      </c>
      <c r="E12427" s="1" t="s">
        <v>24638</v>
      </c>
      <c r="F12427" s="1" t="s">
        <v>137</v>
      </c>
    </row>
    <row r="12428" spans="1:6" ht="30" customHeight="1" x14ac:dyDescent="0.25">
      <c r="A12428" s="1" t="s">
        <v>24639</v>
      </c>
      <c r="B12428" s="1" t="str">
        <f>"9781119017103"</f>
        <v>9781119017103</v>
      </c>
      <c r="C12428" s="1" t="s">
        <v>65</v>
      </c>
      <c r="D12428" s="2">
        <v>42296</v>
      </c>
      <c r="E12428" s="1" t="s">
        <v>24640</v>
      </c>
      <c r="F12428" s="1" t="s">
        <v>13</v>
      </c>
    </row>
    <row r="12429" spans="1:6" ht="30" customHeight="1" x14ac:dyDescent="0.25">
      <c r="A12429" s="1" t="s">
        <v>24641</v>
      </c>
      <c r="B12429" s="1" t="str">
        <f>"9781119041542"</f>
        <v>9781119041542</v>
      </c>
      <c r="C12429" s="1" t="s">
        <v>65</v>
      </c>
      <c r="D12429" s="2">
        <v>42299</v>
      </c>
      <c r="E12429" s="1" t="s">
        <v>24613</v>
      </c>
      <c r="F12429" s="1" t="s">
        <v>268</v>
      </c>
    </row>
    <row r="12430" spans="1:6" ht="30" customHeight="1" x14ac:dyDescent="0.25">
      <c r="A12430" s="1" t="s">
        <v>24642</v>
      </c>
      <c r="B12430" s="1" t="str">
        <f>"9780520963245"</f>
        <v>9780520963245</v>
      </c>
      <c r="C12430" s="1" t="s">
        <v>818</v>
      </c>
      <c r="D12430" s="2">
        <v>42353</v>
      </c>
      <c r="E12430" s="1" t="s">
        <v>24643</v>
      </c>
      <c r="F12430" s="1" t="s">
        <v>13</v>
      </c>
    </row>
    <row r="12431" spans="1:6" ht="30" customHeight="1" x14ac:dyDescent="0.25">
      <c r="A12431" s="1" t="s">
        <v>24644</v>
      </c>
      <c r="B12431" s="1" t="str">
        <f>"9781559570190"</f>
        <v>9781559570190</v>
      </c>
      <c r="C12431" s="1" t="s">
        <v>17317</v>
      </c>
      <c r="D12431" s="2">
        <v>42292</v>
      </c>
      <c r="E12431" s="1" t="s">
        <v>19762</v>
      </c>
      <c r="F12431" s="1" t="s">
        <v>13</v>
      </c>
    </row>
    <row r="12432" spans="1:6" ht="30" customHeight="1" x14ac:dyDescent="0.25">
      <c r="A12432" s="1" t="s">
        <v>24645</v>
      </c>
      <c r="B12432" s="1" t="str">
        <f>"9780198033660"</f>
        <v>9780198033660</v>
      </c>
      <c r="C12432" s="1" t="s">
        <v>1120</v>
      </c>
      <c r="D12432" s="2">
        <v>37361</v>
      </c>
      <c r="E12432" s="1" t="s">
        <v>24646</v>
      </c>
      <c r="F12432" s="1" t="s">
        <v>13</v>
      </c>
    </row>
    <row r="12433" spans="1:6" ht="30" customHeight="1" x14ac:dyDescent="0.25">
      <c r="A12433" s="1" t="s">
        <v>24647</v>
      </c>
      <c r="B12433" s="1" t="str">
        <f>"9781442234499"</f>
        <v>9781442234499</v>
      </c>
      <c r="C12433" s="1" t="s">
        <v>8723</v>
      </c>
      <c r="D12433" s="2">
        <v>41906</v>
      </c>
      <c r="E12433" s="1" t="s">
        <v>24648</v>
      </c>
      <c r="F12433" s="1" t="s">
        <v>13</v>
      </c>
    </row>
    <row r="12434" spans="1:6" ht="30" customHeight="1" x14ac:dyDescent="0.25">
      <c r="A12434" s="1" t="s">
        <v>24649</v>
      </c>
      <c r="B12434" s="1" t="str">
        <f>"9781782414599"</f>
        <v>9781782414599</v>
      </c>
      <c r="C12434" s="1" t="s">
        <v>68</v>
      </c>
      <c r="D12434" s="2">
        <v>42331</v>
      </c>
      <c r="E12434" s="1" t="s">
        <v>16472</v>
      </c>
      <c r="F12434" s="1" t="s">
        <v>13</v>
      </c>
    </row>
    <row r="12435" spans="1:6" ht="30" customHeight="1" x14ac:dyDescent="0.25">
      <c r="A12435" s="1" t="s">
        <v>24650</v>
      </c>
      <c r="B12435" s="1" t="str">
        <f>"9780262330800"</f>
        <v>9780262330800</v>
      </c>
      <c r="C12435" s="1" t="s">
        <v>20719</v>
      </c>
      <c r="D12435" s="2">
        <v>42223</v>
      </c>
      <c r="E12435" s="1" t="s">
        <v>24651</v>
      </c>
      <c r="F12435" s="1" t="s">
        <v>13</v>
      </c>
    </row>
    <row r="12436" spans="1:6" ht="30" customHeight="1" x14ac:dyDescent="0.25">
      <c r="A12436" s="1" t="s">
        <v>24652</v>
      </c>
      <c r="B12436" s="1" t="str">
        <f>"9780262330213"</f>
        <v>9780262330213</v>
      </c>
      <c r="C12436" s="1" t="s">
        <v>20719</v>
      </c>
      <c r="D12436" s="2">
        <v>42258</v>
      </c>
      <c r="E12436" s="1" t="s">
        <v>24653</v>
      </c>
      <c r="F12436" s="1" t="s">
        <v>13</v>
      </c>
    </row>
    <row r="12437" spans="1:6" ht="30" customHeight="1" x14ac:dyDescent="0.25">
      <c r="A12437" s="1" t="s">
        <v>24654</v>
      </c>
      <c r="B12437" s="1" t="str">
        <f>"9781118734490"</f>
        <v>9781118734490</v>
      </c>
      <c r="C12437" s="1" t="s">
        <v>65</v>
      </c>
      <c r="D12437" s="2">
        <v>42223</v>
      </c>
      <c r="E12437" s="1" t="s">
        <v>24655</v>
      </c>
      <c r="F12437" s="1" t="s">
        <v>137</v>
      </c>
    </row>
    <row r="12438" spans="1:6" ht="30" customHeight="1" x14ac:dyDescent="0.25">
      <c r="A12438" s="1" t="s">
        <v>24656</v>
      </c>
      <c r="B12438" s="1" t="str">
        <f>"9781118936993"</f>
        <v>9781118936993</v>
      </c>
      <c r="C12438" s="1" t="s">
        <v>65</v>
      </c>
      <c r="D12438" s="2">
        <v>42262</v>
      </c>
      <c r="E12438" s="1" t="s">
        <v>24657</v>
      </c>
      <c r="F12438" s="1" t="s">
        <v>13</v>
      </c>
    </row>
    <row r="12439" spans="1:6" ht="30" customHeight="1" x14ac:dyDescent="0.25">
      <c r="A12439" s="1" t="s">
        <v>24658</v>
      </c>
      <c r="B12439" s="1" t="str">
        <f>"9781119066439"</f>
        <v>9781119066439</v>
      </c>
      <c r="C12439" s="1" t="s">
        <v>65</v>
      </c>
      <c r="D12439" s="2">
        <v>42321</v>
      </c>
      <c r="E12439" s="1" t="s">
        <v>24659</v>
      </c>
      <c r="F12439" s="1" t="s">
        <v>13</v>
      </c>
    </row>
    <row r="12440" spans="1:6" ht="30" customHeight="1" x14ac:dyDescent="0.25">
      <c r="A12440" s="1" t="s">
        <v>24660</v>
      </c>
      <c r="B12440" s="1" t="str">
        <f>"9781119129691"</f>
        <v>9781119129691</v>
      </c>
      <c r="C12440" s="1" t="s">
        <v>65</v>
      </c>
      <c r="D12440" s="2">
        <v>42303</v>
      </c>
      <c r="E12440" s="1" t="s">
        <v>24661</v>
      </c>
      <c r="F12440" s="1" t="s">
        <v>13</v>
      </c>
    </row>
    <row r="12441" spans="1:6" ht="30" customHeight="1" x14ac:dyDescent="0.25">
      <c r="A12441" s="1" t="s">
        <v>24662</v>
      </c>
      <c r="B12441" s="1" t="str">
        <f>"9780826127686"</f>
        <v>9780826127686</v>
      </c>
      <c r="C12441" s="1" t="s">
        <v>2339</v>
      </c>
      <c r="D12441" s="2">
        <v>42217</v>
      </c>
      <c r="E12441" s="1" t="s">
        <v>24663</v>
      </c>
      <c r="F12441" s="1" t="s">
        <v>30</v>
      </c>
    </row>
    <row r="12442" spans="1:6" ht="30" customHeight="1" x14ac:dyDescent="0.25">
      <c r="A12442" s="1" t="s">
        <v>24664</v>
      </c>
      <c r="B12442" s="1" t="str">
        <f>"9780826129277"</f>
        <v>9780826129277</v>
      </c>
      <c r="C12442" s="1" t="s">
        <v>2339</v>
      </c>
      <c r="D12442" s="2">
        <v>42278</v>
      </c>
      <c r="E12442" s="1" t="s">
        <v>24665</v>
      </c>
      <c r="F12442" s="1" t="s">
        <v>13</v>
      </c>
    </row>
    <row r="12443" spans="1:6" ht="30" customHeight="1" x14ac:dyDescent="0.25">
      <c r="A12443" s="1" t="s">
        <v>24666</v>
      </c>
      <c r="B12443" s="1" t="str">
        <f>"9780826131652"</f>
        <v>9780826131652</v>
      </c>
      <c r="C12443" s="1" t="s">
        <v>2339</v>
      </c>
      <c r="D12443" s="2">
        <v>42186</v>
      </c>
      <c r="E12443" s="1" t="s">
        <v>14354</v>
      </c>
      <c r="F12443" s="1" t="s">
        <v>13</v>
      </c>
    </row>
    <row r="12444" spans="1:6" ht="30" customHeight="1" x14ac:dyDescent="0.25">
      <c r="A12444" s="1" t="s">
        <v>24667</v>
      </c>
      <c r="B12444" s="1" t="str">
        <f>"9780826131683"</f>
        <v>9780826131683</v>
      </c>
      <c r="C12444" s="1" t="s">
        <v>2339</v>
      </c>
      <c r="D12444" s="2">
        <v>42186</v>
      </c>
      <c r="E12444" s="1" t="s">
        <v>14354</v>
      </c>
      <c r="F12444" s="1" t="s">
        <v>13</v>
      </c>
    </row>
    <row r="12445" spans="1:6" ht="30" customHeight="1" x14ac:dyDescent="0.25">
      <c r="A12445" s="1" t="s">
        <v>24668</v>
      </c>
      <c r="B12445" s="1" t="str">
        <f>"9781617052118"</f>
        <v>9781617052118</v>
      </c>
      <c r="C12445" s="1" t="s">
        <v>2339</v>
      </c>
      <c r="D12445" s="2">
        <v>42248</v>
      </c>
      <c r="E12445" s="1" t="s">
        <v>24669</v>
      </c>
      <c r="F12445" s="1" t="s">
        <v>13</v>
      </c>
    </row>
    <row r="12446" spans="1:6" ht="30" customHeight="1" x14ac:dyDescent="0.25">
      <c r="A12446" s="1" t="s">
        <v>24670</v>
      </c>
      <c r="B12446" s="1" t="str">
        <f>"9781617052408"</f>
        <v>9781617052408</v>
      </c>
      <c r="C12446" s="1" t="s">
        <v>2339</v>
      </c>
      <c r="D12446" s="2">
        <v>42217</v>
      </c>
      <c r="E12446" s="1" t="s">
        <v>24671</v>
      </c>
      <c r="F12446" s="1" t="s">
        <v>13</v>
      </c>
    </row>
    <row r="12447" spans="1:6" ht="30" customHeight="1" x14ac:dyDescent="0.25">
      <c r="A12447" s="1" t="s">
        <v>24672</v>
      </c>
      <c r="B12447" s="1" t="str">
        <f>"9780826110268"</f>
        <v>9780826110268</v>
      </c>
      <c r="C12447" s="1" t="s">
        <v>2339</v>
      </c>
      <c r="D12447" s="2">
        <v>42309</v>
      </c>
      <c r="E12447" s="1" t="s">
        <v>24673</v>
      </c>
      <c r="F12447" s="1" t="s">
        <v>33</v>
      </c>
    </row>
    <row r="12448" spans="1:6" ht="30" customHeight="1" x14ac:dyDescent="0.25">
      <c r="A12448" s="1" t="s">
        <v>24674</v>
      </c>
      <c r="B12448" s="1" t="str">
        <f>"9780826119322"</f>
        <v>9780826119322</v>
      </c>
      <c r="C12448" s="1" t="s">
        <v>2339</v>
      </c>
      <c r="D12448" s="2">
        <v>42186</v>
      </c>
      <c r="E12448" s="1" t="s">
        <v>24675</v>
      </c>
      <c r="F12448" s="1" t="s">
        <v>13</v>
      </c>
    </row>
    <row r="12449" spans="1:6" ht="30" customHeight="1" x14ac:dyDescent="0.25">
      <c r="A12449" s="1" t="s">
        <v>24676</v>
      </c>
      <c r="B12449" s="1" t="str">
        <f>"9780826122834"</f>
        <v>9780826122834</v>
      </c>
      <c r="C12449" s="1" t="s">
        <v>2339</v>
      </c>
      <c r="D12449" s="2">
        <v>40238</v>
      </c>
      <c r="E12449" s="1" t="s">
        <v>24677</v>
      </c>
      <c r="F12449" s="1" t="s">
        <v>13</v>
      </c>
    </row>
    <row r="12450" spans="1:6" ht="30" customHeight="1" x14ac:dyDescent="0.25">
      <c r="A12450" s="1" t="s">
        <v>24678</v>
      </c>
      <c r="B12450" s="1" t="str">
        <f>"9780826123183"</f>
        <v>9780826123183</v>
      </c>
      <c r="C12450" s="1" t="s">
        <v>2339</v>
      </c>
      <c r="D12450" s="2">
        <v>42217</v>
      </c>
      <c r="E12450" s="1" t="s">
        <v>24679</v>
      </c>
      <c r="F12450" s="1" t="s">
        <v>13</v>
      </c>
    </row>
    <row r="12451" spans="1:6" ht="30" customHeight="1" x14ac:dyDescent="0.25">
      <c r="A12451" s="1" t="s">
        <v>24680</v>
      </c>
      <c r="B12451" s="1" t="str">
        <f>"9780826123268"</f>
        <v>9780826123268</v>
      </c>
      <c r="C12451" s="1" t="s">
        <v>2339</v>
      </c>
      <c r="D12451" s="2">
        <v>39264</v>
      </c>
      <c r="E12451" s="1" t="s">
        <v>24681</v>
      </c>
      <c r="F12451" s="1" t="s">
        <v>126</v>
      </c>
    </row>
    <row r="12452" spans="1:6" ht="30" customHeight="1" x14ac:dyDescent="0.25">
      <c r="A12452" s="1" t="s">
        <v>24682</v>
      </c>
      <c r="B12452" s="1" t="str">
        <f>"9780826125996"</f>
        <v>9780826125996</v>
      </c>
      <c r="C12452" s="1" t="s">
        <v>2339</v>
      </c>
      <c r="D12452" s="2">
        <v>42305</v>
      </c>
      <c r="E12452" s="1" t="s">
        <v>24683</v>
      </c>
      <c r="F12452" s="1" t="s">
        <v>126</v>
      </c>
    </row>
    <row r="12453" spans="1:6" ht="30" customHeight="1" x14ac:dyDescent="0.25">
      <c r="A12453" s="1" t="s">
        <v>24684</v>
      </c>
      <c r="B12453" s="1" t="str">
        <f>"9780826127860"</f>
        <v>9780826127860</v>
      </c>
      <c r="C12453" s="1" t="s">
        <v>2339</v>
      </c>
      <c r="D12453" s="2">
        <v>42300</v>
      </c>
      <c r="E12453" s="1" t="s">
        <v>24685</v>
      </c>
      <c r="F12453" s="1" t="s">
        <v>13</v>
      </c>
    </row>
    <row r="12454" spans="1:6" ht="30" customHeight="1" x14ac:dyDescent="0.25">
      <c r="A12454" s="1" t="s">
        <v>24686</v>
      </c>
      <c r="B12454" s="1" t="str">
        <f>"9780826127990"</f>
        <v>9780826127990</v>
      </c>
      <c r="C12454" s="1" t="s">
        <v>2339</v>
      </c>
      <c r="D12454" s="2">
        <v>42248</v>
      </c>
      <c r="E12454" s="1" t="s">
        <v>24687</v>
      </c>
      <c r="F12454" s="1" t="s">
        <v>13</v>
      </c>
    </row>
    <row r="12455" spans="1:6" ht="30" customHeight="1" x14ac:dyDescent="0.25">
      <c r="A12455" s="1" t="s">
        <v>24688</v>
      </c>
      <c r="B12455" s="1" t="str">
        <f>"9780826128188"</f>
        <v>9780826128188</v>
      </c>
      <c r="C12455" s="1" t="s">
        <v>2339</v>
      </c>
      <c r="D12455" s="2">
        <v>42186</v>
      </c>
      <c r="E12455" s="1" t="s">
        <v>24689</v>
      </c>
      <c r="F12455" s="1" t="s">
        <v>126</v>
      </c>
    </row>
    <row r="12456" spans="1:6" ht="30" customHeight="1" x14ac:dyDescent="0.25">
      <c r="A12456" s="1" t="s">
        <v>24690</v>
      </c>
      <c r="B12456" s="1" t="str">
        <f>"9780826129130"</f>
        <v>9780826129130</v>
      </c>
      <c r="C12456" s="1" t="s">
        <v>2339</v>
      </c>
      <c r="D12456" s="2">
        <v>42248</v>
      </c>
      <c r="E12456" s="1" t="s">
        <v>24691</v>
      </c>
      <c r="F12456" s="1" t="s">
        <v>13</v>
      </c>
    </row>
    <row r="12457" spans="1:6" ht="30" customHeight="1" x14ac:dyDescent="0.25">
      <c r="A12457" s="1" t="s">
        <v>24692</v>
      </c>
      <c r="B12457" s="1" t="str">
        <f>"9780826130495"</f>
        <v>9780826130495</v>
      </c>
      <c r="C12457" s="1" t="s">
        <v>2339</v>
      </c>
      <c r="D12457" s="2">
        <v>42156</v>
      </c>
      <c r="E12457" s="1" t="s">
        <v>24693</v>
      </c>
      <c r="F12457" s="1" t="s">
        <v>126</v>
      </c>
    </row>
    <row r="12458" spans="1:6" ht="30" customHeight="1" x14ac:dyDescent="0.25">
      <c r="A12458" s="1" t="s">
        <v>24694</v>
      </c>
      <c r="B12458" s="1" t="str">
        <f>"9780826132222"</f>
        <v>9780826132222</v>
      </c>
      <c r="C12458" s="1" t="s">
        <v>2339</v>
      </c>
      <c r="D12458" s="2">
        <v>40175</v>
      </c>
      <c r="E12458" s="1" t="s">
        <v>14354</v>
      </c>
      <c r="F12458" s="1" t="s">
        <v>13</v>
      </c>
    </row>
    <row r="12459" spans="1:6" ht="30" customHeight="1" x14ac:dyDescent="0.25">
      <c r="A12459" s="1" t="s">
        <v>24695</v>
      </c>
      <c r="B12459" s="1" t="str">
        <f>"9780826132239"</f>
        <v>9780826132239</v>
      </c>
      <c r="C12459" s="1" t="s">
        <v>2339</v>
      </c>
      <c r="D12459" s="2">
        <v>42277</v>
      </c>
      <c r="E12459" s="1" t="s">
        <v>14354</v>
      </c>
      <c r="F12459" s="1" t="s">
        <v>13</v>
      </c>
    </row>
    <row r="12460" spans="1:6" ht="30" customHeight="1" x14ac:dyDescent="0.25">
      <c r="A12460" s="1" t="s">
        <v>24696</v>
      </c>
      <c r="B12460" s="1" t="str">
        <f>"9780826194572"</f>
        <v>9780826194572</v>
      </c>
      <c r="C12460" s="1" t="s">
        <v>2339</v>
      </c>
      <c r="D12460" s="2">
        <v>42186</v>
      </c>
      <c r="E12460" s="1" t="s">
        <v>24697</v>
      </c>
      <c r="F12460" s="1" t="s">
        <v>126</v>
      </c>
    </row>
    <row r="12461" spans="1:6" ht="30" customHeight="1" x14ac:dyDescent="0.25">
      <c r="A12461" s="1" t="s">
        <v>24698</v>
      </c>
      <c r="B12461" s="1" t="str">
        <f>"9780826197955"</f>
        <v>9780826197955</v>
      </c>
      <c r="C12461" s="1" t="s">
        <v>2339</v>
      </c>
      <c r="D12461" s="2">
        <v>41773</v>
      </c>
      <c r="E12461" s="1" t="s">
        <v>24699</v>
      </c>
      <c r="F12461" s="1" t="s">
        <v>95</v>
      </c>
    </row>
    <row r="12462" spans="1:6" ht="30" customHeight="1" x14ac:dyDescent="0.25">
      <c r="A12462" s="1" t="s">
        <v>24700</v>
      </c>
      <c r="B12462" s="1" t="str">
        <f>"9781617051876"</f>
        <v>9781617051876</v>
      </c>
      <c r="C12462" s="1" t="s">
        <v>2339</v>
      </c>
      <c r="D12462" s="2">
        <v>42248</v>
      </c>
      <c r="E12462" s="1" t="s">
        <v>24701</v>
      </c>
      <c r="F12462" s="1" t="s">
        <v>13</v>
      </c>
    </row>
    <row r="12463" spans="1:6" ht="30" customHeight="1" x14ac:dyDescent="0.25">
      <c r="A12463" s="1" t="s">
        <v>24702</v>
      </c>
      <c r="B12463" s="1" t="str">
        <f>"9781617052637"</f>
        <v>9781617052637</v>
      </c>
      <c r="C12463" s="1" t="s">
        <v>2339</v>
      </c>
      <c r="D12463" s="2">
        <v>42336</v>
      </c>
      <c r="E12463" s="1" t="s">
        <v>24703</v>
      </c>
      <c r="F12463" s="1" t="s">
        <v>13</v>
      </c>
    </row>
    <row r="12464" spans="1:6" ht="30" customHeight="1" x14ac:dyDescent="0.25">
      <c r="A12464" s="1" t="s">
        <v>24704</v>
      </c>
      <c r="B12464" s="1" t="str">
        <f>"9780826127891"</f>
        <v>9780826127891</v>
      </c>
      <c r="C12464" s="1" t="s">
        <v>2339</v>
      </c>
      <c r="D12464" s="2">
        <v>42353</v>
      </c>
      <c r="E12464" s="1" t="s">
        <v>24705</v>
      </c>
      <c r="F12464" s="1" t="s">
        <v>973</v>
      </c>
    </row>
    <row r="12465" spans="1:6" ht="30" customHeight="1" x14ac:dyDescent="0.25">
      <c r="A12465" s="1" t="s">
        <v>24706</v>
      </c>
      <c r="B12465" s="1" t="str">
        <f>"9780826128157"</f>
        <v>9780826128157</v>
      </c>
      <c r="C12465" s="1" t="s">
        <v>2339</v>
      </c>
      <c r="D12465" s="2">
        <v>42336</v>
      </c>
      <c r="E12465" s="1" t="s">
        <v>24707</v>
      </c>
      <c r="F12465" s="1" t="s">
        <v>301</v>
      </c>
    </row>
    <row r="12466" spans="1:6" ht="30" customHeight="1" x14ac:dyDescent="0.25">
      <c r="A12466" s="1" t="s">
        <v>24708</v>
      </c>
      <c r="B12466" s="1" t="str">
        <f>"9780826125385"</f>
        <v>9780826125385</v>
      </c>
      <c r="C12466" s="1" t="s">
        <v>2339</v>
      </c>
      <c r="D12466" s="2">
        <v>42336</v>
      </c>
      <c r="E12466" s="1" t="s">
        <v>24709</v>
      </c>
      <c r="F12466" s="1" t="s">
        <v>13</v>
      </c>
    </row>
    <row r="12467" spans="1:6" ht="30" customHeight="1" x14ac:dyDescent="0.25">
      <c r="A12467" s="1" t="s">
        <v>24710</v>
      </c>
      <c r="B12467" s="1" t="str">
        <f>"9781118759011"</f>
        <v>9781118759011</v>
      </c>
      <c r="C12467" s="1" t="s">
        <v>65</v>
      </c>
      <c r="D12467" s="2">
        <v>42331</v>
      </c>
      <c r="E12467" s="1" t="s">
        <v>24711</v>
      </c>
      <c r="F12467" s="1" t="s">
        <v>30</v>
      </c>
    </row>
    <row r="12468" spans="1:6" ht="30" customHeight="1" x14ac:dyDescent="0.25">
      <c r="A12468" s="1" t="s">
        <v>24712</v>
      </c>
      <c r="B12468" s="1" t="str">
        <f>"9781118902776"</f>
        <v>9781118902776</v>
      </c>
      <c r="C12468" s="1" t="s">
        <v>65</v>
      </c>
      <c r="D12468" s="2">
        <v>42331</v>
      </c>
      <c r="E12468" s="1" t="s">
        <v>7413</v>
      </c>
      <c r="F12468" s="1" t="s">
        <v>126</v>
      </c>
    </row>
    <row r="12469" spans="1:6" ht="30" customHeight="1" x14ac:dyDescent="0.25">
      <c r="A12469" s="1" t="s">
        <v>24713</v>
      </c>
      <c r="B12469" s="1" t="str">
        <f>"9781118759196"</f>
        <v>9781118759196</v>
      </c>
      <c r="C12469" s="1" t="s">
        <v>65</v>
      </c>
      <c r="D12469" s="2">
        <v>42331</v>
      </c>
      <c r="E12469" s="1" t="s">
        <v>24714</v>
      </c>
      <c r="F12469" s="1" t="s">
        <v>13</v>
      </c>
    </row>
    <row r="12470" spans="1:6" ht="30" customHeight="1" x14ac:dyDescent="0.25">
      <c r="A12470" s="1" t="s">
        <v>24715</v>
      </c>
      <c r="B12470" s="1" t="str">
        <f>"9780826194671"</f>
        <v>9780826194671</v>
      </c>
      <c r="C12470" s="1" t="s">
        <v>2339</v>
      </c>
      <c r="D12470" s="2">
        <v>42336</v>
      </c>
      <c r="E12470" s="1" t="s">
        <v>24716</v>
      </c>
      <c r="F12470" s="1" t="s">
        <v>13</v>
      </c>
    </row>
    <row r="12471" spans="1:6" ht="30" customHeight="1" x14ac:dyDescent="0.25">
      <c r="A12471" s="1" t="s">
        <v>24717</v>
      </c>
      <c r="B12471" s="1" t="str">
        <f>"9781118658574"</f>
        <v>9781118658574</v>
      </c>
      <c r="C12471" s="1" t="s">
        <v>65</v>
      </c>
      <c r="D12471" s="2">
        <v>42331</v>
      </c>
      <c r="E12471" s="1" t="s">
        <v>24718</v>
      </c>
      <c r="F12471" s="1" t="s">
        <v>13</v>
      </c>
    </row>
    <row r="12472" spans="1:6" ht="30" customHeight="1" x14ac:dyDescent="0.25">
      <c r="A12472" s="1" t="s">
        <v>24719</v>
      </c>
      <c r="B12472" s="1" t="str">
        <f>"9781118962060"</f>
        <v>9781118962060</v>
      </c>
      <c r="C12472" s="1" t="s">
        <v>65</v>
      </c>
      <c r="D12472" s="2">
        <v>42332</v>
      </c>
      <c r="E12472" s="1" t="s">
        <v>24720</v>
      </c>
      <c r="F12472" s="1" t="s">
        <v>13</v>
      </c>
    </row>
    <row r="12473" spans="1:6" ht="30" customHeight="1" x14ac:dyDescent="0.25">
      <c r="A12473" s="1" t="s">
        <v>24721</v>
      </c>
      <c r="B12473" s="1" t="str">
        <f>"9783110406344"</f>
        <v>9783110406344</v>
      </c>
      <c r="C12473" s="1" t="s">
        <v>1848</v>
      </c>
      <c r="D12473" s="2">
        <v>42293</v>
      </c>
      <c r="E12473" s="1" t="s">
        <v>24722</v>
      </c>
      <c r="F12473" s="1" t="s">
        <v>13</v>
      </c>
    </row>
    <row r="12474" spans="1:6" ht="30" customHeight="1" x14ac:dyDescent="0.25">
      <c r="A12474" s="1" t="s">
        <v>24723</v>
      </c>
      <c r="B12474" s="1" t="str">
        <f>"9783110445749"</f>
        <v>9783110445749</v>
      </c>
      <c r="C12474" s="1" t="s">
        <v>1848</v>
      </c>
      <c r="D12474" s="2">
        <v>42335</v>
      </c>
      <c r="E12474" s="1" t="s">
        <v>24724</v>
      </c>
      <c r="F12474" s="1" t="s">
        <v>13</v>
      </c>
    </row>
    <row r="12475" spans="1:6" ht="30" customHeight="1" x14ac:dyDescent="0.25">
      <c r="A12475" s="1" t="s">
        <v>24725</v>
      </c>
      <c r="B12475" s="1" t="str">
        <f>"9781118629055"</f>
        <v>9781118629055</v>
      </c>
      <c r="C12475" s="1" t="s">
        <v>65</v>
      </c>
      <c r="D12475" s="2">
        <v>42186</v>
      </c>
      <c r="E12475" s="1" t="s">
        <v>24726</v>
      </c>
      <c r="F12475" s="1" t="s">
        <v>176</v>
      </c>
    </row>
    <row r="12476" spans="1:6" ht="30" customHeight="1" x14ac:dyDescent="0.25">
      <c r="A12476" s="1" t="s">
        <v>24727</v>
      </c>
      <c r="B12476" s="1" t="str">
        <f>"9781118722183"</f>
        <v>9781118722183</v>
      </c>
      <c r="C12476" s="1" t="s">
        <v>65</v>
      </c>
      <c r="D12476" s="2">
        <v>42209</v>
      </c>
      <c r="E12476" s="1" t="s">
        <v>24728</v>
      </c>
      <c r="F12476" s="1" t="s">
        <v>13</v>
      </c>
    </row>
    <row r="12477" spans="1:6" ht="30" customHeight="1" x14ac:dyDescent="0.25">
      <c r="A12477" s="1" t="s">
        <v>24729</v>
      </c>
      <c r="B12477" s="1" t="str">
        <f>"9781118814758"</f>
        <v>9781118814758</v>
      </c>
      <c r="C12477" s="1" t="s">
        <v>65</v>
      </c>
      <c r="D12477" s="2">
        <v>42250</v>
      </c>
      <c r="E12477" s="1" t="s">
        <v>24730</v>
      </c>
      <c r="F12477" s="1" t="s">
        <v>13</v>
      </c>
    </row>
    <row r="12478" spans="1:6" ht="30" customHeight="1" x14ac:dyDescent="0.25">
      <c r="A12478" s="1" t="s">
        <v>24731</v>
      </c>
      <c r="B12478" s="1" t="str">
        <f>"9781118842126"</f>
        <v>9781118842126</v>
      </c>
      <c r="C12478" s="1" t="s">
        <v>65</v>
      </c>
      <c r="D12478" s="2">
        <v>42370</v>
      </c>
      <c r="E12478" s="1" t="s">
        <v>10750</v>
      </c>
      <c r="F12478" s="1" t="s">
        <v>13</v>
      </c>
    </row>
    <row r="12479" spans="1:6" ht="30" customHeight="1" x14ac:dyDescent="0.25">
      <c r="A12479" s="1" t="s">
        <v>24732</v>
      </c>
      <c r="B12479" s="1" t="str">
        <f>"9781118859995"</f>
        <v>9781118859995</v>
      </c>
      <c r="C12479" s="1" t="s">
        <v>65</v>
      </c>
      <c r="D12479" s="2">
        <v>42338</v>
      </c>
      <c r="E12479" s="1" t="s">
        <v>24733</v>
      </c>
      <c r="F12479" s="1" t="s">
        <v>13</v>
      </c>
    </row>
    <row r="12480" spans="1:6" ht="30" customHeight="1" x14ac:dyDescent="0.25">
      <c r="A12480" s="1" t="s">
        <v>24734</v>
      </c>
      <c r="B12480" s="1" t="str">
        <f>"9781118897249"</f>
        <v>9781118897249</v>
      </c>
      <c r="C12480" s="1" t="s">
        <v>65</v>
      </c>
      <c r="D12480" s="2">
        <v>42349</v>
      </c>
      <c r="E12480" s="1" t="s">
        <v>24735</v>
      </c>
      <c r="F12480" s="1" t="s">
        <v>13</v>
      </c>
    </row>
    <row r="12481" spans="1:6" ht="30" customHeight="1" x14ac:dyDescent="0.25">
      <c r="A12481" s="1" t="s">
        <v>24736</v>
      </c>
      <c r="B12481" s="1" t="str">
        <f>"9781118897744"</f>
        <v>9781118897744</v>
      </c>
      <c r="C12481" s="1" t="s">
        <v>65</v>
      </c>
      <c r="D12481" s="2">
        <v>42282</v>
      </c>
      <c r="E12481" s="1" t="s">
        <v>24737</v>
      </c>
      <c r="F12481" s="1" t="s">
        <v>148</v>
      </c>
    </row>
    <row r="12482" spans="1:6" ht="30" customHeight="1" x14ac:dyDescent="0.25">
      <c r="A12482" s="1" t="s">
        <v>24738</v>
      </c>
      <c r="B12482" s="1" t="str">
        <f>"9781118902417"</f>
        <v>9781118902417</v>
      </c>
      <c r="C12482" s="1" t="s">
        <v>65</v>
      </c>
      <c r="D12482" s="2">
        <v>42284</v>
      </c>
      <c r="E12482" s="1" t="s">
        <v>24739</v>
      </c>
      <c r="F12482" s="1" t="s">
        <v>268</v>
      </c>
    </row>
    <row r="12483" spans="1:6" ht="30" customHeight="1" x14ac:dyDescent="0.25">
      <c r="A12483" s="1" t="s">
        <v>24740</v>
      </c>
      <c r="B12483" s="1" t="str">
        <f>"9781119121701"</f>
        <v>9781119121701</v>
      </c>
      <c r="C12483" s="1" t="s">
        <v>65</v>
      </c>
      <c r="D12483" s="2">
        <v>42297</v>
      </c>
      <c r="E12483" s="1" t="s">
        <v>24741</v>
      </c>
      <c r="F12483" s="1" t="s">
        <v>13</v>
      </c>
    </row>
    <row r="12484" spans="1:6" ht="30" customHeight="1" x14ac:dyDescent="0.25">
      <c r="A12484" s="1" t="s">
        <v>24742</v>
      </c>
      <c r="B12484" s="1" t="str">
        <f>"9781118603581"</f>
        <v>9781118603581</v>
      </c>
      <c r="C12484" s="1" t="s">
        <v>65</v>
      </c>
      <c r="D12484" s="2">
        <v>42291</v>
      </c>
      <c r="E12484" s="1" t="s">
        <v>24743</v>
      </c>
      <c r="F12484" s="1" t="s">
        <v>176</v>
      </c>
    </row>
    <row r="12485" spans="1:6" ht="30" customHeight="1" x14ac:dyDescent="0.25">
      <c r="A12485" s="1" t="s">
        <v>24744</v>
      </c>
      <c r="B12485" s="1" t="str">
        <f>"9781118925249"</f>
        <v>9781118925249</v>
      </c>
      <c r="C12485" s="1" t="s">
        <v>65</v>
      </c>
      <c r="D12485" s="2">
        <v>42339</v>
      </c>
      <c r="E12485" s="1" t="s">
        <v>24745</v>
      </c>
      <c r="F12485" s="1" t="s">
        <v>13</v>
      </c>
    </row>
    <row r="12486" spans="1:6" ht="30" customHeight="1" x14ac:dyDescent="0.25">
      <c r="A12486" s="1" t="s">
        <v>24746</v>
      </c>
      <c r="B12486" s="1" t="str">
        <f>"9781782414353"</f>
        <v>9781782414353</v>
      </c>
      <c r="C12486" s="1" t="s">
        <v>8994</v>
      </c>
      <c r="D12486" s="2">
        <v>42369</v>
      </c>
      <c r="E12486" s="1" t="s">
        <v>24747</v>
      </c>
      <c r="F12486" s="1" t="s">
        <v>13</v>
      </c>
    </row>
    <row r="12487" spans="1:6" ht="30" customHeight="1" x14ac:dyDescent="0.25">
      <c r="A12487" s="1" t="s">
        <v>24748</v>
      </c>
      <c r="B12487" s="1" t="str">
        <f>"9780826124890"</f>
        <v>9780826124890</v>
      </c>
      <c r="C12487" s="1" t="s">
        <v>2339</v>
      </c>
      <c r="D12487" s="2">
        <v>42278</v>
      </c>
      <c r="E12487" s="1" t="s">
        <v>24749</v>
      </c>
      <c r="F12487" s="1" t="s">
        <v>126</v>
      </c>
    </row>
    <row r="12488" spans="1:6" ht="30" customHeight="1" x14ac:dyDescent="0.25">
      <c r="A12488" s="1" t="s">
        <v>24750</v>
      </c>
      <c r="B12488" s="1" t="str">
        <f>"9781118981542"</f>
        <v>9781118981542</v>
      </c>
      <c r="C12488" s="1" t="s">
        <v>65</v>
      </c>
      <c r="D12488" s="2">
        <v>42317</v>
      </c>
      <c r="E12488" s="1" t="s">
        <v>24751</v>
      </c>
      <c r="F12488" s="1" t="s">
        <v>13</v>
      </c>
    </row>
    <row r="12489" spans="1:6" ht="30" customHeight="1" x14ac:dyDescent="0.25">
      <c r="A12489" s="1" t="s">
        <v>24752</v>
      </c>
      <c r="B12489" s="1" t="str">
        <f>"9781581109962"</f>
        <v>9781581109962</v>
      </c>
      <c r="C12489" s="1" t="s">
        <v>9624</v>
      </c>
      <c r="D12489" s="2">
        <v>42296</v>
      </c>
      <c r="E12489" s="1" t="s">
        <v>24753</v>
      </c>
      <c r="F12489" s="1" t="s">
        <v>137</v>
      </c>
    </row>
    <row r="12490" spans="1:6" ht="30" customHeight="1" x14ac:dyDescent="0.25">
      <c r="A12490" s="1" t="s">
        <v>24754</v>
      </c>
      <c r="B12490" s="1" t="str">
        <f>"9781846427336"</f>
        <v>9781846427336</v>
      </c>
      <c r="C12490" s="1" t="s">
        <v>2387</v>
      </c>
      <c r="D12490" s="2">
        <v>39401</v>
      </c>
      <c r="E12490" s="1" t="s">
        <v>24755</v>
      </c>
      <c r="F12490" s="1" t="s">
        <v>127</v>
      </c>
    </row>
    <row r="12491" spans="1:6" ht="30" customHeight="1" x14ac:dyDescent="0.25">
      <c r="A12491" s="1" t="s">
        <v>24756</v>
      </c>
      <c r="B12491" s="1" t="str">
        <f>"9781501701399"</f>
        <v>9781501701399</v>
      </c>
      <c r="C12491" s="1" t="s">
        <v>19796</v>
      </c>
      <c r="D12491" s="2">
        <v>42324</v>
      </c>
      <c r="E12491" s="1" t="s">
        <v>24757</v>
      </c>
      <c r="F12491" s="1" t="s">
        <v>13</v>
      </c>
    </row>
    <row r="12492" spans="1:6" ht="30" customHeight="1" x14ac:dyDescent="0.25">
      <c r="A12492" s="1" t="s">
        <v>24758</v>
      </c>
      <c r="B12492" s="1" t="str">
        <f>"9781782414544"</f>
        <v>9781782414544</v>
      </c>
      <c r="C12492" s="1" t="s">
        <v>68</v>
      </c>
      <c r="D12492" s="2">
        <v>42360</v>
      </c>
      <c r="E12492" s="1" t="s">
        <v>24759</v>
      </c>
      <c r="F12492" s="1" t="s">
        <v>13</v>
      </c>
    </row>
    <row r="12493" spans="1:6" ht="30" customHeight="1" x14ac:dyDescent="0.25">
      <c r="A12493" s="1" t="s">
        <v>24760</v>
      </c>
      <c r="B12493" s="1" t="str">
        <f>"9781782414643"</f>
        <v>9781782414643</v>
      </c>
      <c r="C12493" s="1" t="s">
        <v>68</v>
      </c>
      <c r="D12493" s="2">
        <v>42353</v>
      </c>
      <c r="E12493" s="1" t="s">
        <v>24761</v>
      </c>
      <c r="F12493" s="1" t="s">
        <v>13</v>
      </c>
    </row>
    <row r="12494" spans="1:6" ht="30" customHeight="1" x14ac:dyDescent="0.25">
      <c r="A12494" s="1" t="s">
        <v>24762</v>
      </c>
      <c r="B12494" s="1" t="str">
        <f>"9781118952764"</f>
        <v>9781118952764</v>
      </c>
      <c r="C12494" s="1" t="s">
        <v>65</v>
      </c>
      <c r="D12494" s="2">
        <v>42380</v>
      </c>
      <c r="E12494" s="1" t="s">
        <v>24763</v>
      </c>
      <c r="F12494" s="1" t="s">
        <v>148</v>
      </c>
    </row>
    <row r="12495" spans="1:6" ht="30" customHeight="1" x14ac:dyDescent="0.25">
      <c r="A12495" s="1" t="s">
        <v>24764</v>
      </c>
      <c r="B12495" s="1" t="str">
        <f>"9781119098287"</f>
        <v>9781119098287</v>
      </c>
      <c r="C12495" s="1" t="s">
        <v>15807</v>
      </c>
      <c r="D12495" s="2">
        <v>42349</v>
      </c>
      <c r="E12495" s="1" t="s">
        <v>24765</v>
      </c>
      <c r="F12495" s="1" t="s">
        <v>158</v>
      </c>
    </row>
    <row r="12496" spans="1:6" ht="30" customHeight="1" x14ac:dyDescent="0.25">
      <c r="A12496" s="1" t="s">
        <v>24766</v>
      </c>
      <c r="B12496" s="1" t="str">
        <f>"9781614516453"</f>
        <v>9781614516453</v>
      </c>
      <c r="C12496" s="1" t="s">
        <v>1848</v>
      </c>
      <c r="D12496" s="2">
        <v>42356</v>
      </c>
      <c r="E12496" s="1" t="s">
        <v>24767</v>
      </c>
      <c r="F12496" s="1" t="s">
        <v>13</v>
      </c>
    </row>
    <row r="12497" spans="1:6" ht="30" customHeight="1" x14ac:dyDescent="0.25">
      <c r="A12497" s="1" t="s">
        <v>24768</v>
      </c>
      <c r="B12497" s="1" t="str">
        <f>"9781118742211"</f>
        <v>9781118742211</v>
      </c>
      <c r="C12497" s="1" t="s">
        <v>65</v>
      </c>
      <c r="D12497" s="2">
        <v>42397</v>
      </c>
      <c r="E12497" s="1" t="s">
        <v>24769</v>
      </c>
      <c r="F12497" s="1" t="s">
        <v>13</v>
      </c>
    </row>
    <row r="12498" spans="1:6" ht="30" customHeight="1" x14ac:dyDescent="0.25">
      <c r="A12498" s="1" t="s">
        <v>24770</v>
      </c>
      <c r="B12498" s="1" t="str">
        <f>"9781118776445"</f>
        <v>9781118776445</v>
      </c>
      <c r="C12498" s="1" t="s">
        <v>65</v>
      </c>
      <c r="D12498" s="2">
        <v>42355</v>
      </c>
      <c r="E12498" s="1" t="s">
        <v>24771</v>
      </c>
      <c r="F12498" s="1" t="s">
        <v>13</v>
      </c>
    </row>
    <row r="12499" spans="1:6" ht="30" customHeight="1" x14ac:dyDescent="0.25">
      <c r="A12499" s="1" t="s">
        <v>24772</v>
      </c>
      <c r="B12499" s="1" t="str">
        <f>"9781118849828"</f>
        <v>9781118849828</v>
      </c>
      <c r="C12499" s="1" t="s">
        <v>65</v>
      </c>
      <c r="D12499" s="2">
        <v>42352</v>
      </c>
      <c r="E12499" s="1" t="s">
        <v>24773</v>
      </c>
      <c r="F12499" s="1" t="s">
        <v>268</v>
      </c>
    </row>
    <row r="12500" spans="1:6" ht="30" customHeight="1" x14ac:dyDescent="0.25">
      <c r="A12500" s="1" t="s">
        <v>24774</v>
      </c>
      <c r="B12500" s="1" t="str">
        <f>"9781118712641"</f>
        <v>9781118712641</v>
      </c>
      <c r="C12500" s="1" t="s">
        <v>65</v>
      </c>
      <c r="D12500" s="2">
        <v>42353</v>
      </c>
      <c r="E12500" s="1" t="s">
        <v>24775</v>
      </c>
      <c r="F12500" s="1" t="s">
        <v>95</v>
      </c>
    </row>
    <row r="12501" spans="1:6" ht="30" customHeight="1" x14ac:dyDescent="0.25">
      <c r="A12501" s="1" t="s">
        <v>24776</v>
      </c>
      <c r="B12501" s="1" t="str">
        <f>"9781118416129"</f>
        <v>9781118416129</v>
      </c>
      <c r="C12501" s="1" t="s">
        <v>65</v>
      </c>
      <c r="D12501" s="2">
        <v>42352</v>
      </c>
      <c r="E12501" s="1" t="s">
        <v>24777</v>
      </c>
      <c r="F12501" s="1" t="s">
        <v>13</v>
      </c>
    </row>
    <row r="12502" spans="1:6" ht="30" customHeight="1" x14ac:dyDescent="0.25">
      <c r="A12502" s="1" t="s">
        <v>24778</v>
      </c>
      <c r="B12502" s="1" t="str">
        <f>"9781118943786"</f>
        <v>9781118943786</v>
      </c>
      <c r="C12502" s="1" t="s">
        <v>65</v>
      </c>
      <c r="D12502" s="2">
        <v>42360</v>
      </c>
      <c r="E12502" s="1" t="s">
        <v>24779</v>
      </c>
      <c r="F12502" s="1" t="s">
        <v>2168</v>
      </c>
    </row>
    <row r="12503" spans="1:6" ht="30" customHeight="1" x14ac:dyDescent="0.25">
      <c r="A12503" s="1" t="s">
        <v>24780</v>
      </c>
      <c r="B12503" s="1" t="str">
        <f>"9781119078425"</f>
        <v>9781119078425</v>
      </c>
      <c r="C12503" s="1" t="s">
        <v>65</v>
      </c>
      <c r="D12503" s="2">
        <v>42352</v>
      </c>
      <c r="E12503" s="1" t="s">
        <v>24781</v>
      </c>
      <c r="F12503" s="1" t="s">
        <v>1372</v>
      </c>
    </row>
    <row r="12504" spans="1:6" ht="30" customHeight="1" x14ac:dyDescent="0.25">
      <c r="A12504" s="1" t="s">
        <v>24782</v>
      </c>
      <c r="B12504" s="1" t="str">
        <f>"9781119125433"</f>
        <v>9781119125433</v>
      </c>
      <c r="C12504" s="1" t="s">
        <v>65</v>
      </c>
      <c r="D12504" s="2">
        <v>42360</v>
      </c>
      <c r="E12504" s="1" t="s">
        <v>24783</v>
      </c>
      <c r="F12504" s="1" t="s">
        <v>13</v>
      </c>
    </row>
    <row r="12505" spans="1:6" ht="30" customHeight="1" x14ac:dyDescent="0.25">
      <c r="A12505" s="1" t="s">
        <v>24784</v>
      </c>
      <c r="B12505" s="1" t="str">
        <f>"9781119130178"</f>
        <v>9781119130178</v>
      </c>
      <c r="C12505" s="1" t="s">
        <v>65</v>
      </c>
      <c r="D12505" s="2">
        <v>42355</v>
      </c>
      <c r="E12505" s="1" t="s">
        <v>24785</v>
      </c>
      <c r="F12505" s="1" t="s">
        <v>13</v>
      </c>
    </row>
    <row r="12506" spans="1:6" ht="30" customHeight="1" x14ac:dyDescent="0.25">
      <c r="A12506" s="1" t="s">
        <v>24786</v>
      </c>
      <c r="B12506" s="1" t="str">
        <f>"9781119019909"</f>
        <v>9781119019909</v>
      </c>
      <c r="C12506" s="1" t="s">
        <v>65</v>
      </c>
      <c r="D12506" s="2">
        <v>42352</v>
      </c>
      <c r="E12506" s="1" t="s">
        <v>24787</v>
      </c>
      <c r="F12506" s="1" t="s">
        <v>13</v>
      </c>
    </row>
    <row r="12507" spans="1:6" ht="30" customHeight="1" x14ac:dyDescent="0.25">
      <c r="A12507" s="1" t="s">
        <v>24788</v>
      </c>
      <c r="B12507" s="1" t="str">
        <f>"9781782413516"</f>
        <v>9781782413516</v>
      </c>
      <c r="C12507" s="1" t="s">
        <v>68</v>
      </c>
      <c r="D12507" s="2">
        <v>42382</v>
      </c>
      <c r="E12507" s="1" t="s">
        <v>24789</v>
      </c>
      <c r="F12507" s="1" t="s">
        <v>13</v>
      </c>
    </row>
    <row r="12508" spans="1:6" ht="30" customHeight="1" x14ac:dyDescent="0.25">
      <c r="A12508" s="1" t="s">
        <v>24790</v>
      </c>
      <c r="B12508" s="1" t="str">
        <f>"9781782414117"</f>
        <v>9781782414117</v>
      </c>
      <c r="C12508" s="1" t="s">
        <v>8994</v>
      </c>
      <c r="D12508" s="2">
        <v>42381</v>
      </c>
      <c r="E12508" s="1" t="s">
        <v>24791</v>
      </c>
      <c r="F12508" s="1" t="s">
        <v>13</v>
      </c>
    </row>
    <row r="12509" spans="1:6" ht="30" customHeight="1" x14ac:dyDescent="0.25">
      <c r="A12509" s="1" t="s">
        <v>24792</v>
      </c>
      <c r="B12509" s="1" t="str">
        <f>"9780826123589"</f>
        <v>9780826123589</v>
      </c>
      <c r="C12509" s="1" t="s">
        <v>2339</v>
      </c>
      <c r="D12509" s="2">
        <v>42309</v>
      </c>
      <c r="E12509" s="1" t="s">
        <v>24793</v>
      </c>
      <c r="F12509" s="1" t="s">
        <v>13</v>
      </c>
    </row>
    <row r="12510" spans="1:6" ht="30" customHeight="1" x14ac:dyDescent="0.25">
      <c r="A12510" s="1" t="s">
        <v>24794</v>
      </c>
      <c r="B12510" s="1" t="str">
        <f>"9780826124388"</f>
        <v>9780826124388</v>
      </c>
      <c r="C12510" s="1" t="s">
        <v>2339</v>
      </c>
      <c r="D12510" s="2">
        <v>42349</v>
      </c>
      <c r="E12510" s="1" t="s">
        <v>24795</v>
      </c>
      <c r="F12510" s="1" t="s">
        <v>13</v>
      </c>
    </row>
    <row r="12511" spans="1:6" ht="30" customHeight="1" x14ac:dyDescent="0.25">
      <c r="A12511" s="1" t="s">
        <v>24796</v>
      </c>
      <c r="B12511" s="1" t="str">
        <f>"9780826126597"</f>
        <v>9780826126597</v>
      </c>
      <c r="C12511" s="1" t="s">
        <v>2339</v>
      </c>
      <c r="D12511" s="2">
        <v>42353</v>
      </c>
      <c r="E12511" s="1" t="s">
        <v>24797</v>
      </c>
      <c r="F12511" s="1" t="s">
        <v>95</v>
      </c>
    </row>
    <row r="12512" spans="1:6" ht="30" customHeight="1" x14ac:dyDescent="0.25">
      <c r="A12512" s="1" t="s">
        <v>24798</v>
      </c>
      <c r="B12512" s="1" t="str">
        <f>"9780826126795"</f>
        <v>9780826126795</v>
      </c>
      <c r="C12512" s="1" t="s">
        <v>2339</v>
      </c>
      <c r="D12512" s="2">
        <v>42366</v>
      </c>
      <c r="E12512" s="1" t="s">
        <v>24799</v>
      </c>
      <c r="F12512" s="1" t="s">
        <v>13</v>
      </c>
    </row>
    <row r="12513" spans="1:6" ht="30" customHeight="1" x14ac:dyDescent="0.25">
      <c r="A12513" s="1" t="s">
        <v>24800</v>
      </c>
      <c r="B12513" s="1" t="str">
        <f>"9780826129857"</f>
        <v>9780826129857</v>
      </c>
      <c r="C12513" s="1" t="s">
        <v>2339</v>
      </c>
      <c r="D12513" s="2">
        <v>42278</v>
      </c>
      <c r="E12513" s="1" t="s">
        <v>24801</v>
      </c>
      <c r="F12513" s="1" t="s">
        <v>126</v>
      </c>
    </row>
    <row r="12514" spans="1:6" ht="30" customHeight="1" x14ac:dyDescent="0.25">
      <c r="A12514" s="1" t="s">
        <v>24802</v>
      </c>
      <c r="B12514" s="1" t="str">
        <f>"9780826195999"</f>
        <v>9780826195999</v>
      </c>
      <c r="C12514" s="1" t="s">
        <v>2339</v>
      </c>
      <c r="D12514" s="2">
        <v>42349</v>
      </c>
      <c r="E12514" s="1" t="s">
        <v>24803</v>
      </c>
      <c r="F12514" s="1" t="s">
        <v>95</v>
      </c>
    </row>
    <row r="12515" spans="1:6" ht="30" customHeight="1" x14ac:dyDescent="0.25">
      <c r="A12515" s="1" t="s">
        <v>24804</v>
      </c>
      <c r="B12515" s="1" t="str">
        <f>"9780826196767"</f>
        <v>9780826196767</v>
      </c>
      <c r="C12515" s="1" t="s">
        <v>2339</v>
      </c>
      <c r="D12515" s="2">
        <v>42313</v>
      </c>
      <c r="E12515" s="1" t="s">
        <v>24805</v>
      </c>
      <c r="F12515" s="1" t="s">
        <v>13</v>
      </c>
    </row>
    <row r="12516" spans="1:6" ht="30" customHeight="1" x14ac:dyDescent="0.25">
      <c r="A12516" s="1" t="s">
        <v>24806</v>
      </c>
      <c r="B12516" s="1" t="str">
        <f>"9783110353945"</f>
        <v>9783110353945</v>
      </c>
      <c r="C12516" s="1" t="s">
        <v>1848</v>
      </c>
      <c r="D12516" s="2">
        <v>42352</v>
      </c>
      <c r="E12516" s="1" t="s">
        <v>24807</v>
      </c>
      <c r="F12516" s="1" t="s">
        <v>13</v>
      </c>
    </row>
    <row r="12517" spans="1:6" ht="30" customHeight="1" x14ac:dyDescent="0.25">
      <c r="A12517" s="1" t="s">
        <v>24808</v>
      </c>
      <c r="B12517" s="1" t="str">
        <f>"9781118864388"</f>
        <v>9781118864388</v>
      </c>
      <c r="C12517" s="1" t="s">
        <v>65</v>
      </c>
      <c r="D12517" s="2">
        <v>42366</v>
      </c>
      <c r="E12517" s="1" t="s">
        <v>24809</v>
      </c>
      <c r="F12517" s="1" t="s">
        <v>214</v>
      </c>
    </row>
    <row r="12518" spans="1:6" ht="30" customHeight="1" x14ac:dyDescent="0.25">
      <c r="A12518" s="1" t="s">
        <v>24810</v>
      </c>
      <c r="B12518" s="1" t="str">
        <f>"9781119221111"</f>
        <v>9781119221111</v>
      </c>
      <c r="C12518" s="1" t="s">
        <v>65</v>
      </c>
      <c r="D12518" s="2">
        <v>42366</v>
      </c>
      <c r="E12518" s="1" t="s">
        <v>24811</v>
      </c>
      <c r="F12518" s="1" t="s">
        <v>95</v>
      </c>
    </row>
    <row r="12519" spans="1:6" ht="30" customHeight="1" x14ac:dyDescent="0.25">
      <c r="A12519" s="1" t="s">
        <v>24812</v>
      </c>
      <c r="B12519" s="1" t="str">
        <f>"9780295803326"</f>
        <v>9780295803326</v>
      </c>
      <c r="C12519" s="1" t="s">
        <v>24277</v>
      </c>
      <c r="D12519" s="2">
        <v>40725</v>
      </c>
      <c r="E12519" s="1" t="s">
        <v>24813</v>
      </c>
      <c r="F12519" s="1" t="s">
        <v>13</v>
      </c>
    </row>
    <row r="12520" spans="1:6" ht="30" customHeight="1" x14ac:dyDescent="0.25">
      <c r="A12520" s="1" t="s">
        <v>24814</v>
      </c>
      <c r="B12520" s="1" t="str">
        <f>"9780252097959"</f>
        <v>9780252097959</v>
      </c>
      <c r="C12520" s="1" t="s">
        <v>23637</v>
      </c>
      <c r="D12520" s="2">
        <v>42614</v>
      </c>
      <c r="E12520" s="1" t="s">
        <v>19287</v>
      </c>
      <c r="F12520" s="1" t="s">
        <v>20277</v>
      </c>
    </row>
    <row r="12521" spans="1:6" ht="30" customHeight="1" x14ac:dyDescent="0.25">
      <c r="A12521" s="1" t="s">
        <v>24815</v>
      </c>
      <c r="B12521" s="1" t="str">
        <f>"9789838617208"</f>
        <v>9789838617208</v>
      </c>
      <c r="C12521" s="1" t="s">
        <v>24816</v>
      </c>
      <c r="D12521" s="2">
        <v>41470</v>
      </c>
      <c r="E12521" s="1" t="s">
        <v>24817</v>
      </c>
      <c r="F12521" s="1" t="s">
        <v>13</v>
      </c>
    </row>
    <row r="12522" spans="1:6" ht="30" customHeight="1" x14ac:dyDescent="0.25">
      <c r="A12522" s="1" t="s">
        <v>24818</v>
      </c>
      <c r="B12522" s="1" t="str">
        <f>"9789838617635"</f>
        <v>9789838617635</v>
      </c>
      <c r="C12522" s="1" t="s">
        <v>24816</v>
      </c>
      <c r="D12522" s="2">
        <v>40704</v>
      </c>
      <c r="E12522" s="1" t="s">
        <v>24819</v>
      </c>
      <c r="F12522" s="1" t="s">
        <v>95</v>
      </c>
    </row>
    <row r="12523" spans="1:6" ht="30" customHeight="1" x14ac:dyDescent="0.25">
      <c r="A12523" s="1" t="s">
        <v>24820</v>
      </c>
      <c r="B12523" s="1" t="str">
        <f>"9781118801055"</f>
        <v>9781118801055</v>
      </c>
      <c r="C12523" s="1" t="s">
        <v>65</v>
      </c>
      <c r="D12523" s="2">
        <v>42367</v>
      </c>
      <c r="E12523" s="1" t="s">
        <v>24821</v>
      </c>
      <c r="F12523" s="1" t="s">
        <v>13</v>
      </c>
    </row>
    <row r="12524" spans="1:6" ht="30" customHeight="1" x14ac:dyDescent="0.25">
      <c r="A12524" s="1" t="s">
        <v>24822</v>
      </c>
      <c r="B12524" s="1" t="str">
        <f>"9781118849569"</f>
        <v>9781118849569</v>
      </c>
      <c r="C12524" s="1" t="s">
        <v>65</v>
      </c>
      <c r="D12524" s="2">
        <v>42369</v>
      </c>
      <c r="E12524" s="1" t="s">
        <v>24823</v>
      </c>
      <c r="F12524" s="1" t="s">
        <v>13</v>
      </c>
    </row>
    <row r="12525" spans="1:6" ht="30" customHeight="1" x14ac:dyDescent="0.25">
      <c r="A12525" s="1" t="s">
        <v>24824</v>
      </c>
      <c r="B12525" s="1" t="str">
        <f>"9781118755365"</f>
        <v>9781118755365</v>
      </c>
      <c r="C12525" s="1" t="s">
        <v>65</v>
      </c>
      <c r="D12525" s="2">
        <v>42368</v>
      </c>
      <c r="E12525" s="1" t="s">
        <v>24825</v>
      </c>
      <c r="F12525" s="1" t="s">
        <v>13</v>
      </c>
    </row>
    <row r="12526" spans="1:6" ht="30" customHeight="1" x14ac:dyDescent="0.25">
      <c r="A12526" s="1" t="s">
        <v>24826</v>
      </c>
      <c r="B12526" s="1" t="str">
        <f>"9781782414452"</f>
        <v>9781782414452</v>
      </c>
      <c r="C12526" s="1" t="s">
        <v>8994</v>
      </c>
      <c r="D12526" s="2">
        <v>42369</v>
      </c>
      <c r="E12526" s="1" t="s">
        <v>24827</v>
      </c>
      <c r="F12526" s="1" t="s">
        <v>13</v>
      </c>
    </row>
    <row r="12527" spans="1:6" ht="30" customHeight="1" x14ac:dyDescent="0.25">
      <c r="A12527" s="1" t="s">
        <v>24828</v>
      </c>
      <c r="B12527" s="1" t="str">
        <f>"9781782414735"</f>
        <v>9781782414735</v>
      </c>
      <c r="C12527" s="1" t="s">
        <v>68</v>
      </c>
      <c r="D12527" s="2">
        <v>42381</v>
      </c>
      <c r="E12527" s="1" t="s">
        <v>24829</v>
      </c>
      <c r="F12527" s="1" t="s">
        <v>13</v>
      </c>
    </row>
    <row r="12528" spans="1:6" ht="30" customHeight="1" x14ac:dyDescent="0.25">
      <c r="A12528" s="1" t="s">
        <v>24830</v>
      </c>
      <c r="B12528" s="1" t="str">
        <f>"9780874178630"</f>
        <v>9780874178630</v>
      </c>
      <c r="C12528" s="1" t="s">
        <v>24831</v>
      </c>
      <c r="D12528" s="2">
        <v>40817</v>
      </c>
      <c r="E12528" s="1" t="s">
        <v>24832</v>
      </c>
      <c r="F12528" s="1" t="s">
        <v>148</v>
      </c>
    </row>
    <row r="12529" spans="1:6" ht="30" customHeight="1" x14ac:dyDescent="0.25">
      <c r="A12529" s="1" t="s">
        <v>24833</v>
      </c>
      <c r="B12529" s="1" t="str">
        <f>"9780812291469"</f>
        <v>9780812291469</v>
      </c>
      <c r="C12529" s="1" t="s">
        <v>24206</v>
      </c>
      <c r="D12529" s="2">
        <v>42341</v>
      </c>
      <c r="E12529" s="1" t="s">
        <v>24834</v>
      </c>
      <c r="F12529" s="1" t="s">
        <v>13</v>
      </c>
    </row>
    <row r="12530" spans="1:6" ht="30" customHeight="1" x14ac:dyDescent="0.25">
      <c r="A12530" s="1" t="s">
        <v>24835</v>
      </c>
      <c r="B12530" s="1" t="str">
        <f>"9780812291957"</f>
        <v>9780812291957</v>
      </c>
      <c r="C12530" s="1" t="s">
        <v>24206</v>
      </c>
      <c r="D12530" s="2">
        <v>42311</v>
      </c>
      <c r="E12530" s="1" t="s">
        <v>24836</v>
      </c>
      <c r="F12530" s="1" t="s">
        <v>541</v>
      </c>
    </row>
    <row r="12531" spans="1:6" ht="30" customHeight="1" x14ac:dyDescent="0.25">
      <c r="A12531" s="1" t="s">
        <v>24837</v>
      </c>
      <c r="B12531" s="1" t="str">
        <f>"9781469603629"</f>
        <v>9781469603629</v>
      </c>
      <c r="C12531" s="1" t="s">
        <v>4843</v>
      </c>
      <c r="D12531" s="2">
        <v>41671</v>
      </c>
      <c r="E12531" s="1" t="s">
        <v>24838</v>
      </c>
      <c r="F12531" s="1" t="s">
        <v>13</v>
      </c>
    </row>
    <row r="12532" spans="1:6" ht="30" customHeight="1" x14ac:dyDescent="0.25">
      <c r="A12532" s="1" t="s">
        <v>24839</v>
      </c>
      <c r="B12532" s="1" t="str">
        <f>"9781118791059"</f>
        <v>9781118791059</v>
      </c>
      <c r="C12532" s="1" t="s">
        <v>65</v>
      </c>
      <c r="D12532" s="2">
        <v>42380</v>
      </c>
      <c r="E12532" s="1" t="s">
        <v>24840</v>
      </c>
      <c r="F12532" s="1" t="s">
        <v>13</v>
      </c>
    </row>
    <row r="12533" spans="1:6" ht="30" customHeight="1" x14ac:dyDescent="0.25">
      <c r="A12533" s="1" t="s">
        <v>24841</v>
      </c>
      <c r="B12533" s="1" t="str">
        <f>"9781118900048"</f>
        <v>9781118900048</v>
      </c>
      <c r="C12533" s="1" t="s">
        <v>65</v>
      </c>
      <c r="D12533" s="2">
        <v>42382</v>
      </c>
      <c r="E12533" s="1" t="s">
        <v>24842</v>
      </c>
      <c r="F12533" s="1" t="s">
        <v>95</v>
      </c>
    </row>
    <row r="12534" spans="1:6" ht="30" customHeight="1" x14ac:dyDescent="0.25">
      <c r="A12534" s="1" t="s">
        <v>24843</v>
      </c>
      <c r="B12534" s="1" t="str">
        <f>"9781118967430"</f>
        <v>9781118967430</v>
      </c>
      <c r="C12534" s="1" t="s">
        <v>65</v>
      </c>
      <c r="D12534" s="2">
        <v>42303</v>
      </c>
      <c r="E12534" s="1" t="s">
        <v>24844</v>
      </c>
      <c r="F12534" s="1" t="s">
        <v>30</v>
      </c>
    </row>
    <row r="12535" spans="1:6" ht="30" customHeight="1" x14ac:dyDescent="0.25">
      <c r="A12535" s="1" t="s">
        <v>24845</v>
      </c>
      <c r="B12535" s="1" t="str">
        <f>"9781849400251"</f>
        <v>9781849400251</v>
      </c>
      <c r="C12535" s="1" t="s">
        <v>8994</v>
      </c>
      <c r="D12535" s="2">
        <v>31047</v>
      </c>
      <c r="E12535" s="1" t="s">
        <v>9208</v>
      </c>
      <c r="F12535" s="1" t="s">
        <v>13</v>
      </c>
    </row>
    <row r="12536" spans="1:6" ht="30" customHeight="1" x14ac:dyDescent="0.25">
      <c r="A12536" s="1" t="s">
        <v>24846</v>
      </c>
      <c r="B12536" s="1" t="str">
        <f>"9781782414780"</f>
        <v>9781782414780</v>
      </c>
      <c r="C12536" s="1" t="s">
        <v>68</v>
      </c>
      <c r="D12536" s="2">
        <v>42324</v>
      </c>
      <c r="E12536" s="1" t="s">
        <v>24847</v>
      </c>
      <c r="F12536" s="1" t="s">
        <v>13</v>
      </c>
    </row>
    <row r="12537" spans="1:6" ht="30" customHeight="1" x14ac:dyDescent="0.25">
      <c r="A12537" s="1" t="s">
        <v>24848</v>
      </c>
      <c r="B12537" s="1" t="str">
        <f>"9781782414971"</f>
        <v>9781782414971</v>
      </c>
      <c r="C12537" s="1" t="s">
        <v>8994</v>
      </c>
      <c r="D12537" s="2">
        <v>42361</v>
      </c>
      <c r="E12537" s="1" t="s">
        <v>24849</v>
      </c>
      <c r="F12537" s="1" t="s">
        <v>13</v>
      </c>
    </row>
    <row r="12538" spans="1:6" ht="30" customHeight="1" x14ac:dyDescent="0.25">
      <c r="A12538" s="1" t="s">
        <v>24850</v>
      </c>
      <c r="B12538" s="1" t="str">
        <f>"9781118323472"</f>
        <v>9781118323472</v>
      </c>
      <c r="C12538" s="1" t="s">
        <v>65</v>
      </c>
      <c r="D12538" s="2">
        <v>42382</v>
      </c>
      <c r="E12538" s="1" t="s">
        <v>24851</v>
      </c>
      <c r="F12538" s="1" t="s">
        <v>13</v>
      </c>
    </row>
    <row r="12539" spans="1:6" ht="30" customHeight="1" x14ac:dyDescent="0.25">
      <c r="A12539" s="1" t="s">
        <v>24852</v>
      </c>
      <c r="B12539" s="1" t="str">
        <f>"9783110417661"</f>
        <v>9783110417661</v>
      </c>
      <c r="C12539" s="1" t="s">
        <v>1848</v>
      </c>
      <c r="D12539" s="2">
        <v>42321</v>
      </c>
      <c r="E12539" s="1" t="s">
        <v>24853</v>
      </c>
      <c r="F12539" s="1" t="s">
        <v>13</v>
      </c>
    </row>
    <row r="12540" spans="1:6" ht="30" customHeight="1" x14ac:dyDescent="0.25">
      <c r="A12540" s="1" t="s">
        <v>24854</v>
      </c>
      <c r="B12540" s="1" t="str">
        <f>"9781118951637"</f>
        <v>9781118951637</v>
      </c>
      <c r="C12540" s="1" t="s">
        <v>65</v>
      </c>
      <c r="D12540" s="2">
        <v>42384</v>
      </c>
      <c r="E12540" s="1" t="s">
        <v>24855</v>
      </c>
      <c r="F12540" s="1" t="s">
        <v>6960</v>
      </c>
    </row>
    <row r="12541" spans="1:6" ht="30" customHeight="1" x14ac:dyDescent="0.25">
      <c r="A12541" s="1" t="s">
        <v>24856</v>
      </c>
      <c r="B12541" s="1" t="str">
        <f>"9780826130082"</f>
        <v>9780826130082</v>
      </c>
      <c r="C12541" s="1" t="s">
        <v>2339</v>
      </c>
      <c r="D12541" s="2">
        <v>42426</v>
      </c>
      <c r="E12541" s="1" t="s">
        <v>24857</v>
      </c>
      <c r="F12541" s="1" t="s">
        <v>126</v>
      </c>
    </row>
    <row r="12542" spans="1:6" ht="30" customHeight="1" x14ac:dyDescent="0.25">
      <c r="A12542" s="1" t="s">
        <v>24858</v>
      </c>
      <c r="B12542" s="1" t="str">
        <f>"9780822981046"</f>
        <v>9780822981046</v>
      </c>
      <c r="C12542" s="1" t="s">
        <v>17164</v>
      </c>
      <c r="D12542" s="2">
        <v>42368</v>
      </c>
      <c r="E12542" s="1" t="s">
        <v>24859</v>
      </c>
      <c r="F12542" s="1" t="s">
        <v>356</v>
      </c>
    </row>
    <row r="12543" spans="1:6" ht="30" customHeight="1" x14ac:dyDescent="0.25">
      <c r="A12543" s="1" t="s">
        <v>24860</v>
      </c>
      <c r="B12543" s="1" t="str">
        <f>"9781118812273"</f>
        <v>9781118812273</v>
      </c>
      <c r="C12543" s="1" t="s">
        <v>65</v>
      </c>
      <c r="D12543" s="2">
        <v>42388</v>
      </c>
      <c r="E12543" s="1" t="s">
        <v>7413</v>
      </c>
      <c r="F12543" s="1" t="s">
        <v>126</v>
      </c>
    </row>
    <row r="12544" spans="1:6" ht="30" customHeight="1" x14ac:dyDescent="0.25">
      <c r="A12544" s="1" t="s">
        <v>24861</v>
      </c>
      <c r="B12544" s="1" t="str">
        <f>"9783110468755"</f>
        <v>9783110468755</v>
      </c>
      <c r="C12544" s="1" t="s">
        <v>13524</v>
      </c>
      <c r="D12544" s="2">
        <v>42422</v>
      </c>
      <c r="E12544" s="1" t="s">
        <v>24862</v>
      </c>
      <c r="F12544" s="1" t="s">
        <v>268</v>
      </c>
    </row>
    <row r="12545" spans="1:6" ht="30" customHeight="1" x14ac:dyDescent="0.25">
      <c r="A12545" s="1" t="s">
        <v>5421</v>
      </c>
      <c r="B12545" s="1" t="str">
        <f>"9781118638408"</f>
        <v>9781118638408</v>
      </c>
      <c r="C12545" s="1" t="s">
        <v>65</v>
      </c>
      <c r="D12545" s="2">
        <v>42671</v>
      </c>
      <c r="E12545" s="1" t="s">
        <v>24863</v>
      </c>
      <c r="F12545" s="1" t="s">
        <v>13</v>
      </c>
    </row>
    <row r="12546" spans="1:6" ht="30" customHeight="1" x14ac:dyDescent="0.25">
      <c r="A12546" s="1" t="s">
        <v>24864</v>
      </c>
      <c r="B12546" s="1" t="str">
        <f>"9781118853672"</f>
        <v>9781118853672</v>
      </c>
      <c r="C12546" s="1" t="s">
        <v>65</v>
      </c>
      <c r="D12546" s="2">
        <v>42391</v>
      </c>
      <c r="E12546" s="1" t="s">
        <v>24865</v>
      </c>
      <c r="F12546" s="1" t="s">
        <v>13</v>
      </c>
    </row>
    <row r="12547" spans="1:6" ht="30" customHeight="1" x14ac:dyDescent="0.25">
      <c r="A12547" s="1" t="s">
        <v>24866</v>
      </c>
      <c r="B12547" s="1" t="str">
        <f>"9781118910818"</f>
        <v>9781118910818</v>
      </c>
      <c r="C12547" s="1" t="s">
        <v>65</v>
      </c>
      <c r="D12547" s="2">
        <v>42391</v>
      </c>
      <c r="E12547" s="1" t="s">
        <v>24867</v>
      </c>
      <c r="F12547" s="1" t="s">
        <v>13</v>
      </c>
    </row>
    <row r="12548" spans="1:6" ht="30" customHeight="1" x14ac:dyDescent="0.25">
      <c r="A12548" s="1" t="s">
        <v>24868</v>
      </c>
      <c r="B12548" s="1" t="str">
        <f>"9781940325002"</f>
        <v>9781940325002</v>
      </c>
      <c r="C12548" s="1" t="s">
        <v>24869</v>
      </c>
      <c r="D12548" s="2">
        <v>41275</v>
      </c>
      <c r="E12548" s="1" t="s">
        <v>24870</v>
      </c>
      <c r="F12548" s="1" t="s">
        <v>126</v>
      </c>
    </row>
    <row r="12549" spans="1:6" ht="30" customHeight="1" x14ac:dyDescent="0.25">
      <c r="A12549" s="1" t="s">
        <v>24871</v>
      </c>
      <c r="B12549" s="1" t="str">
        <f>"9781940325040"</f>
        <v>9781940325040</v>
      </c>
      <c r="C12549" s="1" t="s">
        <v>24869</v>
      </c>
      <c r="D12549" s="2">
        <v>41821</v>
      </c>
      <c r="E12549" s="1" t="s">
        <v>24872</v>
      </c>
      <c r="F12549" s="1" t="s">
        <v>19836</v>
      </c>
    </row>
    <row r="12550" spans="1:6" ht="30" customHeight="1" x14ac:dyDescent="0.25">
      <c r="A12550" s="1" t="s">
        <v>24873</v>
      </c>
      <c r="B12550" s="1" t="str">
        <f>"9781280116001"</f>
        <v>9781280116001</v>
      </c>
      <c r="C12550" s="1" t="s">
        <v>4887</v>
      </c>
      <c r="D12550" s="2">
        <v>37226</v>
      </c>
      <c r="E12550" s="1" t="s">
        <v>24874</v>
      </c>
      <c r="F12550" s="1" t="s">
        <v>1351</v>
      </c>
    </row>
    <row r="12551" spans="1:6" ht="30" customHeight="1" x14ac:dyDescent="0.25">
      <c r="A12551" s="1" t="s">
        <v>24875</v>
      </c>
      <c r="B12551" s="1" t="str">
        <f>"9781280060786"</f>
        <v>9781280060786</v>
      </c>
      <c r="C12551" s="1" t="s">
        <v>4887</v>
      </c>
      <c r="D12551" s="2">
        <v>37226</v>
      </c>
      <c r="E12551" s="1" t="s">
        <v>24876</v>
      </c>
      <c r="F12551" s="1" t="s">
        <v>70</v>
      </c>
    </row>
    <row r="12552" spans="1:6" ht="30" customHeight="1" x14ac:dyDescent="0.25">
      <c r="A12552" s="1" t="s">
        <v>24877</v>
      </c>
      <c r="B12552" s="1" t="str">
        <f>"9781280060823"</f>
        <v>9781280060823</v>
      </c>
      <c r="C12552" s="1" t="s">
        <v>4887</v>
      </c>
      <c r="D12552" s="2">
        <v>36861</v>
      </c>
      <c r="E12552" s="1" t="s">
        <v>1981</v>
      </c>
      <c r="F12552" s="1" t="s">
        <v>30</v>
      </c>
    </row>
    <row r="12553" spans="1:6" ht="30" customHeight="1" x14ac:dyDescent="0.25">
      <c r="A12553" s="1" t="s">
        <v>24878</v>
      </c>
      <c r="B12553" s="1" t="str">
        <f>""</f>
        <v/>
      </c>
      <c r="C12553" s="1" t="s">
        <v>4887</v>
      </c>
      <c r="D12553" s="2">
        <v>36557</v>
      </c>
      <c r="E12553" s="1" t="s">
        <v>24879</v>
      </c>
      <c r="F12553" s="1" t="s">
        <v>95</v>
      </c>
    </row>
    <row r="12554" spans="1:6" ht="30" customHeight="1" x14ac:dyDescent="0.25">
      <c r="A12554" s="1" t="s">
        <v>24880</v>
      </c>
      <c r="B12554" s="1" t="str">
        <f>"9781280060762"</f>
        <v>9781280060762</v>
      </c>
      <c r="C12554" s="1" t="s">
        <v>4887</v>
      </c>
      <c r="D12554" s="2">
        <v>36495</v>
      </c>
      <c r="E12554" s="1" t="s">
        <v>24881</v>
      </c>
      <c r="F12554" s="1" t="s">
        <v>13</v>
      </c>
    </row>
    <row r="12555" spans="1:6" ht="30" customHeight="1" x14ac:dyDescent="0.25">
      <c r="A12555" s="1" t="s">
        <v>24882</v>
      </c>
      <c r="B12555" s="1" t="str">
        <f>"9781280060779"</f>
        <v>9781280060779</v>
      </c>
      <c r="C12555" s="1" t="s">
        <v>4887</v>
      </c>
      <c r="D12555" s="2">
        <v>36861</v>
      </c>
      <c r="E12555" s="1" t="s">
        <v>1981</v>
      </c>
      <c r="F12555" s="1" t="s">
        <v>24036</v>
      </c>
    </row>
    <row r="12556" spans="1:6" ht="30" customHeight="1" x14ac:dyDescent="0.25">
      <c r="A12556" s="1" t="s">
        <v>24883</v>
      </c>
      <c r="B12556" s="1" t="str">
        <f>"9789289013765"</f>
        <v>9789289013765</v>
      </c>
      <c r="C12556" s="1" t="s">
        <v>4887</v>
      </c>
      <c r="D12556" s="2">
        <v>38607</v>
      </c>
      <c r="E12556" s="1" t="s">
        <v>19118</v>
      </c>
      <c r="F12556" s="1" t="s">
        <v>95</v>
      </c>
    </row>
    <row r="12557" spans="1:6" ht="30" customHeight="1" x14ac:dyDescent="0.25">
      <c r="A12557" s="1" t="s">
        <v>24884</v>
      </c>
      <c r="B12557" s="1" t="str">
        <f>""</f>
        <v/>
      </c>
      <c r="C12557" s="1" t="s">
        <v>1981</v>
      </c>
      <c r="D12557" s="2">
        <v>39052</v>
      </c>
      <c r="E12557" s="1" t="s">
        <v>1981</v>
      </c>
      <c r="F12557" s="1" t="s">
        <v>13</v>
      </c>
    </row>
    <row r="12558" spans="1:6" ht="30" customHeight="1" x14ac:dyDescent="0.25">
      <c r="A12558" s="1" t="s">
        <v>24885</v>
      </c>
      <c r="B12558" s="1" t="str">
        <f>"9780309545624"</f>
        <v>9780309545624</v>
      </c>
      <c r="C12558" s="1" t="s">
        <v>24886</v>
      </c>
      <c r="D12558" s="2">
        <v>38322</v>
      </c>
      <c r="E12558" s="1" t="s">
        <v>24887</v>
      </c>
      <c r="F12558" s="1" t="s">
        <v>13</v>
      </c>
    </row>
    <row r="12559" spans="1:6" ht="30" customHeight="1" x14ac:dyDescent="0.25">
      <c r="A12559" s="1" t="s">
        <v>24888</v>
      </c>
      <c r="B12559" s="1" t="str">
        <f>"9781610020381"</f>
        <v>9781610020381</v>
      </c>
      <c r="C12559" s="1" t="s">
        <v>9624</v>
      </c>
      <c r="D12559" s="2">
        <v>42384</v>
      </c>
      <c r="E12559" s="1" t="s">
        <v>24889</v>
      </c>
      <c r="F12559" s="1" t="s">
        <v>13</v>
      </c>
    </row>
    <row r="12560" spans="1:6" ht="30" customHeight="1" x14ac:dyDescent="0.25">
      <c r="A12560" s="1" t="s">
        <v>24890</v>
      </c>
      <c r="B12560" s="1" t="str">
        <f>"9781118867655"</f>
        <v>9781118867655</v>
      </c>
      <c r="C12560" s="1" t="s">
        <v>65</v>
      </c>
      <c r="D12560" s="2">
        <v>42394</v>
      </c>
      <c r="E12560" s="1" t="s">
        <v>24891</v>
      </c>
      <c r="F12560" s="1" t="s">
        <v>70</v>
      </c>
    </row>
    <row r="12561" spans="1:6" ht="30" customHeight="1" x14ac:dyDescent="0.25">
      <c r="A12561" s="1" t="s">
        <v>24892</v>
      </c>
      <c r="B12561" s="1" t="str">
        <f>"9781610447089"</f>
        <v>9781610447089</v>
      </c>
      <c r="C12561" s="1" t="s">
        <v>24893</v>
      </c>
      <c r="D12561" s="2">
        <v>40668</v>
      </c>
      <c r="E12561" s="1" t="s">
        <v>24894</v>
      </c>
      <c r="F12561" s="1" t="s">
        <v>30</v>
      </c>
    </row>
    <row r="12562" spans="1:6" ht="30" customHeight="1" x14ac:dyDescent="0.25">
      <c r="A12562" s="1" t="s">
        <v>24895</v>
      </c>
      <c r="B12562" s="1" t="str">
        <f>"9780309558600"</f>
        <v>9780309558600</v>
      </c>
      <c r="C12562" s="1" t="s">
        <v>20924</v>
      </c>
      <c r="D12562" s="2">
        <v>36495</v>
      </c>
      <c r="E12562" s="1" t="s">
        <v>24896</v>
      </c>
      <c r="F12562" s="1" t="s">
        <v>1469</v>
      </c>
    </row>
    <row r="12563" spans="1:6" ht="30" customHeight="1" x14ac:dyDescent="0.25">
      <c r="A12563" s="1" t="s">
        <v>24897</v>
      </c>
      <c r="B12563" s="1" t="str">
        <f>"9780309558297"</f>
        <v>9780309558297</v>
      </c>
      <c r="C12563" s="1" t="s">
        <v>20924</v>
      </c>
      <c r="D12563" s="2">
        <v>36495</v>
      </c>
      <c r="E12563" s="1" t="s">
        <v>24898</v>
      </c>
      <c r="F12563" s="1" t="s">
        <v>24899</v>
      </c>
    </row>
    <row r="12564" spans="1:6" ht="30" customHeight="1" x14ac:dyDescent="0.25">
      <c r="A12564" s="1" t="s">
        <v>24900</v>
      </c>
      <c r="B12564" s="1" t="str">
        <f>""</f>
        <v/>
      </c>
      <c r="C12564" s="1" t="s">
        <v>20924</v>
      </c>
      <c r="D12564" s="2">
        <v>35400</v>
      </c>
      <c r="E12564" s="1" t="s">
        <v>24901</v>
      </c>
      <c r="F12564" s="1" t="s">
        <v>148</v>
      </c>
    </row>
    <row r="12565" spans="1:6" ht="30" customHeight="1" x14ac:dyDescent="0.25">
      <c r="A12565" s="1" t="s">
        <v>24902</v>
      </c>
      <c r="B12565" s="1" t="str">
        <f>""</f>
        <v/>
      </c>
      <c r="C12565" s="1" t="s">
        <v>24886</v>
      </c>
      <c r="D12565" s="2">
        <v>37278</v>
      </c>
      <c r="E12565" s="1" t="s">
        <v>24903</v>
      </c>
      <c r="F12565" s="1" t="s">
        <v>148</v>
      </c>
    </row>
    <row r="12566" spans="1:6" ht="30" customHeight="1" x14ac:dyDescent="0.25">
      <c r="A12566" s="1" t="s">
        <v>24904</v>
      </c>
      <c r="B12566" s="1" t="str">
        <f>""</f>
        <v/>
      </c>
      <c r="C12566" s="1" t="s">
        <v>24886</v>
      </c>
      <c r="D12566" s="2">
        <v>36647</v>
      </c>
      <c r="E12566" s="1" t="s">
        <v>24905</v>
      </c>
      <c r="F12566" s="1" t="s">
        <v>13</v>
      </c>
    </row>
    <row r="12567" spans="1:6" ht="30" customHeight="1" x14ac:dyDescent="0.25">
      <c r="A12567" s="1" t="s">
        <v>24906</v>
      </c>
      <c r="B12567" s="1" t="str">
        <f>""</f>
        <v/>
      </c>
      <c r="C12567" s="1" t="s">
        <v>24886</v>
      </c>
      <c r="D12567" s="2">
        <v>37165</v>
      </c>
      <c r="E12567" s="1" t="s">
        <v>24907</v>
      </c>
      <c r="F12567" s="1" t="s">
        <v>13</v>
      </c>
    </row>
    <row r="12568" spans="1:6" ht="30" customHeight="1" x14ac:dyDescent="0.25">
      <c r="A12568" s="1" t="s">
        <v>24908</v>
      </c>
      <c r="B12568" s="1" t="str">
        <f>""</f>
        <v/>
      </c>
      <c r="C12568" s="1" t="s">
        <v>24886</v>
      </c>
      <c r="D12568" s="2">
        <v>37530</v>
      </c>
      <c r="E12568" s="1" t="s">
        <v>24909</v>
      </c>
      <c r="F12568" s="1" t="s">
        <v>13</v>
      </c>
    </row>
    <row r="12569" spans="1:6" ht="30" customHeight="1" x14ac:dyDescent="0.25">
      <c r="A12569" s="1" t="s">
        <v>24910</v>
      </c>
      <c r="B12569" s="1" t="str">
        <f>"9780309659826"</f>
        <v>9780309659826</v>
      </c>
      <c r="C12569" s="1" t="s">
        <v>24886</v>
      </c>
      <c r="D12569" s="2">
        <v>38687</v>
      </c>
      <c r="E12569" s="1" t="s">
        <v>24911</v>
      </c>
      <c r="F12569" s="1" t="s">
        <v>30</v>
      </c>
    </row>
    <row r="12570" spans="1:6" ht="30" customHeight="1" x14ac:dyDescent="0.25">
      <c r="A12570" s="1" t="s">
        <v>24912</v>
      </c>
      <c r="B12570" s="1" t="str">
        <f>""</f>
        <v/>
      </c>
      <c r="C12570" s="1" t="s">
        <v>24913</v>
      </c>
      <c r="D12570" s="2">
        <v>38442</v>
      </c>
      <c r="E12570" s="1" t="s">
        <v>24914</v>
      </c>
      <c r="F12570" s="1" t="s">
        <v>205</v>
      </c>
    </row>
    <row r="12571" spans="1:6" ht="30" customHeight="1" x14ac:dyDescent="0.25">
      <c r="A12571" s="1" t="s">
        <v>24915</v>
      </c>
      <c r="B12571" s="1" t="str">
        <f>""</f>
        <v/>
      </c>
      <c r="C12571" s="1" t="s">
        <v>24916</v>
      </c>
      <c r="D12571" s="2">
        <v>37500</v>
      </c>
      <c r="E12571" s="1" t="s">
        <v>24917</v>
      </c>
      <c r="F12571" s="1" t="s">
        <v>13</v>
      </c>
    </row>
    <row r="12572" spans="1:6" ht="30" customHeight="1" x14ac:dyDescent="0.25">
      <c r="A12572" s="1" t="s">
        <v>24918</v>
      </c>
      <c r="B12572" s="1" t="str">
        <f>""</f>
        <v/>
      </c>
      <c r="C12572" s="1" t="s">
        <v>24526</v>
      </c>
      <c r="D12572" s="2">
        <v>36982</v>
      </c>
      <c r="E12572" s="1" t="s">
        <v>24527</v>
      </c>
      <c r="F12572" s="1" t="s">
        <v>13</v>
      </c>
    </row>
    <row r="12573" spans="1:6" ht="30" customHeight="1" x14ac:dyDescent="0.25">
      <c r="A12573" s="1" t="s">
        <v>24919</v>
      </c>
      <c r="B12573" s="1" t="str">
        <f>""</f>
        <v/>
      </c>
      <c r="C12573" s="1" t="s">
        <v>24526</v>
      </c>
      <c r="D12573" s="2">
        <v>36892</v>
      </c>
      <c r="E12573" s="1" t="s">
        <v>24527</v>
      </c>
      <c r="F12573" s="1" t="s">
        <v>13</v>
      </c>
    </row>
    <row r="12574" spans="1:6" ht="30" customHeight="1" x14ac:dyDescent="0.25">
      <c r="A12574" s="1" t="s">
        <v>24920</v>
      </c>
      <c r="B12574" s="1" t="str">
        <f>"9781903737071"</f>
        <v>9781903737071</v>
      </c>
      <c r="C12574" s="1" t="s">
        <v>24526</v>
      </c>
      <c r="D12574" s="2">
        <v>37622</v>
      </c>
      <c r="E12574" s="1" t="s">
        <v>24527</v>
      </c>
      <c r="F12574" s="1" t="s">
        <v>13</v>
      </c>
    </row>
    <row r="12575" spans="1:6" ht="30" customHeight="1" x14ac:dyDescent="0.25">
      <c r="A12575" s="1" t="s">
        <v>24921</v>
      </c>
      <c r="B12575" s="1" t="str">
        <f>""</f>
        <v/>
      </c>
      <c r="C12575" s="1" t="s">
        <v>24526</v>
      </c>
      <c r="D12575" s="2">
        <v>36892</v>
      </c>
      <c r="E12575" s="1" t="s">
        <v>24527</v>
      </c>
      <c r="F12575" s="1" t="s">
        <v>13</v>
      </c>
    </row>
    <row r="12576" spans="1:6" ht="30" customHeight="1" x14ac:dyDescent="0.25">
      <c r="A12576" s="1" t="s">
        <v>24922</v>
      </c>
      <c r="B12576" s="1" t="str">
        <f>""</f>
        <v/>
      </c>
      <c r="C12576" s="1" t="s">
        <v>24526</v>
      </c>
      <c r="D12576" s="2">
        <v>37712</v>
      </c>
      <c r="E12576" s="1" t="s">
        <v>24923</v>
      </c>
      <c r="F12576" s="1" t="s">
        <v>13</v>
      </c>
    </row>
    <row r="12577" spans="1:6" ht="30" customHeight="1" x14ac:dyDescent="0.25">
      <c r="A12577" s="1" t="s">
        <v>24924</v>
      </c>
      <c r="B12577" s="1" t="str">
        <f>""</f>
        <v/>
      </c>
      <c r="C12577" s="1" t="s">
        <v>24925</v>
      </c>
      <c r="D12577" s="2">
        <v>39052</v>
      </c>
      <c r="E12577" s="1" t="s">
        <v>24925</v>
      </c>
      <c r="F12577" s="1" t="s">
        <v>268</v>
      </c>
    </row>
    <row r="12578" spans="1:6" ht="30" customHeight="1" x14ac:dyDescent="0.25">
      <c r="A12578" s="1" t="s">
        <v>24926</v>
      </c>
      <c r="B12578" s="1" t="str">
        <f>""</f>
        <v/>
      </c>
      <c r="C12578" s="1" t="s">
        <v>2116</v>
      </c>
      <c r="D12578" s="2">
        <v>37591</v>
      </c>
      <c r="E12578" s="1" t="s">
        <v>24927</v>
      </c>
      <c r="F12578" s="1" t="s">
        <v>356</v>
      </c>
    </row>
    <row r="12579" spans="1:6" ht="30" customHeight="1" x14ac:dyDescent="0.25">
      <c r="A12579" s="1" t="s">
        <v>24928</v>
      </c>
      <c r="B12579" s="1" t="str">
        <f>""</f>
        <v/>
      </c>
      <c r="C12579" s="1" t="s">
        <v>2116</v>
      </c>
      <c r="D12579" s="2">
        <v>37591</v>
      </c>
      <c r="E12579" s="1" t="s">
        <v>24929</v>
      </c>
      <c r="F12579" s="1" t="s">
        <v>176</v>
      </c>
    </row>
    <row r="12580" spans="1:6" ht="30" customHeight="1" x14ac:dyDescent="0.25">
      <c r="A12580" s="1" t="s">
        <v>24930</v>
      </c>
      <c r="B12580" s="1" t="str">
        <f>"9789291734108"</f>
        <v>9789291734108</v>
      </c>
      <c r="C12580" s="1" t="s">
        <v>2116</v>
      </c>
      <c r="D12580" s="2">
        <v>38579</v>
      </c>
      <c r="E12580" s="1" t="s">
        <v>19118</v>
      </c>
      <c r="F12580" s="1" t="s">
        <v>114</v>
      </c>
    </row>
    <row r="12581" spans="1:6" ht="30" customHeight="1" x14ac:dyDescent="0.25">
      <c r="A12581" s="1" t="s">
        <v>24931</v>
      </c>
      <c r="B12581" s="1" t="str">
        <f>"9789291734009"</f>
        <v>9789291734009</v>
      </c>
      <c r="C12581" s="1" t="s">
        <v>2116</v>
      </c>
      <c r="D12581" s="2">
        <v>38564</v>
      </c>
      <c r="E12581" s="1" t="s">
        <v>24932</v>
      </c>
      <c r="F12581" s="1" t="s">
        <v>95</v>
      </c>
    </row>
    <row r="12582" spans="1:6" ht="30" customHeight="1" x14ac:dyDescent="0.25">
      <c r="A12582" s="1" t="s">
        <v>24933</v>
      </c>
      <c r="B12582" s="1" t="str">
        <f>"9781119011279"</f>
        <v>9781119011279</v>
      </c>
      <c r="C12582" s="1" t="s">
        <v>65</v>
      </c>
      <c r="D12582" s="2">
        <v>42401</v>
      </c>
      <c r="E12582" s="1" t="s">
        <v>24934</v>
      </c>
      <c r="F12582" s="1" t="s">
        <v>24935</v>
      </c>
    </row>
    <row r="12583" spans="1:6" ht="30" customHeight="1" x14ac:dyDescent="0.25">
      <c r="A12583" s="1" t="s">
        <v>24936</v>
      </c>
      <c r="B12583" s="1" t="str">
        <f>"9781118654743"</f>
        <v>9781118654743</v>
      </c>
      <c r="C12583" s="1" t="s">
        <v>65</v>
      </c>
      <c r="D12583" s="2">
        <v>42402</v>
      </c>
      <c r="E12583" s="1" t="s">
        <v>24937</v>
      </c>
      <c r="F12583" s="1" t="s">
        <v>30</v>
      </c>
    </row>
    <row r="12584" spans="1:6" ht="30" customHeight="1" x14ac:dyDescent="0.25">
      <c r="A12584" s="1" t="s">
        <v>24938</v>
      </c>
      <c r="B12584" s="1" t="str">
        <f>"9783732997855"</f>
        <v>9783732997855</v>
      </c>
      <c r="C12584" s="1" t="s">
        <v>18922</v>
      </c>
      <c r="D12584" s="2">
        <v>42400</v>
      </c>
      <c r="E12584" s="1" t="s">
        <v>24939</v>
      </c>
      <c r="F12584" s="1" t="s">
        <v>13</v>
      </c>
    </row>
    <row r="12585" spans="1:6" ht="30" customHeight="1" x14ac:dyDescent="0.25">
      <c r="A12585" s="1" t="s">
        <v>24940</v>
      </c>
      <c r="B12585" s="1" t="str">
        <f>"9781452949819"</f>
        <v>9781452949819</v>
      </c>
      <c r="C12585" s="1" t="s">
        <v>3458</v>
      </c>
      <c r="D12585" s="2">
        <v>42339</v>
      </c>
      <c r="E12585" s="1" t="s">
        <v>24941</v>
      </c>
      <c r="F12585" s="1" t="s">
        <v>13</v>
      </c>
    </row>
    <row r="12586" spans="1:6" ht="30" customHeight="1" x14ac:dyDescent="0.25">
      <c r="A12586" s="1" t="s">
        <v>24942</v>
      </c>
      <c r="B12586" s="1" t="str">
        <f>"9780309316200"</f>
        <v>9780309316200</v>
      </c>
      <c r="C12586" s="1" t="s">
        <v>20924</v>
      </c>
      <c r="D12586" s="2">
        <v>42287</v>
      </c>
      <c r="E12586" s="1" t="s">
        <v>24943</v>
      </c>
      <c r="F12586" s="1" t="s">
        <v>158</v>
      </c>
    </row>
    <row r="12587" spans="1:6" ht="30" customHeight="1" x14ac:dyDescent="0.25">
      <c r="A12587" s="1" t="s">
        <v>24944</v>
      </c>
      <c r="B12587" s="1" t="str">
        <f>"9780309324946"</f>
        <v>9780309324946</v>
      </c>
      <c r="C12587" s="1" t="s">
        <v>20924</v>
      </c>
      <c r="D12587" s="2">
        <v>42273</v>
      </c>
      <c r="E12587" s="1" t="s">
        <v>24945</v>
      </c>
      <c r="F12587" s="1" t="s">
        <v>30</v>
      </c>
    </row>
    <row r="12588" spans="1:6" ht="30" customHeight="1" x14ac:dyDescent="0.25">
      <c r="A12588" s="1" t="s">
        <v>24946</v>
      </c>
      <c r="B12588" s="1" t="str">
        <f>"9780309368759"</f>
        <v>9780309368759</v>
      </c>
      <c r="C12588" s="1" t="s">
        <v>20924</v>
      </c>
      <c r="D12588" s="2">
        <v>42273</v>
      </c>
      <c r="E12588" s="1" t="s">
        <v>24947</v>
      </c>
      <c r="F12588" s="1" t="s">
        <v>3803</v>
      </c>
    </row>
    <row r="12589" spans="1:6" ht="30" customHeight="1" x14ac:dyDescent="0.25">
      <c r="A12589" s="1" t="s">
        <v>24948</v>
      </c>
      <c r="B12589" s="1" t="str">
        <f>"9781909030381"</f>
        <v>9781909030381</v>
      </c>
      <c r="C12589" s="1" t="s">
        <v>14201</v>
      </c>
      <c r="D12589" s="2">
        <v>34973</v>
      </c>
      <c r="E12589" s="1" t="s">
        <v>24949</v>
      </c>
      <c r="F12589" s="1" t="s">
        <v>13</v>
      </c>
    </row>
    <row r="12590" spans="1:6" ht="30" customHeight="1" x14ac:dyDescent="0.25">
      <c r="A12590" s="1" t="s">
        <v>24950</v>
      </c>
      <c r="B12590" s="1" t="str">
        <f>"9788024630816"</f>
        <v>9788024630816</v>
      </c>
      <c r="C12590" s="1" t="s">
        <v>16517</v>
      </c>
      <c r="D12590" s="2">
        <v>41548</v>
      </c>
      <c r="E12590" s="1" t="s">
        <v>24951</v>
      </c>
      <c r="F12590" s="1" t="s">
        <v>13</v>
      </c>
    </row>
    <row r="12591" spans="1:6" ht="30" customHeight="1" x14ac:dyDescent="0.25">
      <c r="A12591" s="1" t="s">
        <v>24952</v>
      </c>
      <c r="B12591" s="1" t="str">
        <f>"9788024628370"</f>
        <v>9788024628370</v>
      </c>
      <c r="C12591" s="1" t="s">
        <v>16517</v>
      </c>
      <c r="D12591" s="2">
        <v>42036</v>
      </c>
      <c r="E12591" s="1" t="s">
        <v>24953</v>
      </c>
      <c r="F12591" s="1" t="s">
        <v>3696</v>
      </c>
    </row>
    <row r="12592" spans="1:6" ht="30" customHeight="1" x14ac:dyDescent="0.25">
      <c r="A12592" s="1" t="s">
        <v>24954</v>
      </c>
      <c r="B12592" s="1" t="str">
        <f>"9780773597747"</f>
        <v>9780773597747</v>
      </c>
      <c r="C12592" s="1" t="s">
        <v>20580</v>
      </c>
      <c r="D12592" s="2">
        <v>42332</v>
      </c>
      <c r="E12592" s="1" t="s">
        <v>24955</v>
      </c>
      <c r="F12592" s="1" t="s">
        <v>13</v>
      </c>
    </row>
    <row r="12593" spans="1:6" ht="30" customHeight="1" x14ac:dyDescent="0.25">
      <c r="A12593" s="1" t="s">
        <v>24956</v>
      </c>
      <c r="B12593" s="1" t="str">
        <f>"9781597568821"</f>
        <v>9781597568821</v>
      </c>
      <c r="C12593" s="1" t="s">
        <v>15933</v>
      </c>
      <c r="D12593" s="2">
        <v>42217</v>
      </c>
      <c r="E12593" s="1" t="s">
        <v>24957</v>
      </c>
      <c r="F12593" s="1" t="s">
        <v>13</v>
      </c>
    </row>
    <row r="12594" spans="1:6" ht="30" customHeight="1" x14ac:dyDescent="0.25">
      <c r="A12594" s="1" t="s">
        <v>24958</v>
      </c>
      <c r="B12594" s="1" t="str">
        <f>"9781597568852"</f>
        <v>9781597568852</v>
      </c>
      <c r="C12594" s="1" t="s">
        <v>15933</v>
      </c>
      <c r="D12594" s="2">
        <v>41698</v>
      </c>
      <c r="E12594" s="1" t="s">
        <v>24959</v>
      </c>
      <c r="F12594" s="1" t="s">
        <v>13</v>
      </c>
    </row>
    <row r="12595" spans="1:6" ht="30" customHeight="1" x14ac:dyDescent="0.25">
      <c r="A12595" s="1" t="s">
        <v>24960</v>
      </c>
      <c r="B12595" s="1" t="str">
        <f>"9781940446486"</f>
        <v>9781940446486</v>
      </c>
      <c r="C12595" s="1" t="s">
        <v>23057</v>
      </c>
      <c r="D12595" s="2">
        <v>42382</v>
      </c>
      <c r="E12595" s="1" t="s">
        <v>24961</v>
      </c>
      <c r="F12595" s="1" t="s">
        <v>13</v>
      </c>
    </row>
    <row r="12596" spans="1:6" ht="30" customHeight="1" x14ac:dyDescent="0.25">
      <c r="A12596" s="1" t="s">
        <v>24962</v>
      </c>
      <c r="B12596" s="1" t="str">
        <f>"9781940446523"</f>
        <v>9781940446523</v>
      </c>
      <c r="C12596" s="1" t="s">
        <v>23057</v>
      </c>
      <c r="D12596" s="2">
        <v>42312</v>
      </c>
      <c r="E12596" s="1" t="s">
        <v>24963</v>
      </c>
      <c r="F12596" s="1" t="s">
        <v>132</v>
      </c>
    </row>
    <row r="12597" spans="1:6" ht="30" customHeight="1" x14ac:dyDescent="0.25">
      <c r="A12597" s="1" t="s">
        <v>24964</v>
      </c>
      <c r="B12597" s="1" t="str">
        <f>"9781597568869"</f>
        <v>9781597568869</v>
      </c>
      <c r="C12597" s="1" t="s">
        <v>16043</v>
      </c>
      <c r="D12597" s="2">
        <v>42093</v>
      </c>
      <c r="E12597" s="1" t="s">
        <v>24965</v>
      </c>
      <c r="F12597" s="1" t="s">
        <v>13</v>
      </c>
    </row>
    <row r="12598" spans="1:6" ht="30" customHeight="1" x14ac:dyDescent="0.25">
      <c r="A12598" s="1" t="s">
        <v>24966</v>
      </c>
      <c r="B12598" s="1" t="str">
        <f>"9781597569378"</f>
        <v>9781597569378</v>
      </c>
      <c r="C12598" s="1" t="s">
        <v>16043</v>
      </c>
      <c r="D12598" s="2">
        <v>42124</v>
      </c>
      <c r="E12598" s="1" t="s">
        <v>24967</v>
      </c>
      <c r="F12598" s="1" t="s">
        <v>13</v>
      </c>
    </row>
    <row r="12599" spans="1:6" ht="30" customHeight="1" x14ac:dyDescent="0.25">
      <c r="A12599" s="1" t="s">
        <v>24968</v>
      </c>
      <c r="B12599" s="1" t="str">
        <f>"9781438458878"</f>
        <v>9781438458878</v>
      </c>
      <c r="C12599" s="1" t="s">
        <v>23447</v>
      </c>
      <c r="D12599" s="2">
        <v>42248</v>
      </c>
      <c r="E12599" s="1" t="s">
        <v>24969</v>
      </c>
      <c r="F12599" s="1" t="s">
        <v>599</v>
      </c>
    </row>
    <row r="12600" spans="1:6" ht="30" customHeight="1" x14ac:dyDescent="0.25">
      <c r="A12600" s="1" t="s">
        <v>24970</v>
      </c>
      <c r="B12600" s="1" t="str">
        <f>"9781464806117"</f>
        <v>9781464806117</v>
      </c>
      <c r="C12600" s="1" t="s">
        <v>6702</v>
      </c>
      <c r="D12600" s="2">
        <v>42272</v>
      </c>
      <c r="E12600" s="1" t="s">
        <v>24971</v>
      </c>
      <c r="F12600" s="1" t="s">
        <v>95</v>
      </c>
    </row>
    <row r="12601" spans="1:6" ht="30" customHeight="1" x14ac:dyDescent="0.25">
      <c r="A12601" s="1" t="s">
        <v>24972</v>
      </c>
      <c r="B12601" s="1" t="str">
        <f>"9781581109344"</f>
        <v>9781581109344</v>
      </c>
      <c r="C12601" s="1" t="s">
        <v>9624</v>
      </c>
      <c r="D12601" s="2">
        <v>42234</v>
      </c>
      <c r="E12601" s="1" t="s">
        <v>24973</v>
      </c>
      <c r="F12601" s="1" t="s">
        <v>13</v>
      </c>
    </row>
    <row r="12602" spans="1:6" ht="30" customHeight="1" x14ac:dyDescent="0.25">
      <c r="A12602" s="1" t="s">
        <v>24974</v>
      </c>
      <c r="B12602" s="1" t="str">
        <f>"9781581109597"</f>
        <v>9781581109597</v>
      </c>
      <c r="C12602" s="1" t="s">
        <v>9624</v>
      </c>
      <c r="D12602" s="2">
        <v>42310</v>
      </c>
      <c r="E12602" s="1" t="s">
        <v>12652</v>
      </c>
      <c r="F12602" s="1" t="s">
        <v>13</v>
      </c>
    </row>
    <row r="12603" spans="1:6" ht="30" customHeight="1" x14ac:dyDescent="0.25">
      <c r="A12603" s="1" t="s">
        <v>24975</v>
      </c>
      <c r="B12603" s="1" t="str">
        <f>"9781581109689"</f>
        <v>9781581109689</v>
      </c>
      <c r="C12603" s="1" t="s">
        <v>9624</v>
      </c>
      <c r="D12603" s="2">
        <v>42338</v>
      </c>
      <c r="E12603" s="1" t="s">
        <v>24976</v>
      </c>
      <c r="F12603" s="1" t="s">
        <v>13</v>
      </c>
    </row>
    <row r="12604" spans="1:6" ht="30" customHeight="1" x14ac:dyDescent="0.25">
      <c r="A12604" s="1" t="s">
        <v>24977</v>
      </c>
      <c r="B12604" s="1" t="str">
        <f>"9781581109726"</f>
        <v>9781581109726</v>
      </c>
      <c r="C12604" s="1" t="s">
        <v>9624</v>
      </c>
      <c r="D12604" s="2">
        <v>42298</v>
      </c>
      <c r="E12604" s="1" t="s">
        <v>24978</v>
      </c>
      <c r="F12604" s="1" t="s">
        <v>13</v>
      </c>
    </row>
    <row r="12605" spans="1:6" ht="30" customHeight="1" x14ac:dyDescent="0.25">
      <c r="A12605" s="1" t="s">
        <v>24979</v>
      </c>
      <c r="B12605" s="1" t="str">
        <f>"9781464806995"</f>
        <v>9781464806995</v>
      </c>
      <c r="C12605" s="1" t="s">
        <v>6702</v>
      </c>
      <c r="D12605" s="2">
        <v>42317</v>
      </c>
      <c r="E12605" s="1" t="s">
        <v>24980</v>
      </c>
      <c r="F12605" s="1" t="s">
        <v>70</v>
      </c>
    </row>
    <row r="12606" spans="1:6" ht="30" customHeight="1" x14ac:dyDescent="0.25">
      <c r="A12606" s="1" t="s">
        <v>24981</v>
      </c>
      <c r="B12606" s="1" t="str">
        <f>"9780801898471"</f>
        <v>9780801898471</v>
      </c>
      <c r="C12606" s="1" t="s">
        <v>20186</v>
      </c>
      <c r="D12606" s="2">
        <v>40513</v>
      </c>
      <c r="E12606" s="1" t="s">
        <v>24982</v>
      </c>
      <c r="F12606" s="1" t="s">
        <v>95</v>
      </c>
    </row>
    <row r="12607" spans="1:6" ht="30" customHeight="1" x14ac:dyDescent="0.25">
      <c r="A12607" s="1" t="s">
        <v>24983</v>
      </c>
      <c r="B12607" s="1" t="str">
        <f>"9780801899157"</f>
        <v>9780801899157</v>
      </c>
      <c r="C12607" s="1" t="s">
        <v>20186</v>
      </c>
      <c r="D12607" s="2">
        <v>40541</v>
      </c>
      <c r="E12607" s="1" t="s">
        <v>8065</v>
      </c>
      <c r="F12607" s="1" t="s">
        <v>13</v>
      </c>
    </row>
    <row r="12608" spans="1:6" ht="30" customHeight="1" x14ac:dyDescent="0.25">
      <c r="A12608" s="1" t="s">
        <v>24984</v>
      </c>
      <c r="B12608" s="1" t="str">
        <f>"9780801899607"</f>
        <v>9780801899607</v>
      </c>
      <c r="C12608" s="1" t="s">
        <v>20186</v>
      </c>
      <c r="D12608" s="2">
        <v>40541</v>
      </c>
      <c r="E12608" s="1" t="s">
        <v>24985</v>
      </c>
      <c r="F12608" s="1" t="s">
        <v>13</v>
      </c>
    </row>
    <row r="12609" spans="1:6" ht="30" customHeight="1" x14ac:dyDescent="0.25">
      <c r="A12609" s="1" t="s">
        <v>24986</v>
      </c>
      <c r="B12609" s="1" t="str">
        <f>"9780801899799"</f>
        <v>9780801899799</v>
      </c>
      <c r="C12609" s="1" t="s">
        <v>20186</v>
      </c>
      <c r="D12609" s="2">
        <v>40664</v>
      </c>
      <c r="E12609" s="1" t="s">
        <v>23674</v>
      </c>
      <c r="F12609" s="1" t="s">
        <v>13</v>
      </c>
    </row>
    <row r="12610" spans="1:6" ht="30" customHeight="1" x14ac:dyDescent="0.25">
      <c r="A12610" s="1" t="s">
        <v>24987</v>
      </c>
      <c r="B12610" s="1" t="str">
        <f>"9781421400501"</f>
        <v>9781421400501</v>
      </c>
      <c r="C12610" s="1" t="s">
        <v>20186</v>
      </c>
      <c r="D12610" s="2">
        <v>40541</v>
      </c>
      <c r="E12610" s="1" t="s">
        <v>24988</v>
      </c>
      <c r="F12610" s="1" t="s">
        <v>30</v>
      </c>
    </row>
    <row r="12611" spans="1:6" ht="30" customHeight="1" x14ac:dyDescent="0.25">
      <c r="A12611" s="1" t="s">
        <v>24989</v>
      </c>
      <c r="B12611" s="1" t="str">
        <f>"9781421400754"</f>
        <v>9781421400754</v>
      </c>
      <c r="C12611" s="1" t="s">
        <v>20186</v>
      </c>
      <c r="D12611" s="2">
        <v>40452</v>
      </c>
      <c r="E12611" s="1" t="s">
        <v>24990</v>
      </c>
      <c r="F12611" s="1" t="s">
        <v>104</v>
      </c>
    </row>
    <row r="12612" spans="1:6" ht="30" customHeight="1" x14ac:dyDescent="0.25">
      <c r="A12612" s="1" t="s">
        <v>24991</v>
      </c>
      <c r="B12612" s="1" t="str">
        <f>"9781421400914"</f>
        <v>9781421400914</v>
      </c>
      <c r="C12612" s="1" t="s">
        <v>20186</v>
      </c>
      <c r="D12612" s="2">
        <v>40697</v>
      </c>
      <c r="E12612" s="1" t="s">
        <v>24992</v>
      </c>
      <c r="F12612" s="1" t="s">
        <v>95</v>
      </c>
    </row>
    <row r="12613" spans="1:6" ht="30" customHeight="1" x14ac:dyDescent="0.25">
      <c r="A12613" s="1" t="s">
        <v>24993</v>
      </c>
      <c r="B12613" s="1" t="str">
        <f>"9781421400990"</f>
        <v>9781421400990</v>
      </c>
      <c r="C12613" s="1" t="s">
        <v>20186</v>
      </c>
      <c r="D12613" s="2">
        <v>40452</v>
      </c>
      <c r="E12613" s="1" t="s">
        <v>24994</v>
      </c>
      <c r="F12613" s="1" t="s">
        <v>2078</v>
      </c>
    </row>
    <row r="12614" spans="1:6" ht="30" customHeight="1" x14ac:dyDescent="0.25">
      <c r="A12614" s="1" t="s">
        <v>24995</v>
      </c>
      <c r="B12614" s="1" t="str">
        <f>"9781421401027"</f>
        <v>9781421401027</v>
      </c>
      <c r="C12614" s="1" t="s">
        <v>20186</v>
      </c>
      <c r="D12614" s="2">
        <v>40541</v>
      </c>
      <c r="E12614" s="1" t="s">
        <v>24996</v>
      </c>
      <c r="F12614" s="1" t="s">
        <v>13</v>
      </c>
    </row>
    <row r="12615" spans="1:6" ht="30" customHeight="1" x14ac:dyDescent="0.25">
      <c r="A12615" s="1" t="s">
        <v>24997</v>
      </c>
      <c r="B12615" s="1" t="str">
        <f>"9781421401058"</f>
        <v>9781421401058</v>
      </c>
      <c r="C12615" s="1" t="s">
        <v>20186</v>
      </c>
      <c r="D12615" s="2">
        <v>40602</v>
      </c>
      <c r="E12615" s="1" t="s">
        <v>24998</v>
      </c>
      <c r="F12615" s="1" t="s">
        <v>176</v>
      </c>
    </row>
    <row r="12616" spans="1:6" ht="30" customHeight="1" x14ac:dyDescent="0.25">
      <c r="A12616" s="1" t="s">
        <v>24999</v>
      </c>
      <c r="B12616" s="1" t="str">
        <f>"9781421402086"</f>
        <v>9781421402086</v>
      </c>
      <c r="C12616" s="1" t="s">
        <v>20186</v>
      </c>
      <c r="D12616" s="2">
        <v>40541</v>
      </c>
      <c r="E12616" s="1" t="s">
        <v>25000</v>
      </c>
      <c r="F12616" s="1" t="s">
        <v>13</v>
      </c>
    </row>
    <row r="12617" spans="1:6" ht="30" customHeight="1" x14ac:dyDescent="0.25">
      <c r="A12617" s="1" t="s">
        <v>25001</v>
      </c>
      <c r="B12617" s="1" t="str">
        <f>"9781421402765"</f>
        <v>9781421402765</v>
      </c>
      <c r="C12617" s="1" t="s">
        <v>20186</v>
      </c>
      <c r="D12617" s="2">
        <v>40541</v>
      </c>
      <c r="E12617" s="1" t="s">
        <v>25002</v>
      </c>
      <c r="F12617" s="1" t="s">
        <v>13</v>
      </c>
    </row>
    <row r="12618" spans="1:6" ht="30" customHeight="1" x14ac:dyDescent="0.25">
      <c r="A12618" s="1" t="s">
        <v>25003</v>
      </c>
      <c r="B12618" s="1" t="str">
        <f>"9781421402925"</f>
        <v>9781421402925</v>
      </c>
      <c r="C12618" s="1" t="s">
        <v>20186</v>
      </c>
      <c r="D12618" s="2">
        <v>40541</v>
      </c>
      <c r="E12618" s="1" t="s">
        <v>6535</v>
      </c>
      <c r="F12618" s="1" t="s">
        <v>13</v>
      </c>
    </row>
    <row r="12619" spans="1:6" ht="30" customHeight="1" x14ac:dyDescent="0.25">
      <c r="A12619" s="1" t="s">
        <v>25004</v>
      </c>
      <c r="B12619" s="1" t="str">
        <f>"9781421403236"</f>
        <v>9781421403236</v>
      </c>
      <c r="C12619" s="1" t="s">
        <v>20186</v>
      </c>
      <c r="D12619" s="2">
        <v>40550</v>
      </c>
      <c r="E12619" s="1" t="s">
        <v>25005</v>
      </c>
      <c r="F12619" s="1" t="s">
        <v>13</v>
      </c>
    </row>
    <row r="12620" spans="1:6" ht="30" customHeight="1" x14ac:dyDescent="0.25">
      <c r="A12620" s="1" t="s">
        <v>25006</v>
      </c>
      <c r="B12620" s="1" t="str">
        <f>"9781421404059"</f>
        <v>9781421404059</v>
      </c>
      <c r="C12620" s="1" t="s">
        <v>20186</v>
      </c>
      <c r="D12620" s="2">
        <v>41108</v>
      </c>
      <c r="E12620" s="1" t="s">
        <v>25007</v>
      </c>
      <c r="F12620" s="1" t="s">
        <v>95</v>
      </c>
    </row>
    <row r="12621" spans="1:6" ht="30" customHeight="1" x14ac:dyDescent="0.25">
      <c r="A12621" s="1" t="s">
        <v>25008</v>
      </c>
      <c r="B12621" s="1" t="str">
        <f>"9781421419121"</f>
        <v>9781421419121</v>
      </c>
      <c r="C12621" s="1" t="s">
        <v>20186</v>
      </c>
      <c r="D12621" s="2">
        <v>42284</v>
      </c>
      <c r="E12621" s="1" t="s">
        <v>25009</v>
      </c>
      <c r="F12621" s="1" t="s">
        <v>13</v>
      </c>
    </row>
    <row r="12622" spans="1:6" ht="30" customHeight="1" x14ac:dyDescent="0.25">
      <c r="A12622" s="1" t="s">
        <v>25010</v>
      </c>
      <c r="B12622" s="1" t="str">
        <f>"9781421418537"</f>
        <v>9781421418537</v>
      </c>
      <c r="C12622" s="1" t="s">
        <v>2339</v>
      </c>
      <c r="D12622" s="2">
        <v>42411</v>
      </c>
      <c r="E12622" s="1" t="s">
        <v>25011</v>
      </c>
      <c r="F12622" s="1" t="s">
        <v>13</v>
      </c>
    </row>
    <row r="12623" spans="1:6" ht="30" customHeight="1" x14ac:dyDescent="0.25">
      <c r="A12623" s="1" t="s">
        <v>25012</v>
      </c>
      <c r="B12623" s="1" t="str">
        <f>"9781421418872"</f>
        <v>9781421418872</v>
      </c>
      <c r="C12623" s="1" t="s">
        <v>20186</v>
      </c>
      <c r="D12623" s="2">
        <v>42381</v>
      </c>
      <c r="E12623" s="1" t="s">
        <v>25013</v>
      </c>
      <c r="F12623" s="1" t="s">
        <v>95</v>
      </c>
    </row>
    <row r="12624" spans="1:6" ht="30" customHeight="1" x14ac:dyDescent="0.25">
      <c r="A12624" s="1" t="s">
        <v>25014</v>
      </c>
      <c r="B12624" s="1" t="str">
        <f>"9780821445341"</f>
        <v>9780821445341</v>
      </c>
      <c r="C12624" s="1" t="s">
        <v>15419</v>
      </c>
      <c r="D12624" s="2">
        <v>42317</v>
      </c>
      <c r="E12624" s="1" t="s">
        <v>25015</v>
      </c>
      <c r="F12624" s="1" t="s">
        <v>13</v>
      </c>
    </row>
    <row r="12625" spans="1:6" ht="30" customHeight="1" x14ac:dyDescent="0.25">
      <c r="A12625" s="1" t="s">
        <v>25016</v>
      </c>
      <c r="B12625" s="1" t="str">
        <f>"9780826171924"</f>
        <v>9780826171924</v>
      </c>
      <c r="C12625" s="1" t="s">
        <v>2339</v>
      </c>
      <c r="D12625" s="2">
        <v>42457</v>
      </c>
      <c r="E12625" s="1" t="s">
        <v>25017</v>
      </c>
      <c r="F12625" s="1" t="s">
        <v>126</v>
      </c>
    </row>
    <row r="12626" spans="1:6" ht="30" customHeight="1" x14ac:dyDescent="0.25">
      <c r="A12626" s="1" t="s">
        <v>25018</v>
      </c>
      <c r="B12626" s="1" t="str">
        <f>"9781464806179"</f>
        <v>9781464806179</v>
      </c>
      <c r="C12626" s="1" t="s">
        <v>6702</v>
      </c>
      <c r="D12626" s="2">
        <v>42291</v>
      </c>
      <c r="E12626" s="1" t="s">
        <v>25019</v>
      </c>
      <c r="F12626" s="1" t="s">
        <v>95</v>
      </c>
    </row>
    <row r="12627" spans="1:6" ht="30" customHeight="1" x14ac:dyDescent="0.25">
      <c r="A12627" s="1" t="s">
        <v>25020</v>
      </c>
      <c r="B12627" s="1" t="str">
        <f>"9781119171898"</f>
        <v>9781119171898</v>
      </c>
      <c r="C12627" s="1" t="s">
        <v>65</v>
      </c>
      <c r="D12627" s="2">
        <v>42408</v>
      </c>
      <c r="E12627" s="1" t="s">
        <v>25021</v>
      </c>
      <c r="F12627" s="1" t="s">
        <v>95</v>
      </c>
    </row>
    <row r="12628" spans="1:6" ht="30" customHeight="1" x14ac:dyDescent="0.25">
      <c r="A12628" s="1" t="s">
        <v>25022</v>
      </c>
      <c r="B12628" s="1" t="str">
        <f>"9781118356128"</f>
        <v>9781118356128</v>
      </c>
      <c r="C12628" s="1" t="s">
        <v>65</v>
      </c>
      <c r="D12628" s="2">
        <v>42410</v>
      </c>
      <c r="E12628" s="1" t="s">
        <v>25023</v>
      </c>
      <c r="F12628" s="1" t="s">
        <v>13</v>
      </c>
    </row>
    <row r="12629" spans="1:6" ht="30" customHeight="1" x14ac:dyDescent="0.25">
      <c r="A12629" s="1" t="s">
        <v>25024</v>
      </c>
      <c r="B12629" s="1" t="str">
        <f>"9781118988060"</f>
        <v>9781118988060</v>
      </c>
      <c r="C12629" s="1" t="s">
        <v>65</v>
      </c>
      <c r="D12629" s="2">
        <v>42419</v>
      </c>
      <c r="E12629" s="1" t="s">
        <v>25025</v>
      </c>
      <c r="F12629" s="1" t="s">
        <v>158</v>
      </c>
    </row>
    <row r="12630" spans="1:6" ht="30" customHeight="1" x14ac:dyDescent="0.25">
      <c r="A12630" s="1" t="s">
        <v>25026</v>
      </c>
      <c r="B12630" s="1" t="str">
        <f>"9781118898239"</f>
        <v>9781118898239</v>
      </c>
      <c r="C12630" s="1" t="s">
        <v>65</v>
      </c>
      <c r="D12630" s="2">
        <v>42411</v>
      </c>
      <c r="E12630" s="1" t="s">
        <v>25027</v>
      </c>
      <c r="F12630" s="1" t="s">
        <v>268</v>
      </c>
    </row>
    <row r="12631" spans="1:6" ht="30" customHeight="1" x14ac:dyDescent="0.25">
      <c r="A12631" s="1" t="s">
        <v>25028</v>
      </c>
      <c r="B12631" s="1" t="str">
        <f>"9781421419770"</f>
        <v>9781421419770</v>
      </c>
      <c r="C12631" s="1" t="s">
        <v>20186</v>
      </c>
      <c r="D12631" s="2">
        <v>42419</v>
      </c>
      <c r="E12631" s="1" t="s">
        <v>25029</v>
      </c>
      <c r="F12631" s="1" t="s">
        <v>13</v>
      </c>
    </row>
    <row r="12632" spans="1:6" ht="30" customHeight="1" x14ac:dyDescent="0.25">
      <c r="A12632" s="1" t="s">
        <v>25030</v>
      </c>
      <c r="B12632" s="1" t="str">
        <f>"9780816532278"</f>
        <v>9780816532278</v>
      </c>
      <c r="C12632" s="1" t="s">
        <v>23578</v>
      </c>
      <c r="D12632" s="2">
        <v>42490</v>
      </c>
      <c r="E12632" s="1" t="s">
        <v>25031</v>
      </c>
      <c r="F12632" s="1" t="s">
        <v>70</v>
      </c>
    </row>
    <row r="12633" spans="1:6" ht="30" customHeight="1" x14ac:dyDescent="0.25">
      <c r="A12633" s="1" t="s">
        <v>25032</v>
      </c>
      <c r="B12633" s="1" t="str">
        <f>"9781585284771"</f>
        <v>9781585284771</v>
      </c>
      <c r="C12633" s="1" t="s">
        <v>19582</v>
      </c>
      <c r="D12633" s="2">
        <v>42368</v>
      </c>
      <c r="E12633" s="1" t="s">
        <v>25033</v>
      </c>
      <c r="F12633" s="1" t="s">
        <v>137</v>
      </c>
    </row>
    <row r="12634" spans="1:6" ht="30" customHeight="1" x14ac:dyDescent="0.25">
      <c r="A12634" s="1" t="s">
        <v>25034</v>
      </c>
      <c r="B12634" s="1" t="str">
        <f>"9781585284825"</f>
        <v>9781585284825</v>
      </c>
      <c r="C12634" s="1" t="s">
        <v>19582</v>
      </c>
      <c r="D12634" s="2">
        <v>42398</v>
      </c>
      <c r="E12634" s="1" t="s">
        <v>25035</v>
      </c>
      <c r="F12634" s="1" t="s">
        <v>268</v>
      </c>
    </row>
    <row r="12635" spans="1:6" ht="30" customHeight="1" x14ac:dyDescent="0.25">
      <c r="A12635" s="1" t="s">
        <v>25036</v>
      </c>
      <c r="B12635" s="1" t="str">
        <f>"9781585284962"</f>
        <v>9781585284962</v>
      </c>
      <c r="C12635" s="1" t="s">
        <v>19582</v>
      </c>
      <c r="D12635" s="2">
        <v>42368</v>
      </c>
      <c r="E12635" s="1" t="s">
        <v>25037</v>
      </c>
      <c r="F12635" s="1" t="s">
        <v>268</v>
      </c>
    </row>
    <row r="12636" spans="1:6" ht="30" customHeight="1" x14ac:dyDescent="0.25">
      <c r="A12636" s="1" t="s">
        <v>25038</v>
      </c>
      <c r="B12636" s="1" t="str">
        <f>"9781585285341"</f>
        <v>9781585285341</v>
      </c>
      <c r="C12636" s="1" t="s">
        <v>19582</v>
      </c>
      <c r="D12636" s="2">
        <v>42277</v>
      </c>
      <c r="E12636" s="1" t="s">
        <v>25039</v>
      </c>
      <c r="F12636" s="1" t="s">
        <v>95</v>
      </c>
    </row>
    <row r="12637" spans="1:6" ht="30" customHeight="1" x14ac:dyDescent="0.25">
      <c r="A12637" s="1" t="s">
        <v>25040</v>
      </c>
      <c r="B12637" s="1" t="str">
        <f>"9781681080567"</f>
        <v>9781681080567</v>
      </c>
      <c r="C12637" s="1" t="s">
        <v>11332</v>
      </c>
      <c r="D12637" s="2">
        <v>42342</v>
      </c>
      <c r="E12637" s="1" t="s">
        <v>25041</v>
      </c>
      <c r="F12637" s="1" t="s">
        <v>30</v>
      </c>
    </row>
    <row r="12638" spans="1:6" ht="30" customHeight="1" x14ac:dyDescent="0.25">
      <c r="A12638" s="1" t="s">
        <v>25042</v>
      </c>
      <c r="B12638" s="1" t="str">
        <f>"9781681081380"</f>
        <v>9781681081380</v>
      </c>
      <c r="C12638" s="1" t="s">
        <v>11332</v>
      </c>
      <c r="D12638" s="2">
        <v>42319</v>
      </c>
      <c r="E12638" s="1" t="s">
        <v>25043</v>
      </c>
      <c r="F12638" s="1" t="s">
        <v>13</v>
      </c>
    </row>
    <row r="12639" spans="1:6" ht="30" customHeight="1" x14ac:dyDescent="0.25">
      <c r="A12639" s="1" t="s">
        <v>12782</v>
      </c>
      <c r="B12639" s="1" t="str">
        <f>"9781681081618"</f>
        <v>9781681081618</v>
      </c>
      <c r="C12639" s="1" t="s">
        <v>11332</v>
      </c>
      <c r="D12639" s="2">
        <v>42370</v>
      </c>
      <c r="E12639" s="1" t="s">
        <v>25044</v>
      </c>
      <c r="F12639" s="1" t="s">
        <v>137</v>
      </c>
    </row>
    <row r="12640" spans="1:6" ht="30" customHeight="1" x14ac:dyDescent="0.25">
      <c r="A12640" s="1" t="s">
        <v>25045</v>
      </c>
      <c r="B12640" s="1" t="str">
        <f>"9781681082059"</f>
        <v>9781681082059</v>
      </c>
      <c r="C12640" s="1" t="s">
        <v>11332</v>
      </c>
      <c r="D12640" s="2">
        <v>42005</v>
      </c>
      <c r="E12640" s="1" t="s">
        <v>25046</v>
      </c>
      <c r="F12640" s="1" t="s">
        <v>13</v>
      </c>
    </row>
    <row r="12641" spans="1:6" ht="30" customHeight="1" x14ac:dyDescent="0.25">
      <c r="A12641" s="1" t="s">
        <v>25047</v>
      </c>
      <c r="B12641" s="1" t="str">
        <f>"9781608059461"</f>
        <v>9781608059461</v>
      </c>
      <c r="C12641" s="1" t="s">
        <v>11332</v>
      </c>
      <c r="D12641" s="2">
        <v>42277</v>
      </c>
      <c r="E12641" s="1" t="s">
        <v>25048</v>
      </c>
      <c r="F12641" s="1" t="s">
        <v>87</v>
      </c>
    </row>
    <row r="12642" spans="1:6" ht="30" customHeight="1" x14ac:dyDescent="0.25">
      <c r="A12642" s="1" t="s">
        <v>25049</v>
      </c>
      <c r="B12642" s="1" t="str">
        <f>"9781610447522"</f>
        <v>9781610447522</v>
      </c>
      <c r="C12642" s="1" t="s">
        <v>24893</v>
      </c>
      <c r="D12642" s="2">
        <v>40848</v>
      </c>
      <c r="E12642" s="1" t="s">
        <v>25050</v>
      </c>
      <c r="F12642" s="1" t="s">
        <v>95</v>
      </c>
    </row>
    <row r="12643" spans="1:6" ht="30" customHeight="1" x14ac:dyDescent="0.25">
      <c r="A12643" s="1" t="s">
        <v>25051</v>
      </c>
      <c r="B12643" s="1" t="str">
        <f>"9781604068627"</f>
        <v>9781604068627</v>
      </c>
      <c r="C12643" s="1" t="s">
        <v>1671</v>
      </c>
      <c r="D12643" s="2">
        <v>42436</v>
      </c>
      <c r="E12643" s="1" t="s">
        <v>25052</v>
      </c>
      <c r="F12643" s="1" t="s">
        <v>13</v>
      </c>
    </row>
    <row r="12644" spans="1:6" ht="30" customHeight="1" x14ac:dyDescent="0.25">
      <c r="A12644" s="1" t="s">
        <v>25053</v>
      </c>
      <c r="B12644" s="1" t="str">
        <f>"9780309253956"</f>
        <v>9780309253956</v>
      </c>
      <c r="C12644" s="1" t="s">
        <v>22310</v>
      </c>
      <c r="D12644" s="2">
        <v>40878</v>
      </c>
      <c r="E12644" s="1" t="s">
        <v>25054</v>
      </c>
      <c r="F12644" s="1" t="s">
        <v>349</v>
      </c>
    </row>
    <row r="12645" spans="1:6" ht="30" customHeight="1" x14ac:dyDescent="0.25">
      <c r="A12645" s="1" t="s">
        <v>25055</v>
      </c>
      <c r="B12645" s="1" t="str">
        <f>"9781631012143"</f>
        <v>9781631012143</v>
      </c>
      <c r="C12645" s="1" t="s">
        <v>19732</v>
      </c>
      <c r="D12645" s="2">
        <v>42459</v>
      </c>
      <c r="E12645" s="1" t="s">
        <v>25056</v>
      </c>
      <c r="F12645" s="1" t="s">
        <v>294</v>
      </c>
    </row>
    <row r="12646" spans="1:6" ht="30" customHeight="1" x14ac:dyDescent="0.25">
      <c r="A12646" s="1" t="s">
        <v>25057</v>
      </c>
      <c r="B12646" s="1" t="str">
        <f>"9783110366914"</f>
        <v>9783110366914</v>
      </c>
      <c r="C12646" s="1" t="s">
        <v>1848</v>
      </c>
      <c r="D12646" s="2">
        <v>42422</v>
      </c>
      <c r="E12646" s="1" t="s">
        <v>25058</v>
      </c>
      <c r="F12646" s="1" t="s">
        <v>13</v>
      </c>
    </row>
    <row r="12647" spans="1:6" ht="30" customHeight="1" x14ac:dyDescent="0.25">
      <c r="A12647" s="1" t="s">
        <v>25059</v>
      </c>
      <c r="B12647" s="1" t="str">
        <f>"9781118797679"</f>
        <v>9781118797679</v>
      </c>
      <c r="C12647" s="1" t="s">
        <v>65</v>
      </c>
      <c r="D12647" s="2">
        <v>42423</v>
      </c>
      <c r="E12647" s="1" t="s">
        <v>25060</v>
      </c>
      <c r="F12647" s="1" t="s">
        <v>13</v>
      </c>
    </row>
    <row r="12648" spans="1:6" ht="30" customHeight="1" x14ac:dyDescent="0.25">
      <c r="A12648" s="1" t="s">
        <v>25061</v>
      </c>
      <c r="B12648" s="1" t="str">
        <f>"9781118971093"</f>
        <v>9781118971093</v>
      </c>
      <c r="C12648" s="1" t="s">
        <v>65</v>
      </c>
      <c r="D12648" s="2">
        <v>42425</v>
      </c>
      <c r="E12648" s="1" t="s">
        <v>25062</v>
      </c>
      <c r="F12648" s="1" t="s">
        <v>95</v>
      </c>
    </row>
    <row r="12649" spans="1:6" ht="30" customHeight="1" x14ac:dyDescent="0.25">
      <c r="A12649" s="1" t="s">
        <v>25063</v>
      </c>
      <c r="B12649" s="1" t="str">
        <f>"9781118455951"</f>
        <v>9781118455951</v>
      </c>
      <c r="C12649" s="1" t="s">
        <v>65</v>
      </c>
      <c r="D12649" s="2">
        <v>42430</v>
      </c>
      <c r="E12649" s="1" t="s">
        <v>25064</v>
      </c>
      <c r="F12649" s="1" t="s">
        <v>13</v>
      </c>
    </row>
    <row r="12650" spans="1:6" ht="30" customHeight="1" x14ac:dyDescent="0.25">
      <c r="A12650" s="1" t="s">
        <v>25065</v>
      </c>
      <c r="B12650" s="1" t="str">
        <f>"9781118712498"</f>
        <v>9781118712498</v>
      </c>
      <c r="C12650" s="1" t="s">
        <v>65</v>
      </c>
      <c r="D12650" s="2">
        <v>42289</v>
      </c>
      <c r="E12650" s="1" t="s">
        <v>25066</v>
      </c>
      <c r="F12650" s="1" t="s">
        <v>5288</v>
      </c>
    </row>
    <row r="12651" spans="1:6" ht="30" customHeight="1" x14ac:dyDescent="0.25">
      <c r="A12651" s="1" t="s">
        <v>25067</v>
      </c>
      <c r="B12651" s="1" t="str">
        <f>"9781620360224"</f>
        <v>9781620360224</v>
      </c>
      <c r="C12651" s="1" t="s">
        <v>11799</v>
      </c>
      <c r="D12651" s="2">
        <v>40907</v>
      </c>
      <c r="E12651" s="1" t="s">
        <v>25068</v>
      </c>
      <c r="F12651" s="1" t="s">
        <v>13</v>
      </c>
    </row>
    <row r="12652" spans="1:6" ht="30" customHeight="1" x14ac:dyDescent="0.25">
      <c r="A12652" s="1" t="s">
        <v>25069</v>
      </c>
      <c r="B12652" s="1" t="str">
        <f>"9781118976463"</f>
        <v>9781118976463</v>
      </c>
      <c r="C12652" s="1" t="s">
        <v>65</v>
      </c>
      <c r="D12652" s="2">
        <v>42282</v>
      </c>
      <c r="E12652" s="1" t="s">
        <v>25070</v>
      </c>
      <c r="F12652" s="1" t="s">
        <v>13</v>
      </c>
    </row>
    <row r="12653" spans="1:6" ht="30" customHeight="1" x14ac:dyDescent="0.25">
      <c r="A12653" s="1" t="s">
        <v>25071</v>
      </c>
      <c r="B12653" s="1" t="str">
        <f>"9780857112590"</f>
        <v>9780857112590</v>
      </c>
      <c r="C12653" s="1" t="s">
        <v>25072</v>
      </c>
      <c r="D12653" s="2">
        <v>42339</v>
      </c>
      <c r="E12653" s="1" t="s">
        <v>25073</v>
      </c>
      <c r="F12653" s="1" t="s">
        <v>268</v>
      </c>
    </row>
    <row r="12654" spans="1:6" ht="30" customHeight="1" x14ac:dyDescent="0.25">
      <c r="A12654" s="1" t="s">
        <v>25074</v>
      </c>
      <c r="B12654" s="1" t="str">
        <f>"9781421419046"</f>
        <v>9781421419046</v>
      </c>
      <c r="C12654" s="1" t="s">
        <v>20186</v>
      </c>
      <c r="D12654" s="2">
        <v>42442</v>
      </c>
      <c r="E12654" s="1" t="s">
        <v>25075</v>
      </c>
      <c r="F12654" s="1" t="s">
        <v>13</v>
      </c>
    </row>
    <row r="12655" spans="1:6" ht="30" customHeight="1" x14ac:dyDescent="0.25">
      <c r="A12655" s="1" t="s">
        <v>25076</v>
      </c>
      <c r="B12655" s="1" t="str">
        <f>"9789631362985"</f>
        <v>9789631362985</v>
      </c>
      <c r="C12655" s="1" t="s">
        <v>25077</v>
      </c>
      <c r="D12655" s="2">
        <v>42156</v>
      </c>
      <c r="E12655" s="1" t="s">
        <v>25078</v>
      </c>
      <c r="F12655" s="1" t="s">
        <v>13</v>
      </c>
    </row>
    <row r="12656" spans="1:6" ht="30" customHeight="1" x14ac:dyDescent="0.25">
      <c r="A12656" s="1" t="s">
        <v>25079</v>
      </c>
      <c r="B12656" s="1" t="str">
        <f>"9780262334808"</f>
        <v>9780262334808</v>
      </c>
      <c r="C12656" s="1" t="s">
        <v>20719</v>
      </c>
      <c r="D12656" s="2">
        <v>42447</v>
      </c>
      <c r="E12656" s="1" t="s">
        <v>25080</v>
      </c>
      <c r="F12656" s="1" t="s">
        <v>13</v>
      </c>
    </row>
    <row r="12657" spans="1:6" ht="30" customHeight="1" x14ac:dyDescent="0.25">
      <c r="A12657" s="1" t="s">
        <v>25081</v>
      </c>
      <c r="B12657" s="1" t="str">
        <f>"9781614291169"</f>
        <v>9781614291169</v>
      </c>
      <c r="C12657" s="1" t="s">
        <v>23709</v>
      </c>
      <c r="D12657" s="2">
        <v>40196</v>
      </c>
      <c r="E12657" s="1" t="s">
        <v>25082</v>
      </c>
      <c r="F12657" s="1" t="s">
        <v>13</v>
      </c>
    </row>
    <row r="12658" spans="1:6" ht="30" customHeight="1" x14ac:dyDescent="0.25">
      <c r="A12658" s="1" t="s">
        <v>25083</v>
      </c>
      <c r="B12658" s="1" t="str">
        <f>"9781118751510"</f>
        <v>9781118751510</v>
      </c>
      <c r="C12658" s="1" t="s">
        <v>65</v>
      </c>
      <c r="D12658" s="2">
        <v>42447</v>
      </c>
      <c r="E12658" s="1" t="s">
        <v>25084</v>
      </c>
      <c r="F12658" s="1" t="s">
        <v>176</v>
      </c>
    </row>
    <row r="12659" spans="1:6" ht="30" customHeight="1" x14ac:dyDescent="0.25">
      <c r="A12659" s="1" t="s">
        <v>25085</v>
      </c>
      <c r="B12659" s="1" t="str">
        <f>"9781118833230"</f>
        <v>9781118833230</v>
      </c>
      <c r="C12659" s="1" t="s">
        <v>65</v>
      </c>
      <c r="D12659" s="2">
        <v>42438</v>
      </c>
      <c r="E12659" s="1" t="s">
        <v>25086</v>
      </c>
      <c r="F12659" s="1" t="s">
        <v>137</v>
      </c>
    </row>
    <row r="12660" spans="1:6" ht="30" customHeight="1" x14ac:dyDescent="0.25">
      <c r="A12660" s="1" t="s">
        <v>25087</v>
      </c>
      <c r="B12660" s="1" t="str">
        <f>"9780765708953"</f>
        <v>9780765708953</v>
      </c>
      <c r="C12660" s="1" t="s">
        <v>6903</v>
      </c>
      <c r="D12660" s="2">
        <v>41208</v>
      </c>
      <c r="E12660" s="1" t="s">
        <v>25088</v>
      </c>
      <c r="F12660" s="1" t="s">
        <v>13</v>
      </c>
    </row>
    <row r="12661" spans="1:6" ht="30" customHeight="1" x14ac:dyDescent="0.25">
      <c r="A12661" s="1" t="s">
        <v>25089</v>
      </c>
      <c r="B12661" s="1" t="str">
        <f>"9780826131294"</f>
        <v>9780826131294</v>
      </c>
      <c r="C12661" s="1" t="s">
        <v>2339</v>
      </c>
      <c r="D12661" s="2">
        <v>42401</v>
      </c>
      <c r="E12661" s="1" t="s">
        <v>25090</v>
      </c>
      <c r="F12661" s="1" t="s">
        <v>13</v>
      </c>
    </row>
    <row r="12662" spans="1:6" ht="30" customHeight="1" x14ac:dyDescent="0.25">
      <c r="A12662" s="1" t="s">
        <v>25091</v>
      </c>
      <c r="B12662" s="1" t="str">
        <f>"9780826199645"</f>
        <v>9780826199645</v>
      </c>
      <c r="C12662" s="1" t="s">
        <v>2339</v>
      </c>
      <c r="D12662" s="2">
        <v>41974</v>
      </c>
      <c r="E12662" s="1" t="s">
        <v>25092</v>
      </c>
      <c r="F12662" s="1" t="s">
        <v>13</v>
      </c>
    </row>
    <row r="12663" spans="1:6" ht="30" customHeight="1" x14ac:dyDescent="0.25">
      <c r="A12663" s="1" t="s">
        <v>25093</v>
      </c>
      <c r="B12663" s="1" t="str">
        <f>"9781119013006"</f>
        <v>9781119013006</v>
      </c>
      <c r="C12663" s="1" t="s">
        <v>65</v>
      </c>
      <c r="D12663" s="2">
        <v>42444</v>
      </c>
      <c r="E12663" s="1" t="s">
        <v>25094</v>
      </c>
      <c r="F12663" s="1" t="s">
        <v>137</v>
      </c>
    </row>
    <row r="12664" spans="1:6" ht="30" customHeight="1" x14ac:dyDescent="0.25">
      <c r="A12664" s="1" t="s">
        <v>25095</v>
      </c>
      <c r="B12664" s="1" t="str">
        <f>"9780826171672"</f>
        <v>9780826171672</v>
      </c>
      <c r="C12664" s="1" t="s">
        <v>2339</v>
      </c>
      <c r="D12664" s="2">
        <v>42457</v>
      </c>
      <c r="E12664" s="1" t="s">
        <v>25096</v>
      </c>
      <c r="F12664" s="1" t="s">
        <v>13</v>
      </c>
    </row>
    <row r="12665" spans="1:6" ht="30" customHeight="1" x14ac:dyDescent="0.25">
      <c r="A12665" s="1" t="s">
        <v>25097</v>
      </c>
      <c r="B12665" s="1" t="str">
        <f>"9781118867600"</f>
        <v>9781118867600</v>
      </c>
      <c r="C12665" s="1" t="s">
        <v>65</v>
      </c>
      <c r="D12665" s="2">
        <v>42446</v>
      </c>
      <c r="E12665" s="1" t="s">
        <v>25098</v>
      </c>
      <c r="F12665" s="1" t="s">
        <v>30</v>
      </c>
    </row>
    <row r="12666" spans="1:6" ht="30" customHeight="1" x14ac:dyDescent="0.25">
      <c r="A12666" s="1" t="s">
        <v>25099</v>
      </c>
      <c r="B12666" s="1" t="str">
        <f>"9781118936139"</f>
        <v>9781118936139</v>
      </c>
      <c r="C12666" s="1" t="s">
        <v>65</v>
      </c>
      <c r="D12666" s="2">
        <v>42451</v>
      </c>
      <c r="E12666" s="1" t="s">
        <v>25100</v>
      </c>
      <c r="F12666" s="1" t="s">
        <v>13</v>
      </c>
    </row>
    <row r="12667" spans="1:6" ht="30" customHeight="1" x14ac:dyDescent="0.25">
      <c r="A12667" s="1" t="s">
        <v>25101</v>
      </c>
      <c r="B12667" s="1" t="str">
        <f>"9783110379044"</f>
        <v>9783110379044</v>
      </c>
      <c r="C12667" s="1" t="s">
        <v>1848</v>
      </c>
      <c r="D12667" s="2">
        <v>42450</v>
      </c>
      <c r="E12667" s="1" t="s">
        <v>25102</v>
      </c>
      <c r="F12667" s="1" t="s">
        <v>13</v>
      </c>
    </row>
    <row r="12668" spans="1:6" ht="30" customHeight="1" x14ac:dyDescent="0.25">
      <c r="A12668" s="1" t="s">
        <v>25103</v>
      </c>
      <c r="B12668" s="1" t="str">
        <f>"9781563686559"</f>
        <v>9781563686559</v>
      </c>
      <c r="C12668" s="1" t="s">
        <v>17629</v>
      </c>
      <c r="D12668" s="2">
        <v>42368</v>
      </c>
      <c r="E12668" s="1" t="s">
        <v>25104</v>
      </c>
      <c r="F12668" s="1" t="s">
        <v>70</v>
      </c>
    </row>
    <row r="12669" spans="1:6" ht="30" customHeight="1" x14ac:dyDescent="0.25">
      <c r="A12669" s="1" t="s">
        <v>25105</v>
      </c>
      <c r="B12669" s="1" t="str">
        <f>"9781937561710"</f>
        <v>9781937561710</v>
      </c>
      <c r="C12669" s="1" t="s">
        <v>3458</v>
      </c>
      <c r="D12669" s="2">
        <v>41548</v>
      </c>
      <c r="E12669" s="1" t="s">
        <v>25106</v>
      </c>
      <c r="F12669" s="1" t="s">
        <v>13</v>
      </c>
    </row>
    <row r="12670" spans="1:6" ht="30" customHeight="1" x14ac:dyDescent="0.25">
      <c r="A12670" s="1" t="s">
        <v>25107</v>
      </c>
      <c r="B12670" s="1" t="str">
        <f>"9781118647219"</f>
        <v>9781118647219</v>
      </c>
      <c r="C12670" s="1" t="s">
        <v>65</v>
      </c>
      <c r="D12670" s="2">
        <v>42453</v>
      </c>
      <c r="E12670" s="1" t="s">
        <v>25108</v>
      </c>
      <c r="F12670" s="1" t="s">
        <v>148</v>
      </c>
    </row>
    <row r="12671" spans="1:6" ht="30" customHeight="1" x14ac:dyDescent="0.25">
      <c r="A12671" s="1" t="s">
        <v>25109</v>
      </c>
      <c r="B12671" s="1" t="str">
        <f>"9781118834671"</f>
        <v>9781118834671</v>
      </c>
      <c r="C12671" s="1" t="s">
        <v>65</v>
      </c>
      <c r="D12671" s="2">
        <v>42453</v>
      </c>
      <c r="E12671" s="1" t="s">
        <v>25110</v>
      </c>
      <c r="F12671" s="1" t="s">
        <v>95</v>
      </c>
    </row>
    <row r="12672" spans="1:6" ht="30" customHeight="1" x14ac:dyDescent="0.25">
      <c r="A12672" s="1" t="s">
        <v>25111</v>
      </c>
      <c r="B12672" s="1" t="str">
        <f>"9781119023371"</f>
        <v>9781119023371</v>
      </c>
      <c r="C12672" s="1" t="s">
        <v>65</v>
      </c>
      <c r="D12672" s="2">
        <v>42453</v>
      </c>
      <c r="E12672" s="1" t="s">
        <v>25112</v>
      </c>
      <c r="F12672" s="1" t="s">
        <v>13</v>
      </c>
    </row>
    <row r="12673" spans="1:6" ht="30" customHeight="1" x14ac:dyDescent="0.25">
      <c r="A12673" s="1" t="s">
        <v>25113</v>
      </c>
      <c r="B12673" s="1" t="str">
        <f>"9781118949764"</f>
        <v>9781118949764</v>
      </c>
      <c r="C12673" s="1" t="s">
        <v>65</v>
      </c>
      <c r="D12673" s="2">
        <v>42458</v>
      </c>
      <c r="E12673" s="1" t="s">
        <v>25114</v>
      </c>
      <c r="F12673" s="1" t="s">
        <v>137</v>
      </c>
    </row>
    <row r="12674" spans="1:6" ht="30" customHeight="1" x14ac:dyDescent="0.25">
      <c r="A12674" s="1" t="s">
        <v>25115</v>
      </c>
      <c r="B12674" s="1" t="str">
        <f>"9781785700552"</f>
        <v>9781785700552</v>
      </c>
      <c r="C12674" s="1" t="s">
        <v>25116</v>
      </c>
      <c r="D12674" s="2">
        <v>42399</v>
      </c>
      <c r="E12674" s="1" t="s">
        <v>25117</v>
      </c>
      <c r="F12674" s="1" t="s">
        <v>114</v>
      </c>
    </row>
    <row r="12675" spans="1:6" ht="30" customHeight="1" x14ac:dyDescent="0.25">
      <c r="A12675" s="1" t="s">
        <v>4672</v>
      </c>
      <c r="B12675" s="1" t="str">
        <f>"9781119039099"</f>
        <v>9781119039099</v>
      </c>
      <c r="C12675" s="1" t="s">
        <v>65</v>
      </c>
      <c r="D12675" s="2">
        <v>42465</v>
      </c>
      <c r="E12675" s="1" t="s">
        <v>25118</v>
      </c>
      <c r="F12675" s="1" t="s">
        <v>13</v>
      </c>
    </row>
    <row r="12676" spans="1:6" ht="30" customHeight="1" x14ac:dyDescent="0.25">
      <c r="A12676" s="1" t="s">
        <v>25119</v>
      </c>
      <c r="B12676" s="1" t="str">
        <f>"9781681082455"</f>
        <v>9781681082455</v>
      </c>
      <c r="C12676" s="1" t="s">
        <v>11332</v>
      </c>
      <c r="D12676" s="2">
        <v>42461</v>
      </c>
      <c r="E12676" s="1" t="s">
        <v>25120</v>
      </c>
      <c r="F12676" s="1" t="s">
        <v>13</v>
      </c>
    </row>
    <row r="12677" spans="1:6" ht="30" customHeight="1" x14ac:dyDescent="0.25">
      <c r="A12677" s="1" t="s">
        <v>25121</v>
      </c>
      <c r="B12677" s="1" t="str">
        <f>"9780253021519"</f>
        <v>9780253021519</v>
      </c>
      <c r="C12677" s="1" t="s">
        <v>19</v>
      </c>
      <c r="D12677" s="2">
        <v>42464</v>
      </c>
      <c r="E12677" s="1" t="s">
        <v>25122</v>
      </c>
      <c r="F12677" s="1" t="s">
        <v>70</v>
      </c>
    </row>
    <row r="12678" spans="1:6" ht="30" customHeight="1" x14ac:dyDescent="0.25">
      <c r="A12678" s="1" t="s">
        <v>25123</v>
      </c>
      <c r="B12678" s="1" t="str">
        <f>"9788793102712"</f>
        <v>9788793102712</v>
      </c>
      <c r="C12678" s="1" t="s">
        <v>23429</v>
      </c>
      <c r="D12678" s="2">
        <v>41813</v>
      </c>
      <c r="E12678" s="1" t="s">
        <v>25124</v>
      </c>
      <c r="F12678" s="1" t="s">
        <v>127</v>
      </c>
    </row>
    <row r="12679" spans="1:6" ht="30" customHeight="1" x14ac:dyDescent="0.25">
      <c r="A12679" s="1" t="s">
        <v>25125</v>
      </c>
      <c r="B12679" s="1" t="str">
        <f>"9788793102859"</f>
        <v>9788793102859</v>
      </c>
      <c r="C12679" s="1" t="s">
        <v>23429</v>
      </c>
      <c r="D12679" s="2">
        <v>42093</v>
      </c>
      <c r="E12679" s="1" t="s">
        <v>25126</v>
      </c>
      <c r="F12679" s="1" t="s">
        <v>137</v>
      </c>
    </row>
    <row r="12680" spans="1:6" ht="30" customHeight="1" x14ac:dyDescent="0.25">
      <c r="A12680" s="1" t="s">
        <v>25127</v>
      </c>
      <c r="B12680" s="1" t="str">
        <f>"9788793237087"</f>
        <v>9788793237087</v>
      </c>
      <c r="C12680" s="1" t="s">
        <v>23429</v>
      </c>
      <c r="D12680" s="2">
        <v>42010</v>
      </c>
      <c r="E12680" s="1" t="s">
        <v>25128</v>
      </c>
      <c r="F12680" s="1" t="s">
        <v>359</v>
      </c>
    </row>
    <row r="12681" spans="1:6" ht="30" customHeight="1" x14ac:dyDescent="0.25">
      <c r="A12681" s="1" t="s">
        <v>25129</v>
      </c>
      <c r="B12681" s="1" t="str">
        <f>"9788793237445"</f>
        <v>9788793237445</v>
      </c>
      <c r="C12681" s="1" t="s">
        <v>23429</v>
      </c>
      <c r="D12681" s="2">
        <v>42074</v>
      </c>
      <c r="E12681" s="1" t="s">
        <v>25130</v>
      </c>
      <c r="F12681" s="1" t="s">
        <v>3911</v>
      </c>
    </row>
    <row r="12682" spans="1:6" ht="30" customHeight="1" x14ac:dyDescent="0.25">
      <c r="A12682" s="1" t="s">
        <v>25131</v>
      </c>
      <c r="B12682" s="1" t="str">
        <f>"9781559570381"</f>
        <v>9781559570381</v>
      </c>
      <c r="C12682" s="1" t="s">
        <v>17317</v>
      </c>
      <c r="D12682" s="2">
        <v>42461</v>
      </c>
      <c r="E12682" s="1" t="s">
        <v>25132</v>
      </c>
      <c r="F12682" s="1" t="s">
        <v>13</v>
      </c>
    </row>
    <row r="12683" spans="1:6" ht="30" customHeight="1" x14ac:dyDescent="0.25">
      <c r="A12683" s="1" t="s">
        <v>25133</v>
      </c>
      <c r="B12683" s="1" t="str">
        <f>"9781559570558"</f>
        <v>9781559570558</v>
      </c>
      <c r="C12683" s="1" t="s">
        <v>17317</v>
      </c>
      <c r="D12683" s="2">
        <v>42444</v>
      </c>
      <c r="E12683" s="1" t="s">
        <v>25134</v>
      </c>
      <c r="F12683" s="1" t="s">
        <v>13</v>
      </c>
    </row>
    <row r="12684" spans="1:6" ht="30" customHeight="1" x14ac:dyDescent="0.25">
      <c r="A12684" s="1" t="s">
        <v>25135</v>
      </c>
      <c r="B12684" s="1" t="str">
        <f>"9780817919481"</f>
        <v>9780817919481</v>
      </c>
      <c r="C12684" s="1" t="s">
        <v>14360</v>
      </c>
      <c r="D12684" s="2">
        <v>42491</v>
      </c>
      <c r="E12684" s="1" t="s">
        <v>25136</v>
      </c>
      <c r="F12684" s="1" t="s">
        <v>95</v>
      </c>
    </row>
    <row r="12685" spans="1:6" ht="30" customHeight="1" x14ac:dyDescent="0.25">
      <c r="A12685" s="1" t="s">
        <v>25137</v>
      </c>
      <c r="B12685" s="1" t="str">
        <f>"9781634138666"</f>
        <v>9781634138666</v>
      </c>
      <c r="C12685" s="1" t="s">
        <v>25138</v>
      </c>
      <c r="D12685" s="2">
        <v>42008</v>
      </c>
      <c r="E12685" s="1" t="s">
        <v>25139</v>
      </c>
      <c r="F12685" s="1" t="s">
        <v>13</v>
      </c>
    </row>
    <row r="12686" spans="1:6" ht="30" customHeight="1" x14ac:dyDescent="0.25">
      <c r="A12686" s="1" t="s">
        <v>25140</v>
      </c>
      <c r="B12686" s="1" t="str">
        <f>"9781617052699"</f>
        <v>9781617052699</v>
      </c>
      <c r="C12686" s="1" t="s">
        <v>2339</v>
      </c>
      <c r="D12686" s="2">
        <v>42430</v>
      </c>
      <c r="E12686" s="1" t="s">
        <v>25141</v>
      </c>
      <c r="F12686" s="1" t="s">
        <v>13</v>
      </c>
    </row>
    <row r="12687" spans="1:6" ht="30" customHeight="1" x14ac:dyDescent="0.25">
      <c r="A12687" s="1" t="s">
        <v>25142</v>
      </c>
      <c r="B12687" s="1" t="str">
        <f>"9781501703638"</f>
        <v>9781501703638</v>
      </c>
      <c r="C12687" s="1" t="s">
        <v>19796</v>
      </c>
      <c r="D12687" s="2">
        <v>42491</v>
      </c>
      <c r="E12687" s="1" t="s">
        <v>25143</v>
      </c>
      <c r="F12687" s="1" t="s">
        <v>176</v>
      </c>
    </row>
    <row r="12688" spans="1:6" ht="30" customHeight="1" x14ac:dyDescent="0.25">
      <c r="A12688" s="1" t="s">
        <v>25144</v>
      </c>
      <c r="B12688" s="1" t="str">
        <f>"9781119060673"</f>
        <v>9781119060673</v>
      </c>
      <c r="C12688" s="1" t="s">
        <v>65</v>
      </c>
      <c r="D12688" s="2">
        <v>42492</v>
      </c>
      <c r="E12688" s="1" t="s">
        <v>25145</v>
      </c>
      <c r="F12688" s="1" t="s">
        <v>95</v>
      </c>
    </row>
    <row r="12689" spans="1:6" ht="30" customHeight="1" x14ac:dyDescent="0.25">
      <c r="A12689" s="1" t="s">
        <v>25146</v>
      </c>
      <c r="B12689" s="1" t="str">
        <f>"9781118897836"</f>
        <v>9781118897836</v>
      </c>
      <c r="C12689" s="1" t="s">
        <v>65</v>
      </c>
      <c r="D12689" s="2">
        <v>42493</v>
      </c>
      <c r="E12689" s="1" t="s">
        <v>25147</v>
      </c>
      <c r="F12689" s="1" t="s">
        <v>95</v>
      </c>
    </row>
    <row r="12690" spans="1:6" ht="30" customHeight="1" x14ac:dyDescent="0.25">
      <c r="A12690" s="1" t="s">
        <v>25148</v>
      </c>
      <c r="B12690" s="1" t="str">
        <f>"9781613762882"</f>
        <v>9781613762882</v>
      </c>
      <c r="C12690" s="1" t="s">
        <v>25149</v>
      </c>
      <c r="D12690" s="2">
        <v>41548</v>
      </c>
      <c r="E12690" s="1" t="s">
        <v>25150</v>
      </c>
      <c r="F12690" s="1" t="s">
        <v>13</v>
      </c>
    </row>
    <row r="12691" spans="1:6" ht="30" customHeight="1" x14ac:dyDescent="0.25">
      <c r="A12691" s="1" t="s">
        <v>25151</v>
      </c>
      <c r="B12691" s="1" t="str">
        <f>"9781118728215"</f>
        <v>9781118728215</v>
      </c>
      <c r="C12691" s="1" t="s">
        <v>65</v>
      </c>
      <c r="D12691" s="2">
        <v>42310</v>
      </c>
      <c r="E12691" s="1" t="s">
        <v>25152</v>
      </c>
      <c r="F12691" s="1" t="s">
        <v>13</v>
      </c>
    </row>
    <row r="12692" spans="1:6" ht="30" customHeight="1" x14ac:dyDescent="0.25">
      <c r="A12692" s="1" t="s">
        <v>25153</v>
      </c>
      <c r="B12692" s="1" t="str">
        <f>"9781118235409"</f>
        <v>9781118235409</v>
      </c>
      <c r="C12692" s="1" t="s">
        <v>65</v>
      </c>
      <c r="D12692" s="2">
        <v>42508</v>
      </c>
      <c r="E12692" s="1" t="s">
        <v>25154</v>
      </c>
      <c r="F12692" s="1" t="s">
        <v>25155</v>
      </c>
    </row>
    <row r="12693" spans="1:6" ht="30" customHeight="1" x14ac:dyDescent="0.25">
      <c r="A12693" s="1" t="s">
        <v>25156</v>
      </c>
      <c r="B12693" s="1" t="str">
        <f>"9780739170366"</f>
        <v>9780739170366</v>
      </c>
      <c r="C12693" s="1" t="s">
        <v>9841</v>
      </c>
      <c r="D12693" s="2">
        <v>40856</v>
      </c>
      <c r="E12693" s="1" t="s">
        <v>25157</v>
      </c>
      <c r="F12693" s="1" t="s">
        <v>356</v>
      </c>
    </row>
    <row r="12694" spans="1:6" ht="30" customHeight="1" x14ac:dyDescent="0.25">
      <c r="A12694" s="1" t="s">
        <v>25158</v>
      </c>
      <c r="B12694" s="1" t="str">
        <f>"9781119210337"</f>
        <v>9781119210337</v>
      </c>
      <c r="C12694" s="1" t="s">
        <v>65</v>
      </c>
      <c r="D12694" s="2">
        <v>42510</v>
      </c>
      <c r="E12694" s="1" t="s">
        <v>25159</v>
      </c>
      <c r="F12694" s="1" t="s">
        <v>7666</v>
      </c>
    </row>
    <row r="12695" spans="1:6" ht="30" customHeight="1" x14ac:dyDescent="0.25">
      <c r="A12695" s="1" t="s">
        <v>25160</v>
      </c>
      <c r="B12695" s="1" t="str">
        <f>"9781589018617"</f>
        <v>9781589018617</v>
      </c>
      <c r="C12695" s="1" t="s">
        <v>6517</v>
      </c>
      <c r="D12695" s="2">
        <v>37011</v>
      </c>
      <c r="E12695" s="1" t="s">
        <v>25161</v>
      </c>
      <c r="F12695" s="1" t="s">
        <v>205</v>
      </c>
    </row>
    <row r="12696" spans="1:6" ht="30" customHeight="1" x14ac:dyDescent="0.25">
      <c r="A12696" s="1" t="s">
        <v>25162</v>
      </c>
      <c r="B12696" s="1" t="str">
        <f>"9781613760475"</f>
        <v>9781613760475</v>
      </c>
      <c r="C12696" s="1" t="s">
        <v>25149</v>
      </c>
      <c r="D12696" s="2">
        <v>40148</v>
      </c>
      <c r="E12696" s="1" t="s">
        <v>25163</v>
      </c>
      <c r="F12696" s="1" t="s">
        <v>541</v>
      </c>
    </row>
    <row r="12697" spans="1:6" ht="30" customHeight="1" x14ac:dyDescent="0.25">
      <c r="A12697" s="1" t="s">
        <v>25164</v>
      </c>
      <c r="B12697" s="1" t="str">
        <f>"9789996096808"</f>
        <v>9789996096808</v>
      </c>
      <c r="C12697" s="1" t="s">
        <v>25165</v>
      </c>
      <c r="D12697" s="2">
        <v>42490</v>
      </c>
      <c r="E12697" s="1" t="s">
        <v>25166</v>
      </c>
      <c r="F12697" s="1" t="s">
        <v>95</v>
      </c>
    </row>
    <row r="12698" spans="1:6" ht="30" customHeight="1" x14ac:dyDescent="0.25">
      <c r="A12698" s="1" t="s">
        <v>25167</v>
      </c>
      <c r="B12698" s="1" t="str">
        <f>"9781443881197"</f>
        <v>9781443881197</v>
      </c>
      <c r="C12698" s="1" t="s">
        <v>12699</v>
      </c>
      <c r="D12698" s="2">
        <v>42217</v>
      </c>
      <c r="E12698" s="1" t="s">
        <v>25168</v>
      </c>
      <c r="F12698" s="1" t="s">
        <v>158</v>
      </c>
    </row>
    <row r="12699" spans="1:6" ht="30" customHeight="1" x14ac:dyDescent="0.25">
      <c r="A12699" s="1" t="s">
        <v>25169</v>
      </c>
      <c r="B12699" s="1" t="str">
        <f>"9781443882347"</f>
        <v>9781443882347</v>
      </c>
      <c r="C12699" s="1" t="s">
        <v>12699</v>
      </c>
      <c r="D12699" s="2">
        <v>42217</v>
      </c>
      <c r="E12699" s="1" t="s">
        <v>25170</v>
      </c>
      <c r="F12699" s="1" t="s">
        <v>25171</v>
      </c>
    </row>
    <row r="12700" spans="1:6" ht="30" customHeight="1" x14ac:dyDescent="0.25">
      <c r="A12700" s="1" t="s">
        <v>25172</v>
      </c>
      <c r="B12700" s="1" t="str">
        <f>"9781443883559"</f>
        <v>9781443883559</v>
      </c>
      <c r="C12700" s="1" t="s">
        <v>12699</v>
      </c>
      <c r="D12700" s="2">
        <v>42095</v>
      </c>
      <c r="E12700" s="1" t="s">
        <v>25173</v>
      </c>
      <c r="F12700" s="1" t="s">
        <v>95</v>
      </c>
    </row>
    <row r="12701" spans="1:6" ht="30" customHeight="1" x14ac:dyDescent="0.25">
      <c r="A12701" s="1" t="s">
        <v>25174</v>
      </c>
      <c r="B12701" s="1" t="str">
        <f>"9781443884518"</f>
        <v>9781443884518</v>
      </c>
      <c r="C12701" s="1" t="s">
        <v>12699</v>
      </c>
      <c r="D12701" s="2">
        <v>42156</v>
      </c>
      <c r="E12701" s="1" t="s">
        <v>25175</v>
      </c>
      <c r="F12701" s="1" t="s">
        <v>13</v>
      </c>
    </row>
    <row r="12702" spans="1:6" ht="30" customHeight="1" x14ac:dyDescent="0.25">
      <c r="A12702" s="1" t="s">
        <v>25176</v>
      </c>
      <c r="B12702" s="1" t="str">
        <f>"9781443889810"</f>
        <v>9781443889810</v>
      </c>
      <c r="C12702" s="1" t="s">
        <v>12699</v>
      </c>
      <c r="D12702" s="2">
        <v>42370</v>
      </c>
      <c r="E12702" s="1" t="s">
        <v>25177</v>
      </c>
      <c r="F12702" s="1" t="s">
        <v>13</v>
      </c>
    </row>
    <row r="12703" spans="1:6" ht="30" customHeight="1" x14ac:dyDescent="0.25">
      <c r="A12703" s="1" t="s">
        <v>25178</v>
      </c>
      <c r="B12703" s="1" t="str">
        <f>"9781940446684"</f>
        <v>9781940446684</v>
      </c>
      <c r="C12703" s="1" t="s">
        <v>23057</v>
      </c>
      <c r="D12703" s="2">
        <v>42521</v>
      </c>
      <c r="E12703" s="1" t="s">
        <v>25179</v>
      </c>
      <c r="F12703" s="1" t="s">
        <v>126</v>
      </c>
    </row>
    <row r="12704" spans="1:6" ht="30" customHeight="1" x14ac:dyDescent="0.25">
      <c r="A12704" s="1" t="s">
        <v>25180</v>
      </c>
      <c r="B12704" s="1" t="str">
        <f>"9780826120595"</f>
        <v>9780826120595</v>
      </c>
      <c r="C12704" s="1" t="s">
        <v>2339</v>
      </c>
      <c r="D12704" s="2">
        <v>42461</v>
      </c>
      <c r="E12704" s="1" t="s">
        <v>25181</v>
      </c>
      <c r="F12704" s="1" t="s">
        <v>13</v>
      </c>
    </row>
    <row r="12705" spans="1:6" ht="30" customHeight="1" x14ac:dyDescent="0.25">
      <c r="A12705" s="1" t="s">
        <v>25182</v>
      </c>
      <c r="B12705" s="1" t="str">
        <f>"9780880994644"</f>
        <v>9780880994644</v>
      </c>
      <c r="C12705" s="1" t="s">
        <v>25183</v>
      </c>
      <c r="D12705" s="2">
        <v>42491</v>
      </c>
      <c r="E12705" s="1" t="s">
        <v>25184</v>
      </c>
      <c r="F12705" s="1" t="s">
        <v>12695</v>
      </c>
    </row>
    <row r="12706" spans="1:6" ht="30" customHeight="1" x14ac:dyDescent="0.25">
      <c r="A12706" s="1" t="s">
        <v>25185</v>
      </c>
      <c r="B12706" s="1" t="str">
        <f>"9781604069068"</f>
        <v>9781604069068</v>
      </c>
      <c r="C12706" s="1" t="s">
        <v>1671</v>
      </c>
      <c r="D12706" s="2">
        <v>41684</v>
      </c>
      <c r="E12706" s="1" t="s">
        <v>25186</v>
      </c>
      <c r="F12706" s="1" t="s">
        <v>13</v>
      </c>
    </row>
    <row r="12707" spans="1:6" ht="30" customHeight="1" x14ac:dyDescent="0.25">
      <c r="A12707" s="1" t="s">
        <v>25187</v>
      </c>
      <c r="B12707" s="1" t="str">
        <f>"9781626230200"</f>
        <v>9781626230200</v>
      </c>
      <c r="C12707" s="1" t="s">
        <v>1671</v>
      </c>
      <c r="D12707" s="2">
        <v>42382</v>
      </c>
      <c r="E12707" s="1" t="s">
        <v>25188</v>
      </c>
      <c r="F12707" s="1" t="s">
        <v>13</v>
      </c>
    </row>
    <row r="12708" spans="1:6" ht="30" customHeight="1" x14ac:dyDescent="0.25">
      <c r="A12708" s="1" t="s">
        <v>25189</v>
      </c>
      <c r="B12708" s="1" t="str">
        <f>"9783132031715"</f>
        <v>9783132031715</v>
      </c>
      <c r="C12708" s="1" t="s">
        <v>1671</v>
      </c>
      <c r="D12708" s="2">
        <v>42347</v>
      </c>
      <c r="E12708" s="1" t="s">
        <v>25190</v>
      </c>
      <c r="F12708" s="1" t="s">
        <v>13</v>
      </c>
    </row>
    <row r="12709" spans="1:6" ht="30" customHeight="1" x14ac:dyDescent="0.25">
      <c r="A12709" s="1" t="s">
        <v>25191</v>
      </c>
      <c r="B12709" s="1" t="str">
        <f>"9781118644645"</f>
        <v>9781118644645</v>
      </c>
      <c r="C12709" s="1" t="s">
        <v>65</v>
      </c>
      <c r="D12709" s="2">
        <v>42317</v>
      </c>
      <c r="E12709" s="1" t="s">
        <v>25192</v>
      </c>
      <c r="F12709" s="1" t="s">
        <v>30</v>
      </c>
    </row>
    <row r="12710" spans="1:6" ht="30" customHeight="1" x14ac:dyDescent="0.25">
      <c r="A12710" s="1" t="s">
        <v>25193</v>
      </c>
      <c r="B12710" s="1" t="str">
        <f>"9781119085003"</f>
        <v>9781119085003</v>
      </c>
      <c r="C12710" s="1" t="s">
        <v>65</v>
      </c>
      <c r="D12710" s="2">
        <v>42310</v>
      </c>
      <c r="E12710" s="1" t="s">
        <v>25194</v>
      </c>
      <c r="F12710" s="1" t="s">
        <v>13</v>
      </c>
    </row>
    <row r="12711" spans="1:6" ht="30" customHeight="1" x14ac:dyDescent="0.25">
      <c r="A12711" s="1" t="s">
        <v>25195</v>
      </c>
      <c r="B12711" s="1" t="str">
        <f>"9780252097898"</f>
        <v>9780252097898</v>
      </c>
      <c r="C12711" s="1" t="s">
        <v>23637</v>
      </c>
      <c r="D12711" s="2">
        <v>42399</v>
      </c>
      <c r="E12711" s="1" t="s">
        <v>25196</v>
      </c>
      <c r="F12711" s="1" t="s">
        <v>158</v>
      </c>
    </row>
    <row r="12712" spans="1:6" ht="30" customHeight="1" x14ac:dyDescent="0.25">
      <c r="A12712" s="1" t="s">
        <v>25197</v>
      </c>
      <c r="B12712" s="1" t="str">
        <f>"9781118829158"</f>
        <v>9781118829158</v>
      </c>
      <c r="C12712" s="1" t="s">
        <v>65</v>
      </c>
      <c r="D12712" s="2">
        <v>42534</v>
      </c>
      <c r="E12712" s="1" t="s">
        <v>25198</v>
      </c>
      <c r="F12712" s="1" t="s">
        <v>13</v>
      </c>
    </row>
    <row r="12713" spans="1:6" ht="30" customHeight="1" x14ac:dyDescent="0.25">
      <c r="A12713" s="1" t="s">
        <v>11084</v>
      </c>
      <c r="B12713" s="1" t="str">
        <f>"9781118999349"</f>
        <v>9781118999349</v>
      </c>
      <c r="C12713" s="1" t="s">
        <v>65</v>
      </c>
      <c r="D12713" s="2">
        <v>42534</v>
      </c>
      <c r="E12713" s="1" t="s">
        <v>25199</v>
      </c>
      <c r="F12713" s="1" t="s">
        <v>176</v>
      </c>
    </row>
    <row r="12714" spans="1:6" ht="30" customHeight="1" x14ac:dyDescent="0.25">
      <c r="A12714" s="1" t="s">
        <v>25200</v>
      </c>
      <c r="B12714" s="1" t="str">
        <f>"9781118880456"</f>
        <v>9781118880456</v>
      </c>
      <c r="C12714" s="1" t="s">
        <v>65</v>
      </c>
      <c r="D12714" s="2">
        <v>42537</v>
      </c>
      <c r="E12714" s="1" t="s">
        <v>25201</v>
      </c>
      <c r="F12714" s="1" t="s">
        <v>13</v>
      </c>
    </row>
    <row r="12715" spans="1:6" ht="30" customHeight="1" x14ac:dyDescent="0.25">
      <c r="A12715" s="1" t="s">
        <v>25202</v>
      </c>
      <c r="B12715" s="1" t="str">
        <f>"9783132019218"</f>
        <v>9783132019218</v>
      </c>
      <c r="C12715" s="1" t="s">
        <v>1671</v>
      </c>
      <c r="D12715" s="2">
        <v>42613</v>
      </c>
      <c r="E12715" s="1" t="s">
        <v>25203</v>
      </c>
      <c r="F12715" s="1" t="s">
        <v>13</v>
      </c>
    </row>
    <row r="12716" spans="1:6" ht="30" customHeight="1" x14ac:dyDescent="0.25">
      <c r="A12716" s="1" t="s">
        <v>25204</v>
      </c>
      <c r="B12716" s="1" t="str">
        <f>"9780231544092"</f>
        <v>9780231544092</v>
      </c>
      <c r="C12716" s="1" t="s">
        <v>11751</v>
      </c>
      <c r="D12716" s="2">
        <v>41401</v>
      </c>
      <c r="E12716" s="1" t="s">
        <v>25205</v>
      </c>
      <c r="F12716" s="1" t="s">
        <v>1338</v>
      </c>
    </row>
    <row r="12717" spans="1:6" ht="30" customHeight="1" x14ac:dyDescent="0.25">
      <c r="A12717" s="1" t="s">
        <v>25206</v>
      </c>
      <c r="B12717" s="1" t="str">
        <f>"9781597569408"</f>
        <v>9781597569408</v>
      </c>
      <c r="C12717" s="1" t="s">
        <v>16043</v>
      </c>
      <c r="D12717" s="2">
        <v>42044</v>
      </c>
      <c r="E12717" s="1" t="s">
        <v>25207</v>
      </c>
      <c r="F12717" s="1" t="s">
        <v>406</v>
      </c>
    </row>
    <row r="12718" spans="1:6" ht="30" customHeight="1" x14ac:dyDescent="0.25">
      <c r="A12718" s="1" t="s">
        <v>16022</v>
      </c>
      <c r="B12718" s="1" t="str">
        <f>"9781597569439"</f>
        <v>9781597569439</v>
      </c>
      <c r="C12718" s="1" t="s">
        <v>16043</v>
      </c>
      <c r="D12718" s="2">
        <v>42035</v>
      </c>
      <c r="E12718" s="1" t="s">
        <v>25208</v>
      </c>
      <c r="F12718" s="1" t="s">
        <v>2537</v>
      </c>
    </row>
    <row r="12719" spans="1:6" ht="30" customHeight="1" x14ac:dyDescent="0.25">
      <c r="A12719" s="1" t="s">
        <v>25209</v>
      </c>
      <c r="B12719" s="1" t="str">
        <f>"9781597569446"</f>
        <v>9781597569446</v>
      </c>
      <c r="C12719" s="1" t="s">
        <v>16043</v>
      </c>
      <c r="D12719" s="2">
        <v>41698</v>
      </c>
      <c r="E12719" s="1" t="s">
        <v>25210</v>
      </c>
      <c r="F12719" s="1" t="s">
        <v>13</v>
      </c>
    </row>
    <row r="12720" spans="1:6" ht="30" customHeight="1" x14ac:dyDescent="0.25">
      <c r="A12720" s="1" t="s">
        <v>25211</v>
      </c>
      <c r="B12720" s="1" t="str">
        <f>"9781597569460"</f>
        <v>9781597569460</v>
      </c>
      <c r="C12720" s="1" t="s">
        <v>16043</v>
      </c>
      <c r="D12720" s="2">
        <v>41852</v>
      </c>
      <c r="E12720" s="1" t="s">
        <v>25212</v>
      </c>
      <c r="F12720" s="1" t="s">
        <v>13</v>
      </c>
    </row>
    <row r="12721" spans="1:6" ht="30" customHeight="1" x14ac:dyDescent="0.25">
      <c r="A12721" s="1" t="s">
        <v>25213</v>
      </c>
      <c r="B12721" s="1" t="str">
        <f>"9781597569477"</f>
        <v>9781597569477</v>
      </c>
      <c r="C12721" s="1" t="s">
        <v>16043</v>
      </c>
      <c r="D12721" s="2">
        <v>41425</v>
      </c>
      <c r="E12721" s="1" t="s">
        <v>25214</v>
      </c>
      <c r="F12721" s="1" t="s">
        <v>13</v>
      </c>
    </row>
    <row r="12722" spans="1:6" ht="30" customHeight="1" x14ac:dyDescent="0.25">
      <c r="A12722" s="1" t="s">
        <v>25215</v>
      </c>
      <c r="B12722" s="1" t="str">
        <f>"9781597569484"</f>
        <v>9781597569484</v>
      </c>
      <c r="C12722" s="1" t="s">
        <v>16043</v>
      </c>
      <c r="D12722" s="2">
        <v>42556</v>
      </c>
      <c r="E12722" s="1" t="s">
        <v>25216</v>
      </c>
      <c r="F12722" s="1" t="s">
        <v>13</v>
      </c>
    </row>
    <row r="12723" spans="1:6" ht="30" customHeight="1" x14ac:dyDescent="0.25">
      <c r="A12723" s="1" t="s">
        <v>25217</v>
      </c>
      <c r="B12723" s="1" t="str">
        <f>"9781597569491"</f>
        <v>9781597569491</v>
      </c>
      <c r="C12723" s="1" t="s">
        <v>16043</v>
      </c>
      <c r="D12723" s="2">
        <v>42338</v>
      </c>
      <c r="E12723" s="1" t="s">
        <v>25218</v>
      </c>
      <c r="F12723" s="1" t="s">
        <v>13</v>
      </c>
    </row>
    <row r="12724" spans="1:6" ht="30" customHeight="1" x14ac:dyDescent="0.25">
      <c r="A12724" s="1" t="s">
        <v>25219</v>
      </c>
      <c r="B12724" s="1" t="str">
        <f>"9781597569507"</f>
        <v>9781597569507</v>
      </c>
      <c r="C12724" s="1" t="s">
        <v>16043</v>
      </c>
      <c r="D12724" s="2">
        <v>41940</v>
      </c>
      <c r="E12724" s="1" t="s">
        <v>25220</v>
      </c>
      <c r="F12724" s="1" t="s">
        <v>13</v>
      </c>
    </row>
    <row r="12725" spans="1:6" ht="30" customHeight="1" x14ac:dyDescent="0.25">
      <c r="A12725" s="1" t="s">
        <v>25221</v>
      </c>
      <c r="B12725" s="1" t="str">
        <f>"9781597569514"</f>
        <v>9781597569514</v>
      </c>
      <c r="C12725" s="1" t="s">
        <v>16043</v>
      </c>
      <c r="D12725" s="2">
        <v>41455</v>
      </c>
      <c r="E12725" s="1" t="s">
        <v>25222</v>
      </c>
      <c r="F12725" s="1" t="s">
        <v>13</v>
      </c>
    </row>
    <row r="12726" spans="1:6" ht="30" customHeight="1" x14ac:dyDescent="0.25">
      <c r="A12726" s="1" t="s">
        <v>25223</v>
      </c>
      <c r="B12726" s="1" t="str">
        <f>"9781597569538"</f>
        <v>9781597569538</v>
      </c>
      <c r="C12726" s="1" t="s">
        <v>16043</v>
      </c>
      <c r="D12726" s="2">
        <v>42400</v>
      </c>
      <c r="E12726" s="1" t="s">
        <v>25224</v>
      </c>
      <c r="F12726" s="1" t="s">
        <v>13</v>
      </c>
    </row>
    <row r="12727" spans="1:6" ht="30" customHeight="1" x14ac:dyDescent="0.25">
      <c r="A12727" s="1" t="s">
        <v>15989</v>
      </c>
      <c r="B12727" s="1" t="str">
        <f>"9781597569545"</f>
        <v>9781597569545</v>
      </c>
      <c r="C12727" s="1" t="s">
        <v>16043</v>
      </c>
      <c r="D12727" s="2">
        <v>42460</v>
      </c>
      <c r="E12727" s="1" t="s">
        <v>25225</v>
      </c>
      <c r="F12727" s="1" t="s">
        <v>13</v>
      </c>
    </row>
    <row r="12728" spans="1:6" ht="30" customHeight="1" x14ac:dyDescent="0.25">
      <c r="A12728" s="1" t="s">
        <v>25226</v>
      </c>
      <c r="B12728" s="1" t="str">
        <f>"9781944883188"</f>
        <v>9781944883188</v>
      </c>
      <c r="C12728" s="1" t="s">
        <v>16043</v>
      </c>
      <c r="D12728" s="2">
        <v>42353</v>
      </c>
      <c r="E12728" s="1" t="s">
        <v>25227</v>
      </c>
      <c r="F12728" s="1" t="s">
        <v>13</v>
      </c>
    </row>
    <row r="12729" spans="1:6" ht="30" customHeight="1" x14ac:dyDescent="0.25">
      <c r="A12729" s="1" t="s">
        <v>25228</v>
      </c>
      <c r="B12729" s="1" t="str">
        <f>"9781921862687"</f>
        <v>9781921862687</v>
      </c>
      <c r="C12729" s="1" t="s">
        <v>25229</v>
      </c>
      <c r="D12729" s="2">
        <v>40909</v>
      </c>
      <c r="E12729" s="1" t="s">
        <v>25230</v>
      </c>
      <c r="F12729" s="1" t="s">
        <v>30</v>
      </c>
    </row>
    <row r="12730" spans="1:6" ht="30" customHeight="1" x14ac:dyDescent="0.25">
      <c r="A12730" s="1" t="s">
        <v>25231</v>
      </c>
      <c r="B12730" s="1" t="str">
        <f>"9781553394419"</f>
        <v>9781553394419</v>
      </c>
      <c r="C12730" s="1" t="s">
        <v>20580</v>
      </c>
      <c r="D12730" s="2">
        <v>42125</v>
      </c>
      <c r="E12730" s="1" t="s">
        <v>25232</v>
      </c>
      <c r="F12730" s="1" t="s">
        <v>30</v>
      </c>
    </row>
    <row r="12731" spans="1:6" ht="30" customHeight="1" x14ac:dyDescent="0.25">
      <c r="A12731" s="1" t="s">
        <v>25233</v>
      </c>
      <c r="B12731" s="1" t="str">
        <f>"9781118990582"</f>
        <v>9781118990582</v>
      </c>
      <c r="C12731" s="1" t="s">
        <v>65</v>
      </c>
      <c r="D12731" s="2">
        <v>42572</v>
      </c>
      <c r="E12731" s="1" t="s">
        <v>7910</v>
      </c>
      <c r="F12731" s="1" t="s">
        <v>82</v>
      </c>
    </row>
    <row r="12732" spans="1:6" ht="30" customHeight="1" x14ac:dyDescent="0.25">
      <c r="A12732" s="1" t="s">
        <v>25234</v>
      </c>
      <c r="B12732" s="1" t="str">
        <f>"9780826121936"</f>
        <v>9780826121936</v>
      </c>
      <c r="C12732" s="1" t="s">
        <v>2339</v>
      </c>
      <c r="D12732" s="2">
        <v>41883</v>
      </c>
      <c r="E12732" s="1" t="s">
        <v>25235</v>
      </c>
      <c r="F12732" s="1" t="s">
        <v>13</v>
      </c>
    </row>
    <row r="12733" spans="1:6" ht="30" customHeight="1" x14ac:dyDescent="0.25">
      <c r="A12733" s="1" t="s">
        <v>25236</v>
      </c>
      <c r="B12733" s="1" t="str">
        <f>"9781119084556"</f>
        <v>9781119084556</v>
      </c>
      <c r="C12733" s="1" t="s">
        <v>65</v>
      </c>
      <c r="D12733" s="2">
        <v>42629</v>
      </c>
      <c r="E12733" s="1" t="s">
        <v>25237</v>
      </c>
      <c r="F12733" s="1" t="s">
        <v>126</v>
      </c>
    </row>
    <row r="12734" spans="1:6" ht="30" customHeight="1" x14ac:dyDescent="0.25">
      <c r="A12734" s="1" t="s">
        <v>25238</v>
      </c>
      <c r="B12734" s="1" t="str">
        <f>"9781921862397"</f>
        <v>9781921862397</v>
      </c>
      <c r="C12734" s="1" t="s">
        <v>25229</v>
      </c>
      <c r="D12734" s="2">
        <v>40787</v>
      </c>
      <c r="E12734" s="1" t="s">
        <v>25239</v>
      </c>
      <c r="F12734" s="1" t="s">
        <v>30</v>
      </c>
    </row>
    <row r="12735" spans="1:6" ht="30" customHeight="1" x14ac:dyDescent="0.25">
      <c r="A12735" s="1" t="s">
        <v>9563</v>
      </c>
      <c r="B12735" s="1" t="str">
        <f>"9781118874479"</f>
        <v>9781118874479</v>
      </c>
      <c r="C12735" s="1" t="s">
        <v>65</v>
      </c>
      <c r="D12735" s="2">
        <v>42583</v>
      </c>
      <c r="E12735" s="1" t="s">
        <v>25240</v>
      </c>
      <c r="F12735" s="1" t="s">
        <v>126</v>
      </c>
    </row>
    <row r="12736" spans="1:6" ht="30" customHeight="1" x14ac:dyDescent="0.25">
      <c r="A12736" s="1" t="s">
        <v>25241</v>
      </c>
      <c r="B12736" s="1" t="str">
        <f>"9780857112552"</f>
        <v>9780857112552</v>
      </c>
      <c r="C12736" s="1" t="s">
        <v>25072</v>
      </c>
      <c r="D12736" s="2">
        <v>42338</v>
      </c>
      <c r="E12736" s="1" t="s">
        <v>25242</v>
      </c>
      <c r="F12736" s="1" t="s">
        <v>268</v>
      </c>
    </row>
    <row r="12737" spans="1:6" ht="30" customHeight="1" x14ac:dyDescent="0.25">
      <c r="A12737" s="1" t="s">
        <v>25243</v>
      </c>
      <c r="B12737" s="1" t="str">
        <f>"9781469891521"</f>
        <v>9781469891521</v>
      </c>
      <c r="C12737" s="1" t="s">
        <v>16613</v>
      </c>
      <c r="D12737" s="2">
        <v>41911</v>
      </c>
      <c r="E12737" s="1" t="s">
        <v>25244</v>
      </c>
      <c r="F12737" s="1" t="s">
        <v>126</v>
      </c>
    </row>
    <row r="12738" spans="1:6" ht="30" customHeight="1" x14ac:dyDescent="0.25">
      <c r="A12738" s="1" t="s">
        <v>25245</v>
      </c>
      <c r="B12738" s="1" t="str">
        <f>"9781496320841"</f>
        <v>9781496320841</v>
      </c>
      <c r="C12738" s="1" t="s">
        <v>16613</v>
      </c>
      <c r="D12738" s="2">
        <v>41791</v>
      </c>
      <c r="E12738" s="1" t="s">
        <v>25246</v>
      </c>
      <c r="F12738" s="1" t="s">
        <v>268</v>
      </c>
    </row>
    <row r="12739" spans="1:6" ht="30" customHeight="1" x14ac:dyDescent="0.25">
      <c r="A12739" s="1" t="s">
        <v>25247</v>
      </c>
      <c r="B12739" s="1" t="str">
        <f>"9781119114697"</f>
        <v>9781119114697</v>
      </c>
      <c r="C12739" s="1" t="s">
        <v>65</v>
      </c>
      <c r="D12739" s="2">
        <v>42590</v>
      </c>
      <c r="E12739" s="1" t="s">
        <v>9505</v>
      </c>
      <c r="F12739" s="1" t="s">
        <v>13</v>
      </c>
    </row>
    <row r="12740" spans="1:6" ht="30" customHeight="1" x14ac:dyDescent="0.25">
      <c r="A12740" s="1" t="s">
        <v>25248</v>
      </c>
      <c r="B12740" s="1" t="str">
        <f>"9780822981893"</f>
        <v>9780822981893</v>
      </c>
      <c r="C12740" s="1" t="s">
        <v>17164</v>
      </c>
      <c r="D12740" s="2">
        <v>42125</v>
      </c>
      <c r="E12740" s="1" t="s">
        <v>25249</v>
      </c>
      <c r="F12740" s="1" t="s">
        <v>13</v>
      </c>
    </row>
    <row r="12741" spans="1:6" ht="30" customHeight="1" x14ac:dyDescent="0.25">
      <c r="A12741" s="1" t="s">
        <v>9557</v>
      </c>
      <c r="B12741" s="1" t="str">
        <f>"9781119149460"</f>
        <v>9781119149460</v>
      </c>
      <c r="C12741" s="1" t="s">
        <v>65</v>
      </c>
      <c r="D12741" s="2">
        <v>42591</v>
      </c>
      <c r="E12741" s="1" t="s">
        <v>9558</v>
      </c>
      <c r="F12741" s="1" t="s">
        <v>13</v>
      </c>
    </row>
    <row r="12742" spans="1:6" ht="30" customHeight="1" x14ac:dyDescent="0.25">
      <c r="A12742" s="1" t="s">
        <v>25250</v>
      </c>
      <c r="B12742" s="1" t="str">
        <f>"9789385062520"</f>
        <v>9789385062520</v>
      </c>
      <c r="C12742" s="1" t="s">
        <v>1671</v>
      </c>
      <c r="D12742" s="2">
        <v>42538</v>
      </c>
      <c r="E12742" s="1" t="s">
        <v>25251</v>
      </c>
      <c r="F12742" s="1" t="s">
        <v>294</v>
      </c>
    </row>
    <row r="12743" spans="1:6" ht="30" customHeight="1" x14ac:dyDescent="0.25">
      <c r="A12743" s="1" t="s">
        <v>25252</v>
      </c>
      <c r="B12743" s="1" t="str">
        <f>"9781119166665"</f>
        <v>9781119166665</v>
      </c>
      <c r="C12743" s="1" t="s">
        <v>65</v>
      </c>
      <c r="D12743" s="2">
        <v>42614</v>
      </c>
      <c r="E12743" s="1" t="s">
        <v>25253</v>
      </c>
      <c r="F12743" s="1" t="s">
        <v>13</v>
      </c>
    </row>
    <row r="12744" spans="1:6" ht="30" customHeight="1" x14ac:dyDescent="0.25">
      <c r="A12744" s="1" t="s">
        <v>25254</v>
      </c>
      <c r="B12744" s="1" t="str">
        <f>"9781626230972"</f>
        <v>9781626230972</v>
      </c>
      <c r="C12744" s="1" t="s">
        <v>1671</v>
      </c>
      <c r="D12744" s="2">
        <v>42669</v>
      </c>
      <c r="E12744" s="1" t="s">
        <v>25255</v>
      </c>
      <c r="F12744" s="1" t="s">
        <v>13</v>
      </c>
    </row>
    <row r="12745" spans="1:6" ht="30" customHeight="1" x14ac:dyDescent="0.25">
      <c r="A12745" s="1" t="s">
        <v>25256</v>
      </c>
      <c r="B12745" s="1" t="str">
        <f>"9781118949900"</f>
        <v>9781118949900</v>
      </c>
      <c r="C12745" s="1" t="s">
        <v>65</v>
      </c>
      <c r="D12745" s="2">
        <v>42601</v>
      </c>
      <c r="E12745" s="1" t="s">
        <v>25257</v>
      </c>
      <c r="F12745" s="1" t="s">
        <v>30</v>
      </c>
    </row>
    <row r="12746" spans="1:6" ht="30" customHeight="1" x14ac:dyDescent="0.25">
      <c r="A12746" s="1" t="s">
        <v>25258</v>
      </c>
      <c r="B12746" s="1" t="str">
        <f>"9780262289580"</f>
        <v>9780262289580</v>
      </c>
      <c r="C12746" s="1" t="s">
        <v>20719</v>
      </c>
      <c r="D12746" s="2">
        <v>41166</v>
      </c>
      <c r="E12746" s="1" t="s">
        <v>25259</v>
      </c>
      <c r="F12746" s="1" t="s">
        <v>1349</v>
      </c>
    </row>
    <row r="12747" spans="1:6" ht="30" customHeight="1" x14ac:dyDescent="0.25">
      <c r="A12747" s="1" t="s">
        <v>25260</v>
      </c>
      <c r="B12747" s="1" t="str">
        <f>"9789283244899"</f>
        <v>9789283244899</v>
      </c>
      <c r="C12747" s="1" t="s">
        <v>25261</v>
      </c>
      <c r="D12747" s="2">
        <v>41123</v>
      </c>
      <c r="E12747" s="1" t="s">
        <v>25262</v>
      </c>
      <c r="F12747" s="1" t="s">
        <v>13</v>
      </c>
    </row>
    <row r="12748" spans="1:6" ht="30" customHeight="1" x14ac:dyDescent="0.25">
      <c r="A12748" s="1" t="s">
        <v>25263</v>
      </c>
      <c r="B12748" s="1" t="str">
        <f>"9789283244912"</f>
        <v>9789283244912</v>
      </c>
      <c r="C12748" s="1" t="s">
        <v>25261</v>
      </c>
      <c r="D12748" s="2">
        <v>41297</v>
      </c>
      <c r="E12748" s="1" t="s">
        <v>25264</v>
      </c>
      <c r="F12748" s="1" t="s">
        <v>13</v>
      </c>
    </row>
    <row r="12749" spans="1:6" ht="30" customHeight="1" x14ac:dyDescent="0.25">
      <c r="A12749" s="1" t="s">
        <v>25265</v>
      </c>
      <c r="B12749" s="1" t="str">
        <f>"9789283244875"</f>
        <v>9789283244875</v>
      </c>
      <c r="C12749" s="1" t="s">
        <v>25261</v>
      </c>
      <c r="D12749" s="2">
        <v>41761</v>
      </c>
      <c r="E12749" s="1" t="s">
        <v>25266</v>
      </c>
      <c r="F12749" s="1" t="s">
        <v>13</v>
      </c>
    </row>
    <row r="12750" spans="1:6" ht="30" customHeight="1" x14ac:dyDescent="0.25">
      <c r="A12750" s="1" t="s">
        <v>25267</v>
      </c>
      <c r="B12750" s="1" t="str">
        <f>"9781501706028"</f>
        <v>9781501706028</v>
      </c>
      <c r="C12750" s="1" t="s">
        <v>19796</v>
      </c>
      <c r="D12750" s="2">
        <v>42633</v>
      </c>
      <c r="E12750" s="1" t="s">
        <v>25268</v>
      </c>
      <c r="F12750" s="1" t="s">
        <v>95</v>
      </c>
    </row>
    <row r="12751" spans="1:6" ht="30" customHeight="1" x14ac:dyDescent="0.25">
      <c r="A12751" s="1" t="s">
        <v>25269</v>
      </c>
      <c r="B12751" s="1" t="str">
        <f>"9783131694126"</f>
        <v>9783131694126</v>
      </c>
      <c r="C12751" s="1" t="s">
        <v>1671</v>
      </c>
      <c r="D12751" s="2">
        <v>42669</v>
      </c>
      <c r="E12751" s="1" t="s">
        <v>25270</v>
      </c>
      <c r="F12751" s="1" t="s">
        <v>268</v>
      </c>
    </row>
    <row r="12752" spans="1:6" ht="30" customHeight="1" x14ac:dyDescent="0.25">
      <c r="A12752" s="1" t="s">
        <v>25271</v>
      </c>
      <c r="B12752" s="1" t="str">
        <f>"9780822981398"</f>
        <v>9780822981398</v>
      </c>
      <c r="C12752" s="1" t="s">
        <v>17164</v>
      </c>
      <c r="D12752" s="2">
        <v>42490</v>
      </c>
      <c r="E12752" s="1" t="s">
        <v>25272</v>
      </c>
      <c r="F12752" s="1" t="s">
        <v>268</v>
      </c>
    </row>
    <row r="12753" spans="1:6" ht="30" customHeight="1" x14ac:dyDescent="0.25">
      <c r="A12753" s="1" t="s">
        <v>25273</v>
      </c>
      <c r="B12753" s="1" t="str">
        <f>"9781119267041"</f>
        <v>9781119267041</v>
      </c>
      <c r="C12753" s="1" t="s">
        <v>65</v>
      </c>
      <c r="D12753" s="2">
        <v>42625</v>
      </c>
      <c r="E12753" s="1" t="s">
        <v>25274</v>
      </c>
      <c r="F12753" s="1" t="s">
        <v>25275</v>
      </c>
    </row>
    <row r="12754" spans="1:6" ht="30" customHeight="1" x14ac:dyDescent="0.25">
      <c r="A12754" s="1" t="s">
        <v>25276</v>
      </c>
      <c r="B12754" s="1" t="str">
        <f>"9781683730064"</f>
        <v>9781683730064</v>
      </c>
      <c r="C12754" s="1" t="s">
        <v>17317</v>
      </c>
      <c r="D12754" s="2">
        <v>42583</v>
      </c>
      <c r="E12754" s="1" t="s">
        <v>25277</v>
      </c>
      <c r="F12754" s="1" t="s">
        <v>13</v>
      </c>
    </row>
    <row r="12755" spans="1:6" ht="30" customHeight="1" x14ac:dyDescent="0.25">
      <c r="A12755" s="1" t="s">
        <v>25278</v>
      </c>
      <c r="B12755" s="1" t="str">
        <f>"9783110455083"</f>
        <v>9783110455083</v>
      </c>
      <c r="C12755" s="1" t="s">
        <v>1848</v>
      </c>
      <c r="D12755" s="2">
        <v>42625</v>
      </c>
      <c r="E12755" s="1" t="s">
        <v>25279</v>
      </c>
      <c r="F12755" s="1" t="s">
        <v>13</v>
      </c>
    </row>
    <row r="12756" spans="1:6" ht="30" customHeight="1" x14ac:dyDescent="0.25">
      <c r="A12756" s="1" t="s">
        <v>25280</v>
      </c>
      <c r="B12756" s="1" t="str">
        <f>"9781118973547"</f>
        <v>9781118973547</v>
      </c>
      <c r="C12756" s="1" t="s">
        <v>65</v>
      </c>
      <c r="D12756" s="2">
        <v>42629</v>
      </c>
      <c r="E12756" s="1" t="s">
        <v>25281</v>
      </c>
      <c r="F12756" s="1" t="s">
        <v>13</v>
      </c>
    </row>
    <row r="12757" spans="1:6" ht="30" customHeight="1" x14ac:dyDescent="0.25">
      <c r="A12757" s="1" t="s">
        <v>25282</v>
      </c>
      <c r="B12757" s="1" t="str">
        <f>"9780191628825"</f>
        <v>9780191628825</v>
      </c>
      <c r="C12757" s="1" t="s">
        <v>1120</v>
      </c>
      <c r="D12757" s="2">
        <v>40759</v>
      </c>
      <c r="E12757" s="1" t="s">
        <v>25283</v>
      </c>
      <c r="F12757" s="1" t="s">
        <v>13</v>
      </c>
    </row>
    <row r="12758" spans="1:6" ht="30" customHeight="1" x14ac:dyDescent="0.25">
      <c r="A12758" s="1" t="s">
        <v>25284</v>
      </c>
      <c r="B12758" s="1" t="str">
        <f>"9780199748235"</f>
        <v>9780199748235</v>
      </c>
      <c r="C12758" s="1" t="s">
        <v>1123</v>
      </c>
      <c r="D12758" s="2">
        <v>39002</v>
      </c>
      <c r="E12758" s="1" t="s">
        <v>25285</v>
      </c>
      <c r="F12758" s="1" t="s">
        <v>268</v>
      </c>
    </row>
    <row r="12759" spans="1:6" ht="30" customHeight="1" x14ac:dyDescent="0.25">
      <c r="A12759" s="1" t="s">
        <v>10829</v>
      </c>
      <c r="B12759" s="1" t="str">
        <f>"9781119236528"</f>
        <v>9781119236528</v>
      </c>
      <c r="C12759" s="1" t="s">
        <v>65</v>
      </c>
      <c r="D12759" s="2">
        <v>42640</v>
      </c>
      <c r="E12759" s="1" t="s">
        <v>25286</v>
      </c>
      <c r="F12759" s="1" t="s">
        <v>137</v>
      </c>
    </row>
    <row r="12760" spans="1:6" ht="30" customHeight="1" x14ac:dyDescent="0.25">
      <c r="A12760" s="1" t="s">
        <v>25287</v>
      </c>
      <c r="B12760" s="1" t="str">
        <f>"9781631012112"</f>
        <v>9781631012112</v>
      </c>
      <c r="C12760" s="1" t="s">
        <v>19732</v>
      </c>
      <c r="D12760" s="2">
        <v>42552</v>
      </c>
      <c r="E12760" s="1" t="s">
        <v>25288</v>
      </c>
      <c r="F12760" s="1" t="s">
        <v>13</v>
      </c>
    </row>
    <row r="12761" spans="1:6" ht="30" customHeight="1" x14ac:dyDescent="0.25">
      <c r="A12761" s="1" t="s">
        <v>25289</v>
      </c>
      <c r="B12761" s="1" t="str">
        <f>"9783132038325"</f>
        <v>9783132038325</v>
      </c>
      <c r="C12761" s="1" t="s">
        <v>1671</v>
      </c>
      <c r="D12761" s="2">
        <v>42718</v>
      </c>
      <c r="E12761" s="1" t="s">
        <v>25290</v>
      </c>
      <c r="F12761" s="1" t="s">
        <v>13</v>
      </c>
    </row>
    <row r="12762" spans="1:6" ht="30" customHeight="1" x14ac:dyDescent="0.25">
      <c r="A12762" s="1" t="s">
        <v>25291</v>
      </c>
      <c r="B12762" s="1" t="str">
        <f>"9781119266174"</f>
        <v>9781119266174</v>
      </c>
      <c r="C12762" s="1" t="s">
        <v>65</v>
      </c>
      <c r="D12762" s="2">
        <v>42653</v>
      </c>
      <c r="E12762" s="1" t="s">
        <v>25292</v>
      </c>
      <c r="F12762" s="1" t="s">
        <v>2966</v>
      </c>
    </row>
    <row r="12763" spans="1:6" ht="30" customHeight="1" x14ac:dyDescent="0.25">
      <c r="A12763" s="1" t="s">
        <v>25293</v>
      </c>
      <c r="B12763" s="1" t="str">
        <f>"9781119163343"</f>
        <v>9781119163343</v>
      </c>
      <c r="C12763" s="1" t="s">
        <v>65</v>
      </c>
      <c r="D12763" s="2">
        <v>42657</v>
      </c>
      <c r="E12763" s="1" t="s">
        <v>25294</v>
      </c>
      <c r="F12763" s="1" t="s">
        <v>30</v>
      </c>
    </row>
    <row r="12764" spans="1:6" ht="30" customHeight="1" x14ac:dyDescent="0.25">
      <c r="A12764" s="1" t="s">
        <v>25295</v>
      </c>
      <c r="B12764" s="1" t="str">
        <f>"9783110368826"</f>
        <v>9783110368826</v>
      </c>
      <c r="C12764" s="1" t="s">
        <v>1848</v>
      </c>
      <c r="D12764" s="2">
        <v>42653</v>
      </c>
      <c r="E12764" s="1" t="s">
        <v>25296</v>
      </c>
      <c r="F12764" s="1" t="s">
        <v>268</v>
      </c>
    </row>
    <row r="12765" spans="1:6" ht="30" customHeight="1" x14ac:dyDescent="0.25">
      <c r="A12765" s="1" t="s">
        <v>25297</v>
      </c>
      <c r="B12765" s="1" t="str">
        <f>"9783110453072"</f>
        <v>9783110453072</v>
      </c>
      <c r="C12765" s="1" t="s">
        <v>1848</v>
      </c>
      <c r="D12765" s="2">
        <v>42695</v>
      </c>
      <c r="E12765" s="1" t="s">
        <v>25298</v>
      </c>
      <c r="F12765" s="1" t="s">
        <v>13</v>
      </c>
    </row>
    <row r="12766" spans="1:6" ht="30" customHeight="1" x14ac:dyDescent="0.25">
      <c r="A12766" s="1" t="s">
        <v>25299</v>
      </c>
      <c r="B12766" s="1" t="str">
        <f>"9781604063967"</f>
        <v>9781604063967</v>
      </c>
      <c r="C12766" s="1" t="s">
        <v>1671</v>
      </c>
      <c r="D12766" s="2">
        <v>42354</v>
      </c>
      <c r="E12766" s="1" t="s">
        <v>25300</v>
      </c>
      <c r="F12766" s="1" t="s">
        <v>13</v>
      </c>
    </row>
    <row r="12767" spans="1:6" ht="30" customHeight="1" x14ac:dyDescent="0.25">
      <c r="A12767" s="1" t="s">
        <v>25301</v>
      </c>
      <c r="B12767" s="1" t="str">
        <f>"9781119253778"</f>
        <v>9781119253778</v>
      </c>
      <c r="C12767" s="1" t="s">
        <v>65</v>
      </c>
      <c r="D12767" s="2">
        <v>42662</v>
      </c>
      <c r="E12767" s="1" t="s">
        <v>25302</v>
      </c>
      <c r="F12767" s="1" t="s">
        <v>82</v>
      </c>
    </row>
    <row r="12768" spans="1:6" ht="30" customHeight="1" x14ac:dyDescent="0.25">
      <c r="A12768" s="1" t="s">
        <v>25303</v>
      </c>
      <c r="B12768" s="1" t="str">
        <f>"9781119151074"</f>
        <v>9781119151074</v>
      </c>
      <c r="C12768" s="1" t="s">
        <v>65</v>
      </c>
      <c r="D12768" s="2">
        <v>42664</v>
      </c>
      <c r="E12768" s="1" t="s">
        <v>25304</v>
      </c>
      <c r="F12768" s="1" t="s">
        <v>95</v>
      </c>
    </row>
    <row r="12769" spans="1:6" ht="30" customHeight="1" x14ac:dyDescent="0.25">
      <c r="A12769" s="1" t="s">
        <v>25305</v>
      </c>
      <c r="B12769" s="1" t="str">
        <f>"9781626232051"</f>
        <v>9781626232051</v>
      </c>
      <c r="C12769" s="1" t="s">
        <v>1671</v>
      </c>
      <c r="D12769" s="2">
        <v>42718</v>
      </c>
      <c r="E12769" s="1" t="s">
        <v>25306</v>
      </c>
      <c r="F12769" s="1" t="s">
        <v>13</v>
      </c>
    </row>
    <row r="12770" spans="1:6" ht="30" customHeight="1" x14ac:dyDescent="0.25">
      <c r="A12770" s="1" t="s">
        <v>25307</v>
      </c>
      <c r="B12770" s="1" t="str">
        <f>"9780891286424"</f>
        <v>9780891286424</v>
      </c>
      <c r="C12770" s="1" t="s">
        <v>25308</v>
      </c>
      <c r="D12770" s="2">
        <v>42103</v>
      </c>
      <c r="E12770" s="1" t="s">
        <v>25309</v>
      </c>
      <c r="F12770" s="1" t="s">
        <v>13</v>
      </c>
    </row>
    <row r="12771" spans="1:6" ht="30" customHeight="1" x14ac:dyDescent="0.25">
      <c r="A12771" s="1" t="s">
        <v>25310</v>
      </c>
      <c r="B12771" s="1" t="str">
        <f>"9781620231609"</f>
        <v>9781620231609</v>
      </c>
      <c r="C12771" s="1" t="s">
        <v>25311</v>
      </c>
      <c r="D12771" s="2">
        <v>42704</v>
      </c>
      <c r="E12771" s="1" t="s">
        <v>25312</v>
      </c>
      <c r="F12771" s="1" t="s">
        <v>95</v>
      </c>
    </row>
    <row r="12772" spans="1:6" ht="30" customHeight="1" x14ac:dyDescent="0.25">
      <c r="A12772" s="1" t="s">
        <v>25313</v>
      </c>
      <c r="B12772" s="1" t="str">
        <f>"9781119075929"</f>
        <v>9781119075929</v>
      </c>
      <c r="C12772" s="1" t="s">
        <v>65</v>
      </c>
      <c r="D12772" s="2">
        <v>42669</v>
      </c>
      <c r="E12772" s="1" t="s">
        <v>25314</v>
      </c>
      <c r="F12772" s="1" t="s">
        <v>13</v>
      </c>
    </row>
    <row r="12773" spans="1:6" ht="30" customHeight="1" x14ac:dyDescent="0.25">
      <c r="A12773" s="1" t="s">
        <v>25315</v>
      </c>
      <c r="B12773" s="1" t="str">
        <f>"9781626234604"</f>
        <v>9781626234604</v>
      </c>
      <c r="C12773" s="1" t="s">
        <v>1671</v>
      </c>
      <c r="D12773" s="2">
        <v>42380</v>
      </c>
      <c r="E12773" s="1" t="s">
        <v>25316</v>
      </c>
      <c r="F12773" s="1" t="s">
        <v>13</v>
      </c>
    </row>
    <row r="12774" spans="1:6" ht="30" customHeight="1" x14ac:dyDescent="0.25">
      <c r="A12774" s="1" t="s">
        <v>25317</v>
      </c>
      <c r="B12774" s="1" t="str">
        <f>"9781612494708"</f>
        <v>9781612494708</v>
      </c>
      <c r="C12774" s="1" t="s">
        <v>19739</v>
      </c>
      <c r="D12774" s="2">
        <v>42658</v>
      </c>
      <c r="E12774" s="1" t="s">
        <v>25318</v>
      </c>
      <c r="F12774" s="1" t="s">
        <v>13</v>
      </c>
    </row>
    <row r="12775" spans="1:6" ht="30" customHeight="1" x14ac:dyDescent="0.25">
      <c r="A12775" s="1" t="s">
        <v>25319</v>
      </c>
      <c r="B12775" s="1" t="str">
        <f>"9781626234437"</f>
        <v>9781626234437</v>
      </c>
      <c r="C12775" s="1" t="s">
        <v>1671</v>
      </c>
      <c r="D12775" s="2">
        <v>42699</v>
      </c>
      <c r="E12775" s="1" t="s">
        <v>25320</v>
      </c>
      <c r="F12775" s="1" t="s">
        <v>3843</v>
      </c>
    </row>
    <row r="12776" spans="1:6" ht="30" customHeight="1" x14ac:dyDescent="0.25">
      <c r="A12776" s="1" t="s">
        <v>25321</v>
      </c>
      <c r="B12776" s="1" t="str">
        <f>"9781119276524"</f>
        <v>9781119276524</v>
      </c>
      <c r="C12776" s="1" t="s">
        <v>65</v>
      </c>
      <c r="D12776" s="2">
        <v>42688</v>
      </c>
      <c r="E12776" s="1" t="s">
        <v>25322</v>
      </c>
      <c r="F12776" s="1" t="s">
        <v>13</v>
      </c>
    </row>
    <row r="12777" spans="1:6" ht="30" customHeight="1" x14ac:dyDescent="0.25">
      <c r="A12777" s="1" t="s">
        <v>25323</v>
      </c>
      <c r="B12777" s="1" t="str">
        <f>"9783131627124"</f>
        <v>9783131627124</v>
      </c>
      <c r="C12777" s="1" t="s">
        <v>1671</v>
      </c>
      <c r="D12777" s="2">
        <v>42696</v>
      </c>
      <c r="E12777" s="1" t="s">
        <v>25324</v>
      </c>
      <c r="F12777" s="1" t="s">
        <v>13</v>
      </c>
    </row>
    <row r="12778" spans="1:6" ht="30" customHeight="1" x14ac:dyDescent="0.25">
      <c r="A12778" s="1" t="s">
        <v>25325</v>
      </c>
      <c r="B12778" s="1" t="str">
        <f>"9781683730095"</f>
        <v>9781683730095</v>
      </c>
      <c r="C12778" s="1" t="s">
        <v>17317</v>
      </c>
      <c r="D12778" s="2">
        <v>42675</v>
      </c>
      <c r="E12778" s="1" t="s">
        <v>25326</v>
      </c>
      <c r="F12778" s="1" t="s">
        <v>13</v>
      </c>
    </row>
    <row r="12779" spans="1:6" ht="30" customHeight="1" x14ac:dyDescent="0.25">
      <c r="A12779" s="1" t="s">
        <v>25327</v>
      </c>
      <c r="B12779" s="1" t="str">
        <f>"9781119143185"</f>
        <v>9781119143185</v>
      </c>
      <c r="C12779" s="1" t="s">
        <v>65</v>
      </c>
      <c r="D12779" s="2">
        <v>42702</v>
      </c>
      <c r="E12779" s="1" t="s">
        <v>25328</v>
      </c>
      <c r="F12779" s="1" t="s">
        <v>137</v>
      </c>
    </row>
    <row r="12780" spans="1:6" ht="30" customHeight="1" x14ac:dyDescent="0.25">
      <c r="A12780" s="1" t="s">
        <v>25329</v>
      </c>
      <c r="B12780" s="1" t="str">
        <f>"9781626236998"</f>
        <v>9781626236998</v>
      </c>
      <c r="C12780" s="1" t="s">
        <v>1671</v>
      </c>
      <c r="D12780" s="2">
        <v>42697</v>
      </c>
      <c r="E12780" s="1" t="s">
        <v>25330</v>
      </c>
      <c r="F12780" s="1" t="s">
        <v>13</v>
      </c>
    </row>
    <row r="12781" spans="1:6" ht="30" customHeight="1" x14ac:dyDescent="0.25">
      <c r="A12781" s="1" t="s">
        <v>25331</v>
      </c>
      <c r="B12781" s="1" t="str">
        <f>"9781351882200"</f>
        <v>9781351882200</v>
      </c>
      <c r="C12781" s="1" t="s">
        <v>68</v>
      </c>
      <c r="D12781" s="2">
        <v>37953</v>
      </c>
      <c r="E12781" s="1" t="s">
        <v>25332</v>
      </c>
      <c r="F12781" s="1" t="s">
        <v>30</v>
      </c>
    </row>
    <row r="12782" spans="1:6" ht="30" customHeight="1" x14ac:dyDescent="0.25">
      <c r="A12782" s="1" t="s">
        <v>25333</v>
      </c>
      <c r="B12782" s="1" t="str">
        <f>"9783110409871"</f>
        <v>9783110409871</v>
      </c>
      <c r="C12782" s="1" t="s">
        <v>1848</v>
      </c>
      <c r="D12782" s="2">
        <v>42681</v>
      </c>
      <c r="E12782" s="1" t="s">
        <v>25334</v>
      </c>
      <c r="F12782" s="1" t="s">
        <v>13</v>
      </c>
    </row>
    <row r="12783" spans="1:6" ht="30" customHeight="1" x14ac:dyDescent="0.25">
      <c r="A12783" s="1" t="s">
        <v>25335</v>
      </c>
      <c r="B12783" s="1" t="str">
        <f>"9783132411456"</f>
        <v>9783132411456</v>
      </c>
      <c r="C12783" s="1" t="s">
        <v>1671</v>
      </c>
      <c r="D12783" s="2">
        <v>42760</v>
      </c>
      <c r="E12783" s="1" t="s">
        <v>25336</v>
      </c>
      <c r="F12783" s="1" t="s">
        <v>13</v>
      </c>
    </row>
    <row r="12784" spans="1:6" ht="30" customHeight="1" x14ac:dyDescent="0.25">
      <c r="A12784" s="1" t="s">
        <v>25337</v>
      </c>
      <c r="B12784" s="1" t="str">
        <f>"9783132022126"</f>
        <v>9783132022126</v>
      </c>
      <c r="C12784" s="1" t="s">
        <v>1671</v>
      </c>
      <c r="D12784" s="2">
        <v>42697</v>
      </c>
      <c r="E12784" s="1" t="s">
        <v>25338</v>
      </c>
      <c r="F12784" s="1" t="s">
        <v>13</v>
      </c>
    </row>
    <row r="12785" spans="1:6" ht="30" customHeight="1" x14ac:dyDescent="0.25">
      <c r="A12785" s="1" t="s">
        <v>25339</v>
      </c>
      <c r="B12785" s="1" t="str">
        <f>"9789240695610"</f>
        <v>9789240695610</v>
      </c>
      <c r="C12785" s="1" t="s">
        <v>1981</v>
      </c>
      <c r="D12785" s="2">
        <v>42481</v>
      </c>
      <c r="E12785" s="1" t="s">
        <v>1981</v>
      </c>
      <c r="F12785" s="1" t="s">
        <v>13</v>
      </c>
    </row>
    <row r="12786" spans="1:6" ht="30" customHeight="1" x14ac:dyDescent="0.25">
      <c r="A12786" s="1" t="s">
        <v>25340</v>
      </c>
      <c r="B12786" s="1" t="str">
        <f>"9781585285693"</f>
        <v>9781585285693</v>
      </c>
      <c r="C12786" s="1" t="s">
        <v>19579</v>
      </c>
      <c r="D12786" s="2">
        <v>42736</v>
      </c>
      <c r="E12786" s="1" t="s">
        <v>25341</v>
      </c>
      <c r="F12786" s="1" t="s">
        <v>137</v>
      </c>
    </row>
    <row r="12787" spans="1:6" ht="30" customHeight="1" x14ac:dyDescent="0.25">
      <c r="A12787" s="1" t="s">
        <v>25342</v>
      </c>
      <c r="B12787" s="1" t="str">
        <f>"9781469897585"</f>
        <v>9781469897585</v>
      </c>
      <c r="C12787" s="1" t="s">
        <v>16613</v>
      </c>
      <c r="D12787" s="2">
        <v>42187</v>
      </c>
      <c r="E12787" s="1" t="s">
        <v>25343</v>
      </c>
      <c r="F12787" s="1" t="s">
        <v>13</v>
      </c>
    </row>
    <row r="12788" spans="1:6" ht="30" customHeight="1" x14ac:dyDescent="0.25">
      <c r="A12788" s="1" t="s">
        <v>25344</v>
      </c>
      <c r="B12788" s="1" t="str">
        <f>"9781496306340"</f>
        <v>9781496306340</v>
      </c>
      <c r="C12788" s="1" t="s">
        <v>16613</v>
      </c>
      <c r="D12788" s="2">
        <v>42259</v>
      </c>
      <c r="E12788" s="1" t="s">
        <v>25244</v>
      </c>
      <c r="F12788" s="1" t="s">
        <v>13</v>
      </c>
    </row>
    <row r="12789" spans="1:6" ht="30" customHeight="1" x14ac:dyDescent="0.25">
      <c r="A12789" s="1" t="s">
        <v>25345</v>
      </c>
      <c r="B12789" s="1" t="str">
        <f>"9781496326492"</f>
        <v>9781496326492</v>
      </c>
      <c r="C12789" s="1" t="s">
        <v>16613</v>
      </c>
      <c r="D12789" s="2">
        <v>41341</v>
      </c>
      <c r="E12789" s="1" t="s">
        <v>16720</v>
      </c>
      <c r="F12789" s="1" t="s">
        <v>126</v>
      </c>
    </row>
    <row r="12790" spans="1:6" ht="30" customHeight="1" x14ac:dyDescent="0.25">
      <c r="A12790" s="1" t="s">
        <v>25346</v>
      </c>
      <c r="B12790" s="1" t="str">
        <f>"9781496330697"</f>
        <v>9781496330697</v>
      </c>
      <c r="C12790" s="1" t="s">
        <v>16613</v>
      </c>
      <c r="D12790" s="2">
        <v>42339</v>
      </c>
      <c r="E12790" s="1" t="s">
        <v>25347</v>
      </c>
      <c r="F12790" s="1" t="s">
        <v>13</v>
      </c>
    </row>
    <row r="12791" spans="1:6" ht="30" customHeight="1" x14ac:dyDescent="0.25">
      <c r="A12791" s="1" t="s">
        <v>25348</v>
      </c>
      <c r="B12791" s="1" t="str">
        <f>"9781469889146"</f>
        <v>9781469889146</v>
      </c>
      <c r="C12791" s="1" t="s">
        <v>16613</v>
      </c>
      <c r="D12791" s="2">
        <v>42278</v>
      </c>
      <c r="E12791" s="1" t="s">
        <v>25349</v>
      </c>
      <c r="F12791" s="1" t="s">
        <v>13</v>
      </c>
    </row>
    <row r="12792" spans="1:6" ht="30" customHeight="1" x14ac:dyDescent="0.25">
      <c r="A12792" s="1" t="s">
        <v>25350</v>
      </c>
      <c r="B12792" s="1" t="str">
        <f>"9781496310798"</f>
        <v>9781496310798</v>
      </c>
      <c r="C12792" s="1" t="s">
        <v>16613</v>
      </c>
      <c r="D12792" s="2">
        <v>42339</v>
      </c>
      <c r="E12792" s="1" t="s">
        <v>25351</v>
      </c>
      <c r="F12792" s="1" t="s">
        <v>13</v>
      </c>
    </row>
    <row r="12793" spans="1:6" ht="30" customHeight="1" x14ac:dyDescent="0.25">
      <c r="A12793" s="1" t="s">
        <v>25352</v>
      </c>
      <c r="B12793" s="1" t="str">
        <f>"9781496300423"</f>
        <v>9781496300423</v>
      </c>
      <c r="C12793" s="1" t="s">
        <v>16613</v>
      </c>
      <c r="D12793" s="2">
        <v>42259</v>
      </c>
      <c r="E12793" s="1" t="s">
        <v>25244</v>
      </c>
      <c r="F12793" s="1" t="s">
        <v>126</v>
      </c>
    </row>
    <row r="12794" spans="1:6" ht="30" customHeight="1" x14ac:dyDescent="0.25">
      <c r="A12794" s="1" t="s">
        <v>25353</v>
      </c>
      <c r="B12794" s="1" t="str">
        <f>"9781496322708"</f>
        <v>9781496322708</v>
      </c>
      <c r="C12794" s="1" t="s">
        <v>16613</v>
      </c>
      <c r="D12794" s="2">
        <v>41760</v>
      </c>
      <c r="E12794" s="1" t="s">
        <v>25354</v>
      </c>
      <c r="F12794" s="1" t="s">
        <v>13</v>
      </c>
    </row>
    <row r="12795" spans="1:6" ht="30" customHeight="1" x14ac:dyDescent="0.25">
      <c r="A12795" s="1" t="s">
        <v>25355</v>
      </c>
      <c r="B12795" s="1" t="str">
        <f>"9781496306944"</f>
        <v>9781496306944</v>
      </c>
      <c r="C12795" s="1" t="s">
        <v>16613</v>
      </c>
      <c r="D12795" s="2">
        <v>42278</v>
      </c>
      <c r="E12795" s="1" t="s">
        <v>25244</v>
      </c>
      <c r="F12795" s="1" t="s">
        <v>126</v>
      </c>
    </row>
    <row r="12796" spans="1:6" ht="30" customHeight="1" x14ac:dyDescent="0.25">
      <c r="A12796" s="1" t="s">
        <v>25356</v>
      </c>
      <c r="B12796" s="1" t="str">
        <f>"9781496337979"</f>
        <v>9781496337979</v>
      </c>
      <c r="C12796" s="1" t="s">
        <v>16613</v>
      </c>
      <c r="D12796" s="2">
        <v>42338</v>
      </c>
      <c r="E12796" s="1" t="s">
        <v>25357</v>
      </c>
      <c r="F12796" s="1" t="s">
        <v>13</v>
      </c>
    </row>
    <row r="12797" spans="1:6" ht="30" customHeight="1" x14ac:dyDescent="0.25">
      <c r="A12797" s="1" t="s">
        <v>947</v>
      </c>
      <c r="B12797" s="1" t="str">
        <f>"9781496321213"</f>
        <v>9781496321213</v>
      </c>
      <c r="C12797" s="1" t="s">
        <v>16613</v>
      </c>
      <c r="D12797" s="2">
        <v>42300</v>
      </c>
      <c r="E12797" s="1" t="s">
        <v>25358</v>
      </c>
      <c r="F12797" s="1" t="s">
        <v>13</v>
      </c>
    </row>
    <row r="12798" spans="1:6" ht="30" customHeight="1" x14ac:dyDescent="0.25">
      <c r="A12798" s="1" t="s">
        <v>25359</v>
      </c>
      <c r="B12798" s="1" t="str">
        <f>"9781469889832"</f>
        <v>9781469889832</v>
      </c>
      <c r="C12798" s="1" t="s">
        <v>16613</v>
      </c>
      <c r="D12798" s="2">
        <v>42187</v>
      </c>
      <c r="E12798" s="1" t="s">
        <v>25360</v>
      </c>
      <c r="F12798" s="1" t="s">
        <v>13</v>
      </c>
    </row>
    <row r="12799" spans="1:6" ht="30" customHeight="1" x14ac:dyDescent="0.25">
      <c r="A12799" s="1" t="s">
        <v>25361</v>
      </c>
      <c r="B12799" s="1" t="str">
        <f>"9781496308399"</f>
        <v>9781496308399</v>
      </c>
      <c r="C12799" s="1" t="s">
        <v>16613</v>
      </c>
      <c r="D12799" s="2">
        <v>42311</v>
      </c>
      <c r="E12799" s="1" t="s">
        <v>25244</v>
      </c>
      <c r="F12799" s="1" t="s">
        <v>137</v>
      </c>
    </row>
    <row r="12800" spans="1:6" ht="30" customHeight="1" x14ac:dyDescent="0.25">
      <c r="A12800" s="1" t="s">
        <v>25362</v>
      </c>
      <c r="B12800" s="1" t="str">
        <f>"9781496328144"</f>
        <v>9781496328144</v>
      </c>
      <c r="C12800" s="1" t="s">
        <v>16613</v>
      </c>
      <c r="D12800" s="2">
        <v>42309</v>
      </c>
      <c r="E12800" s="1" t="s">
        <v>25363</v>
      </c>
      <c r="F12800" s="1" t="s">
        <v>13</v>
      </c>
    </row>
    <row r="12801" spans="1:6" ht="30" customHeight="1" x14ac:dyDescent="0.25">
      <c r="A12801" s="1" t="s">
        <v>25364</v>
      </c>
      <c r="B12801" s="1" t="str">
        <f>"9781496320759"</f>
        <v>9781496320759</v>
      </c>
      <c r="C12801" s="1" t="s">
        <v>16613</v>
      </c>
      <c r="D12801" s="2">
        <v>42186</v>
      </c>
      <c r="E12801" s="1" t="s">
        <v>25365</v>
      </c>
      <c r="F12801" s="1" t="s">
        <v>234</v>
      </c>
    </row>
    <row r="12802" spans="1:6" ht="30" customHeight="1" x14ac:dyDescent="0.25">
      <c r="A12802" s="1" t="s">
        <v>25366</v>
      </c>
      <c r="B12802" s="1" t="str">
        <f>"9781496308580"</f>
        <v>9781496308580</v>
      </c>
      <c r="C12802" s="1" t="s">
        <v>16613</v>
      </c>
      <c r="D12802" s="2">
        <v>42278</v>
      </c>
      <c r="E12802" s="1" t="s">
        <v>25367</v>
      </c>
      <c r="F12802" s="1" t="s">
        <v>13</v>
      </c>
    </row>
    <row r="12803" spans="1:6" ht="30" customHeight="1" x14ac:dyDescent="0.25">
      <c r="A12803" s="1" t="s">
        <v>25368</v>
      </c>
      <c r="B12803" s="1" t="str">
        <f>"9781496328441"</f>
        <v>9781496328441</v>
      </c>
      <c r="C12803" s="1" t="s">
        <v>16613</v>
      </c>
      <c r="D12803" s="2">
        <v>42339</v>
      </c>
      <c r="E12803" s="1" t="s">
        <v>25369</v>
      </c>
      <c r="F12803" s="1" t="s">
        <v>214</v>
      </c>
    </row>
    <row r="12804" spans="1:6" ht="30" customHeight="1" x14ac:dyDescent="0.25">
      <c r="A12804" s="1" t="s">
        <v>25370</v>
      </c>
      <c r="B12804" s="1" t="str">
        <f>"9781496317506"</f>
        <v>9781496317506</v>
      </c>
      <c r="C12804" s="1" t="s">
        <v>16613</v>
      </c>
      <c r="D12804" s="2">
        <v>42217</v>
      </c>
      <c r="E12804" s="1" t="s">
        <v>25371</v>
      </c>
      <c r="F12804" s="1" t="s">
        <v>13</v>
      </c>
    </row>
    <row r="12805" spans="1:6" ht="30" customHeight="1" x14ac:dyDescent="0.25">
      <c r="A12805" s="1" t="s">
        <v>25372</v>
      </c>
      <c r="B12805" s="1" t="str">
        <f>"9781496322883"</f>
        <v>9781496322883</v>
      </c>
      <c r="C12805" s="1" t="s">
        <v>16613</v>
      </c>
      <c r="D12805" s="2">
        <v>42278</v>
      </c>
      <c r="E12805" s="1" t="s">
        <v>25373</v>
      </c>
      <c r="F12805" s="1" t="s">
        <v>13</v>
      </c>
    </row>
    <row r="12806" spans="1:6" ht="30" customHeight="1" x14ac:dyDescent="0.25">
      <c r="A12806" s="1" t="s">
        <v>25374</v>
      </c>
      <c r="B12806" s="1" t="str">
        <f>"9781496318732"</f>
        <v>9781496318732</v>
      </c>
      <c r="C12806" s="1" t="s">
        <v>16613</v>
      </c>
      <c r="D12806" s="2">
        <v>42217</v>
      </c>
      <c r="E12806" s="1" t="s">
        <v>25375</v>
      </c>
      <c r="F12806" s="1" t="s">
        <v>13</v>
      </c>
    </row>
    <row r="12807" spans="1:6" ht="30" customHeight="1" x14ac:dyDescent="0.25">
      <c r="A12807" s="1" t="s">
        <v>25376</v>
      </c>
      <c r="B12807" s="1" t="str">
        <f>"9781496329561"</f>
        <v>9781496329561</v>
      </c>
      <c r="C12807" s="1" t="s">
        <v>16613</v>
      </c>
      <c r="D12807" s="2">
        <v>42309</v>
      </c>
      <c r="E12807" s="1" t="s">
        <v>25377</v>
      </c>
      <c r="F12807" s="1" t="s">
        <v>13</v>
      </c>
    </row>
    <row r="12808" spans="1:6" ht="30" customHeight="1" x14ac:dyDescent="0.25">
      <c r="A12808" s="1" t="s">
        <v>25378</v>
      </c>
      <c r="B12808" s="1" t="str">
        <f>"9781451154511"</f>
        <v>9781451154511</v>
      </c>
      <c r="C12808" s="1" t="s">
        <v>16613</v>
      </c>
      <c r="D12808" s="2">
        <v>42226</v>
      </c>
      <c r="E12808" s="1" t="s">
        <v>25379</v>
      </c>
      <c r="F12808" s="1" t="s">
        <v>13</v>
      </c>
    </row>
    <row r="12809" spans="1:6" ht="30" customHeight="1" x14ac:dyDescent="0.25">
      <c r="A12809" s="1" t="s">
        <v>25380</v>
      </c>
      <c r="B12809" s="1" t="str">
        <f>"9781496329592"</f>
        <v>9781496329592</v>
      </c>
      <c r="C12809" s="1" t="s">
        <v>16613</v>
      </c>
      <c r="D12809" s="2">
        <v>42309</v>
      </c>
      <c r="E12809" s="1" t="s">
        <v>25381</v>
      </c>
      <c r="F12809" s="1" t="s">
        <v>13</v>
      </c>
    </row>
    <row r="12810" spans="1:6" ht="30" customHeight="1" x14ac:dyDescent="0.25">
      <c r="A12810" s="1" t="s">
        <v>25382</v>
      </c>
      <c r="B12810" s="1" t="str">
        <f>"9781496319470"</f>
        <v>9781496319470</v>
      </c>
      <c r="C12810" s="1" t="s">
        <v>16613</v>
      </c>
      <c r="D12810" s="2">
        <v>42248</v>
      </c>
      <c r="E12810" s="1" t="s">
        <v>25383</v>
      </c>
      <c r="F12810" s="1" t="s">
        <v>13</v>
      </c>
    </row>
    <row r="12811" spans="1:6" ht="30" customHeight="1" x14ac:dyDescent="0.25">
      <c r="A12811" s="1" t="s">
        <v>16959</v>
      </c>
      <c r="B12811" s="1" t="str">
        <f>"9781496302618"</f>
        <v>9781496302618</v>
      </c>
      <c r="C12811" s="1" t="s">
        <v>16613</v>
      </c>
      <c r="D12811" s="2">
        <v>42278</v>
      </c>
      <c r="E12811" s="1" t="s">
        <v>25384</v>
      </c>
      <c r="F12811" s="1" t="s">
        <v>16961</v>
      </c>
    </row>
    <row r="12812" spans="1:6" ht="30" customHeight="1" x14ac:dyDescent="0.25">
      <c r="A12812" s="1" t="s">
        <v>25385</v>
      </c>
      <c r="B12812" s="1" t="str">
        <f>"9781585285556"</f>
        <v>9781585285556</v>
      </c>
      <c r="C12812" s="1" t="s">
        <v>19579</v>
      </c>
      <c r="D12812" s="2">
        <v>42795</v>
      </c>
      <c r="E12812" s="1" t="s">
        <v>25386</v>
      </c>
      <c r="F12812" s="1" t="s">
        <v>137</v>
      </c>
    </row>
    <row r="12813" spans="1:6" ht="30" customHeight="1" x14ac:dyDescent="0.25">
      <c r="A12813" s="1" t="s">
        <v>25387</v>
      </c>
      <c r="B12813" s="1" t="str">
        <f>"9783131997319"</f>
        <v>9783131997319</v>
      </c>
      <c r="C12813" s="1" t="s">
        <v>1671</v>
      </c>
      <c r="D12813" s="2">
        <v>42123</v>
      </c>
      <c r="E12813" s="1" t="s">
        <v>25388</v>
      </c>
      <c r="F12813" s="1" t="s">
        <v>13</v>
      </c>
    </row>
    <row r="12814" spans="1:6" ht="30" customHeight="1" x14ac:dyDescent="0.25">
      <c r="A12814" s="1" t="s">
        <v>25389</v>
      </c>
      <c r="B12814" s="1" t="str">
        <f>"9781626373518"</f>
        <v>9781626373518</v>
      </c>
      <c r="C12814" s="1" t="s">
        <v>25390</v>
      </c>
      <c r="D12814" s="2">
        <v>41105</v>
      </c>
      <c r="E12814" s="1" t="s">
        <v>25391</v>
      </c>
      <c r="F12814" s="1" t="s">
        <v>599</v>
      </c>
    </row>
    <row r="12815" spans="1:6" ht="30" customHeight="1" x14ac:dyDescent="0.25">
      <c r="A12815" s="1" t="s">
        <v>25392</v>
      </c>
      <c r="B12815" s="1" t="str">
        <f>"9781610020831"</f>
        <v>9781610020831</v>
      </c>
      <c r="C12815" s="1" t="s">
        <v>9624</v>
      </c>
      <c r="D12815" s="2">
        <v>42783</v>
      </c>
      <c r="E12815" s="1" t="s">
        <v>25393</v>
      </c>
      <c r="F12815" s="1" t="s">
        <v>13</v>
      </c>
    </row>
    <row r="12816" spans="1:6" ht="30" customHeight="1" x14ac:dyDescent="0.25">
      <c r="A12816" s="1" t="s">
        <v>25394</v>
      </c>
      <c r="B12816" s="1" t="str">
        <f>"9781683730415"</f>
        <v>9781683730415</v>
      </c>
      <c r="C12816" s="1" t="s">
        <v>17317</v>
      </c>
      <c r="D12816" s="2">
        <v>42767</v>
      </c>
      <c r="E12816" s="1" t="s">
        <v>25395</v>
      </c>
      <c r="F12816" s="1" t="s">
        <v>13</v>
      </c>
    </row>
    <row r="12817" spans="1:6" ht="30" customHeight="1" x14ac:dyDescent="0.25">
      <c r="A12817" s="1" t="s">
        <v>25396</v>
      </c>
      <c r="B12817" s="1" t="str">
        <f>"9780801454639"</f>
        <v>9780801454639</v>
      </c>
      <c r="C12817" s="1" t="s">
        <v>19796</v>
      </c>
      <c r="D12817" s="2">
        <v>41963</v>
      </c>
      <c r="E12817" s="1" t="s">
        <v>25397</v>
      </c>
      <c r="F12817" s="1" t="s">
        <v>214</v>
      </c>
    </row>
    <row r="12818" spans="1:6" ht="30" customHeight="1" x14ac:dyDescent="0.25">
      <c r="A12818" s="1" t="s">
        <v>25398</v>
      </c>
      <c r="B12818" s="1" t="str">
        <f>"9781501703874"</f>
        <v>9781501703874</v>
      </c>
      <c r="C12818" s="1" t="s">
        <v>19796</v>
      </c>
      <c r="D12818" s="2">
        <v>42509</v>
      </c>
      <c r="E12818" s="1" t="s">
        <v>25399</v>
      </c>
      <c r="F12818" s="1" t="s">
        <v>95</v>
      </c>
    </row>
    <row r="12819" spans="1:6" ht="30" customHeight="1" x14ac:dyDescent="0.25">
      <c r="A12819" s="1" t="s">
        <v>25400</v>
      </c>
      <c r="B12819" s="1" t="str">
        <f>"9781683730477"</f>
        <v>9781683730477</v>
      </c>
      <c r="C12819" s="1" t="s">
        <v>17317</v>
      </c>
      <c r="D12819" s="2">
        <v>42795</v>
      </c>
      <c r="E12819" s="1" t="s">
        <v>25401</v>
      </c>
      <c r="F12819" s="1" t="s">
        <v>13</v>
      </c>
    </row>
    <row r="12820" spans="1:6" ht="30" customHeight="1" x14ac:dyDescent="0.25">
      <c r="A12820" s="1" t="s">
        <v>25402</v>
      </c>
      <c r="B12820" s="1" t="str">
        <f>"9783110346268"</f>
        <v>9783110346268</v>
      </c>
      <c r="C12820" s="1" t="s">
        <v>1848</v>
      </c>
      <c r="D12820" s="2">
        <v>42800</v>
      </c>
      <c r="E12820" s="1" t="s">
        <v>25403</v>
      </c>
      <c r="F12820" s="1" t="s">
        <v>13</v>
      </c>
    </row>
    <row r="12821" spans="1:6" ht="30" customHeight="1" x14ac:dyDescent="0.25">
      <c r="A12821" s="1" t="s">
        <v>25404</v>
      </c>
      <c r="B12821" s="1" t="str">
        <f>"9781532604881"</f>
        <v>9781532604881</v>
      </c>
      <c r="C12821" s="1" t="s">
        <v>25405</v>
      </c>
      <c r="D12821" s="2">
        <v>42571</v>
      </c>
      <c r="E12821" s="1" t="s">
        <v>25406</v>
      </c>
      <c r="F12821" s="1" t="s">
        <v>13</v>
      </c>
    </row>
    <row r="12822" spans="1:6" ht="30" customHeight="1" x14ac:dyDescent="0.25">
      <c r="A12822" s="1" t="s">
        <v>25407</v>
      </c>
      <c r="B12822" s="1" t="str">
        <f>"9781589014718"</f>
        <v>9781589014718</v>
      </c>
      <c r="C12822" s="1" t="s">
        <v>6517</v>
      </c>
      <c r="D12822" s="2">
        <v>36689</v>
      </c>
      <c r="E12822" s="1" t="s">
        <v>846</v>
      </c>
      <c r="F12822" s="1" t="s">
        <v>21</v>
      </c>
    </row>
    <row r="12823" spans="1:6" ht="30" customHeight="1" x14ac:dyDescent="0.25">
      <c r="A12823" s="1" t="s">
        <v>25408</v>
      </c>
      <c r="B12823" s="1" t="str">
        <f>"9788024633923"</f>
        <v>9788024633923</v>
      </c>
      <c r="C12823" s="1" t="s">
        <v>16517</v>
      </c>
      <c r="D12823" s="2">
        <v>42736</v>
      </c>
      <c r="E12823" s="1" t="s">
        <v>25409</v>
      </c>
      <c r="F12823" s="1" t="s">
        <v>13</v>
      </c>
    </row>
    <row r="12824" spans="1:6" ht="30" customHeight="1" x14ac:dyDescent="0.25">
      <c r="A12824" s="1" t="s">
        <v>25410</v>
      </c>
      <c r="B12824" s="1" t="str">
        <f>"9781496331014"</f>
        <v>9781496331014</v>
      </c>
      <c r="C12824" s="1" t="s">
        <v>16613</v>
      </c>
      <c r="D12824" s="2">
        <v>42363</v>
      </c>
      <c r="E12824" s="1" t="s">
        <v>25411</v>
      </c>
      <c r="F12824" s="1" t="s">
        <v>13</v>
      </c>
    </row>
    <row r="12825" spans="1:6" ht="30" customHeight="1" x14ac:dyDescent="0.25">
      <c r="A12825" s="1" t="s">
        <v>25412</v>
      </c>
      <c r="B12825" s="1" t="str">
        <f>"9781496348876"</f>
        <v>9781496348876</v>
      </c>
      <c r="C12825" s="1" t="s">
        <v>16613</v>
      </c>
      <c r="D12825" s="2">
        <v>42308</v>
      </c>
      <c r="E12825" s="1" t="s">
        <v>25413</v>
      </c>
      <c r="F12825" s="1" t="s">
        <v>13</v>
      </c>
    </row>
    <row r="12826" spans="1:6" ht="30" customHeight="1" x14ac:dyDescent="0.25">
      <c r="A12826" s="1" t="s">
        <v>25414</v>
      </c>
      <c r="B12826" s="1" t="str">
        <f>"9781496347374"</f>
        <v>9781496347374</v>
      </c>
      <c r="C12826" s="1" t="s">
        <v>16613</v>
      </c>
      <c r="D12826" s="2">
        <v>42430</v>
      </c>
      <c r="E12826" s="1" t="s">
        <v>25415</v>
      </c>
      <c r="F12826" s="1" t="s">
        <v>13</v>
      </c>
    </row>
    <row r="12827" spans="1:6" ht="30" customHeight="1" x14ac:dyDescent="0.25">
      <c r="A12827" s="1" t="s">
        <v>25416</v>
      </c>
      <c r="B12827" s="1" t="str">
        <f>"9781496328175"</f>
        <v>9781496328175</v>
      </c>
      <c r="C12827" s="1" t="s">
        <v>16613</v>
      </c>
      <c r="D12827" s="2">
        <v>42454</v>
      </c>
      <c r="E12827" s="1" t="s">
        <v>25417</v>
      </c>
      <c r="F12827" s="1" t="s">
        <v>13</v>
      </c>
    </row>
    <row r="12828" spans="1:6" ht="30" customHeight="1" x14ac:dyDescent="0.25">
      <c r="A12828" s="1" t="s">
        <v>25418</v>
      </c>
      <c r="B12828" s="1" t="str">
        <f>"9781496348708"</f>
        <v>9781496348708</v>
      </c>
      <c r="C12828" s="1" t="s">
        <v>16613</v>
      </c>
      <c r="D12828" s="2">
        <v>42430</v>
      </c>
      <c r="E12828" s="1" t="s">
        <v>25419</v>
      </c>
      <c r="F12828" s="1" t="s">
        <v>13</v>
      </c>
    </row>
    <row r="12829" spans="1:6" ht="30" customHeight="1" x14ac:dyDescent="0.25">
      <c r="A12829" s="1" t="s">
        <v>25420</v>
      </c>
      <c r="B12829" s="1" t="str">
        <f>""</f>
        <v/>
      </c>
      <c r="C12829" s="1" t="s">
        <v>25421</v>
      </c>
      <c r="D12829" s="2">
        <v>42681</v>
      </c>
      <c r="E12829" s="1" t="s">
        <v>25421</v>
      </c>
      <c r="F12829" s="1" t="s">
        <v>13</v>
      </c>
    </row>
    <row r="12830" spans="1:6" ht="30" customHeight="1" x14ac:dyDescent="0.25">
      <c r="A12830" s="1" t="s">
        <v>25422</v>
      </c>
      <c r="B12830" s="1" t="str">
        <f>"9781467440554"</f>
        <v>9781467440554</v>
      </c>
      <c r="C12830" s="1" t="s">
        <v>25423</v>
      </c>
      <c r="D12830" s="2">
        <v>41694</v>
      </c>
      <c r="E12830" s="1" t="s">
        <v>25424</v>
      </c>
      <c r="F12830" s="1" t="s">
        <v>205</v>
      </c>
    </row>
    <row r="12831" spans="1:6" ht="30" customHeight="1" x14ac:dyDescent="0.25">
      <c r="A12831" s="1" t="s">
        <v>25425</v>
      </c>
      <c r="B12831" s="1" t="str">
        <f>"9781467437530"</f>
        <v>9781467437530</v>
      </c>
      <c r="C12831" s="1" t="s">
        <v>25423</v>
      </c>
      <c r="D12831" s="2">
        <v>41330</v>
      </c>
      <c r="E12831" s="1" t="s">
        <v>25426</v>
      </c>
      <c r="F12831" s="1" t="s">
        <v>21</v>
      </c>
    </row>
    <row r="12832" spans="1:6" ht="30" customHeight="1" x14ac:dyDescent="0.25">
      <c r="A12832" s="1" t="s">
        <v>25427</v>
      </c>
      <c r="B12832" s="1" t="str">
        <f>"9781467435819"</f>
        <v>9781467435819</v>
      </c>
      <c r="C12832" s="1" t="s">
        <v>25423</v>
      </c>
      <c r="D12832" s="2">
        <v>41176</v>
      </c>
      <c r="E12832" s="1" t="s">
        <v>25428</v>
      </c>
      <c r="F12832" s="1" t="s">
        <v>205</v>
      </c>
    </row>
    <row r="12833" spans="1:6" ht="30" customHeight="1" x14ac:dyDescent="0.25">
      <c r="A12833" s="1" t="s">
        <v>14841</v>
      </c>
      <c r="B12833" s="1" t="str">
        <f>"9781119278061"</f>
        <v>9781119278061</v>
      </c>
      <c r="C12833" s="1" t="s">
        <v>65</v>
      </c>
      <c r="D12833" s="2">
        <v>42440</v>
      </c>
      <c r="E12833" s="1" t="s">
        <v>25429</v>
      </c>
      <c r="F12833" s="1" t="s">
        <v>13</v>
      </c>
    </row>
    <row r="12834" spans="1:6" ht="30" customHeight="1" x14ac:dyDescent="0.25">
      <c r="A12834" s="1" t="s">
        <v>25430</v>
      </c>
      <c r="B12834" s="1" t="str">
        <f>"9781780843735"</f>
        <v>9781780843735</v>
      </c>
      <c r="C12834" s="1" t="s">
        <v>25431</v>
      </c>
      <c r="D12834" s="2">
        <v>42156</v>
      </c>
      <c r="E12834" s="1" t="s">
        <v>25432</v>
      </c>
      <c r="F12834" s="1" t="s">
        <v>13</v>
      </c>
    </row>
    <row r="12835" spans="1:6" ht="30" customHeight="1" x14ac:dyDescent="0.25">
      <c r="A12835" s="1" t="s">
        <v>25433</v>
      </c>
      <c r="B12835" s="1" t="str">
        <f>"9781501502538"</f>
        <v>9781501502538</v>
      </c>
      <c r="C12835" s="1" t="s">
        <v>1848</v>
      </c>
      <c r="D12835" s="2">
        <v>43003</v>
      </c>
      <c r="E12835" s="1" t="s">
        <v>25434</v>
      </c>
      <c r="F12835" s="1" t="s">
        <v>268</v>
      </c>
    </row>
    <row r="12836" spans="1:6" ht="30" customHeight="1" x14ac:dyDescent="0.25">
      <c r="A12836" s="1" t="s">
        <v>25435</v>
      </c>
      <c r="B12836" s="1" t="str">
        <f>"9781683730545"</f>
        <v>9781683730545</v>
      </c>
      <c r="C12836" s="1" t="s">
        <v>17317</v>
      </c>
      <c r="D12836" s="2">
        <v>42821</v>
      </c>
      <c r="E12836" s="1" t="s">
        <v>25436</v>
      </c>
      <c r="F12836" s="1" t="s">
        <v>95</v>
      </c>
    </row>
    <row r="12837" spans="1:6" ht="30" customHeight="1" x14ac:dyDescent="0.25">
      <c r="A12837" s="1" t="s">
        <v>25437</v>
      </c>
      <c r="B12837" s="1" t="str">
        <f>"9780160939068"</f>
        <v>9780160939068</v>
      </c>
      <c r="C12837" s="1" t="s">
        <v>25438</v>
      </c>
      <c r="D12837" s="2">
        <v>42376</v>
      </c>
      <c r="E12837" s="1" t="s">
        <v>25439</v>
      </c>
      <c r="F12837" s="1" t="s">
        <v>13</v>
      </c>
    </row>
    <row r="12838" spans="1:6" ht="30" customHeight="1" x14ac:dyDescent="0.25">
      <c r="A12838" s="1" t="s">
        <v>25440</v>
      </c>
      <c r="B12838" s="1" t="str">
        <f>"9781496347619"</f>
        <v>9781496347619</v>
      </c>
      <c r="C12838" s="1" t="s">
        <v>16613</v>
      </c>
      <c r="D12838" s="2">
        <v>42422</v>
      </c>
      <c r="E12838" s="1" t="s">
        <v>25441</v>
      </c>
      <c r="F12838" s="1" t="s">
        <v>13</v>
      </c>
    </row>
    <row r="12839" spans="1:6" ht="30" customHeight="1" x14ac:dyDescent="0.25">
      <c r="A12839" s="1" t="s">
        <v>25442</v>
      </c>
      <c r="B12839" s="1" t="str">
        <f>"9788897419723"</f>
        <v>9788897419723</v>
      </c>
      <c r="C12839" s="1" t="s">
        <v>25443</v>
      </c>
      <c r="D12839" s="2">
        <v>42674</v>
      </c>
      <c r="E12839" s="1" t="s">
        <v>25444</v>
      </c>
      <c r="F12839" s="1" t="s">
        <v>13</v>
      </c>
    </row>
    <row r="12840" spans="1:6" ht="30" customHeight="1" x14ac:dyDescent="0.25">
      <c r="A12840" s="1" t="s">
        <v>25445</v>
      </c>
      <c r="B12840" s="1" t="str">
        <f>"9781780844510"</f>
        <v>9781780844510</v>
      </c>
      <c r="C12840" s="1" t="s">
        <v>25431</v>
      </c>
      <c r="D12840" s="2">
        <v>41699</v>
      </c>
      <c r="E12840" s="1" t="s">
        <v>25446</v>
      </c>
      <c r="F12840" s="1" t="s">
        <v>13</v>
      </c>
    </row>
    <row r="12841" spans="1:6" ht="30" customHeight="1" x14ac:dyDescent="0.25">
      <c r="A12841" s="1" t="s">
        <v>25447</v>
      </c>
      <c r="B12841" s="1" t="str">
        <f>"9781780844602"</f>
        <v>9781780844602</v>
      </c>
      <c r="C12841" s="1" t="s">
        <v>25431</v>
      </c>
      <c r="D12841" s="2">
        <v>42309</v>
      </c>
      <c r="E12841" s="1" t="s">
        <v>25448</v>
      </c>
      <c r="F12841" s="1" t="s">
        <v>13</v>
      </c>
    </row>
    <row r="12842" spans="1:6" ht="30" customHeight="1" x14ac:dyDescent="0.25">
      <c r="A12842" s="1" t="s">
        <v>25449</v>
      </c>
      <c r="B12842" s="1" t="str">
        <f>"9781780844756"</f>
        <v>9781780844756</v>
      </c>
      <c r="C12842" s="1" t="s">
        <v>25431</v>
      </c>
      <c r="D12842" s="2">
        <v>41730</v>
      </c>
      <c r="E12842" s="1" t="s">
        <v>25450</v>
      </c>
      <c r="F12842" s="1" t="s">
        <v>13</v>
      </c>
    </row>
    <row r="12843" spans="1:6" ht="30" customHeight="1" x14ac:dyDescent="0.25">
      <c r="A12843" s="1" t="s">
        <v>25451</v>
      </c>
      <c r="B12843" s="1" t="str">
        <f>"9781780844909"</f>
        <v>9781780844909</v>
      </c>
      <c r="C12843" s="1" t="s">
        <v>25431</v>
      </c>
      <c r="D12843" s="2">
        <v>42401</v>
      </c>
      <c r="E12843" s="1" t="s">
        <v>25452</v>
      </c>
      <c r="F12843" s="1" t="s">
        <v>13</v>
      </c>
    </row>
    <row r="12844" spans="1:6" ht="30" customHeight="1" x14ac:dyDescent="0.25">
      <c r="A12844" s="1" t="s">
        <v>25453</v>
      </c>
      <c r="B12844" s="1" t="str">
        <f>"9781780845296"</f>
        <v>9781780845296</v>
      </c>
      <c r="C12844" s="1" t="s">
        <v>25431</v>
      </c>
      <c r="D12844" s="2">
        <v>41730</v>
      </c>
      <c r="E12844" s="1" t="s">
        <v>25454</v>
      </c>
      <c r="F12844" s="1" t="s">
        <v>13</v>
      </c>
    </row>
    <row r="12845" spans="1:6" ht="30" customHeight="1" x14ac:dyDescent="0.25">
      <c r="A12845" s="1" t="s">
        <v>25455</v>
      </c>
      <c r="B12845" s="1" t="str">
        <f>"9781780845326"</f>
        <v>9781780845326</v>
      </c>
      <c r="C12845" s="1" t="s">
        <v>25431</v>
      </c>
      <c r="D12845" s="2">
        <v>41730</v>
      </c>
      <c r="E12845" s="1" t="s">
        <v>25454</v>
      </c>
      <c r="F12845" s="1" t="s">
        <v>13</v>
      </c>
    </row>
    <row r="12846" spans="1:6" ht="30" customHeight="1" x14ac:dyDescent="0.25">
      <c r="A12846" s="1" t="s">
        <v>25456</v>
      </c>
      <c r="B12846" s="1" t="str">
        <f>"9781780845418"</f>
        <v>9781780845418</v>
      </c>
      <c r="C12846" s="1" t="s">
        <v>25431</v>
      </c>
      <c r="D12846" s="2">
        <v>41730</v>
      </c>
      <c r="E12846" s="1" t="s">
        <v>25457</v>
      </c>
      <c r="F12846" s="1" t="s">
        <v>13</v>
      </c>
    </row>
    <row r="12847" spans="1:6" ht="30" customHeight="1" x14ac:dyDescent="0.25">
      <c r="A12847" s="1" t="s">
        <v>25458</v>
      </c>
      <c r="B12847" s="1" t="str">
        <f>"9781780842110"</f>
        <v>9781780842110</v>
      </c>
      <c r="C12847" s="1" t="s">
        <v>25431</v>
      </c>
      <c r="D12847" s="2">
        <v>41732</v>
      </c>
      <c r="E12847" s="1" t="s">
        <v>25459</v>
      </c>
      <c r="F12847" s="1" t="s">
        <v>13</v>
      </c>
    </row>
    <row r="12848" spans="1:6" ht="30" customHeight="1" x14ac:dyDescent="0.25">
      <c r="A12848" s="1" t="s">
        <v>25460</v>
      </c>
      <c r="B12848" s="1" t="str">
        <f>"9781780842806"</f>
        <v>9781780842806</v>
      </c>
      <c r="C12848" s="1" t="s">
        <v>25431</v>
      </c>
      <c r="D12848" s="2">
        <v>41674</v>
      </c>
      <c r="E12848" s="1" t="s">
        <v>25461</v>
      </c>
      <c r="F12848" s="1" t="s">
        <v>13</v>
      </c>
    </row>
    <row r="12849" spans="1:6" ht="30" customHeight="1" x14ac:dyDescent="0.25">
      <c r="A12849" s="1" t="s">
        <v>25462</v>
      </c>
      <c r="B12849" s="1" t="str">
        <f>"9781780842929"</f>
        <v>9781780842929</v>
      </c>
      <c r="C12849" s="1" t="s">
        <v>25431</v>
      </c>
      <c r="D12849" s="2">
        <v>41823</v>
      </c>
      <c r="E12849" s="1" t="s">
        <v>25463</v>
      </c>
      <c r="F12849" s="1" t="s">
        <v>158</v>
      </c>
    </row>
    <row r="12850" spans="1:6" ht="30" customHeight="1" x14ac:dyDescent="0.25">
      <c r="A12850" s="1" t="s">
        <v>25464</v>
      </c>
      <c r="B12850" s="1" t="str">
        <f>"9781780843315"</f>
        <v>9781780843315</v>
      </c>
      <c r="C12850" s="1" t="s">
        <v>25431</v>
      </c>
      <c r="D12850" s="2">
        <v>41626</v>
      </c>
      <c r="E12850" s="1" t="s">
        <v>25465</v>
      </c>
      <c r="F12850" s="1" t="s">
        <v>13</v>
      </c>
    </row>
    <row r="12851" spans="1:6" ht="30" customHeight="1" x14ac:dyDescent="0.25">
      <c r="A12851" s="1" t="s">
        <v>25466</v>
      </c>
      <c r="B12851" s="1" t="str">
        <f>"9781780843377"</f>
        <v>9781780843377</v>
      </c>
      <c r="C12851" s="1" t="s">
        <v>25431</v>
      </c>
      <c r="D12851" s="2">
        <v>41673</v>
      </c>
      <c r="E12851" s="1" t="s">
        <v>25467</v>
      </c>
      <c r="F12851" s="1" t="s">
        <v>2073</v>
      </c>
    </row>
    <row r="12852" spans="1:6" ht="30" customHeight="1" x14ac:dyDescent="0.25">
      <c r="A12852" s="1" t="s">
        <v>25468</v>
      </c>
      <c r="B12852" s="1" t="str">
        <f>"9781780843490"</f>
        <v>9781780843490</v>
      </c>
      <c r="C12852" s="1" t="s">
        <v>25431</v>
      </c>
      <c r="D12852" s="2">
        <v>41614</v>
      </c>
      <c r="E12852" s="1" t="s">
        <v>25469</v>
      </c>
      <c r="F12852" s="1" t="s">
        <v>13</v>
      </c>
    </row>
    <row r="12853" spans="1:6" ht="30" customHeight="1" x14ac:dyDescent="0.25">
      <c r="A12853" s="1" t="s">
        <v>25470</v>
      </c>
      <c r="B12853" s="1" t="str">
        <f>"9781780843674"</f>
        <v>9781780843674</v>
      </c>
      <c r="C12853" s="1" t="s">
        <v>25431</v>
      </c>
      <c r="D12853" s="2">
        <v>41544</v>
      </c>
      <c r="E12853" s="1" t="s">
        <v>25471</v>
      </c>
      <c r="F12853" s="1" t="s">
        <v>13</v>
      </c>
    </row>
    <row r="12854" spans="1:6" ht="30" customHeight="1" x14ac:dyDescent="0.25">
      <c r="A12854" s="1" t="s">
        <v>25472</v>
      </c>
      <c r="B12854" s="1" t="str">
        <f>"9781780843797"</f>
        <v>9781780843797</v>
      </c>
      <c r="C12854" s="1" t="s">
        <v>25431</v>
      </c>
      <c r="D12854" s="2">
        <v>41694</v>
      </c>
      <c r="E12854" s="1" t="s">
        <v>25473</v>
      </c>
      <c r="F12854" s="1" t="s">
        <v>13</v>
      </c>
    </row>
    <row r="12855" spans="1:6" ht="30" customHeight="1" x14ac:dyDescent="0.25">
      <c r="A12855" s="1" t="s">
        <v>25474</v>
      </c>
      <c r="B12855" s="1" t="str">
        <f>"9781780843858"</f>
        <v>9781780843858</v>
      </c>
      <c r="C12855" s="1" t="s">
        <v>25431</v>
      </c>
      <c r="D12855" s="2">
        <v>41680</v>
      </c>
      <c r="E12855" s="1" t="s">
        <v>25475</v>
      </c>
      <c r="F12855" s="1" t="s">
        <v>13</v>
      </c>
    </row>
    <row r="12856" spans="1:6" ht="30" customHeight="1" x14ac:dyDescent="0.25">
      <c r="A12856" s="1" t="s">
        <v>25476</v>
      </c>
      <c r="B12856" s="1" t="str">
        <f>"9781780844275"</f>
        <v>9781780844275</v>
      </c>
      <c r="C12856" s="1" t="s">
        <v>25431</v>
      </c>
      <c r="D12856" s="2">
        <v>41829</v>
      </c>
      <c r="E12856" s="1" t="s">
        <v>25477</v>
      </c>
      <c r="F12856" s="1" t="s">
        <v>13</v>
      </c>
    </row>
    <row r="12857" spans="1:6" ht="30" customHeight="1" x14ac:dyDescent="0.25">
      <c r="A12857" s="1" t="s">
        <v>25478</v>
      </c>
      <c r="B12857" s="1" t="str">
        <f>"9781780844367"</f>
        <v>9781780844367</v>
      </c>
      <c r="C12857" s="1" t="s">
        <v>25431</v>
      </c>
      <c r="D12857" s="2">
        <v>41698</v>
      </c>
      <c r="E12857" s="1" t="s">
        <v>25479</v>
      </c>
      <c r="F12857" s="1" t="s">
        <v>13</v>
      </c>
    </row>
    <row r="12858" spans="1:6" ht="30" customHeight="1" x14ac:dyDescent="0.25">
      <c r="A12858" s="1" t="s">
        <v>25480</v>
      </c>
      <c r="B12858" s="1" t="str">
        <f>"9781780844398"</f>
        <v>9781780844398</v>
      </c>
      <c r="C12858" s="1" t="s">
        <v>25431</v>
      </c>
      <c r="D12858" s="2">
        <v>41730</v>
      </c>
      <c r="E12858" s="1" t="s">
        <v>25481</v>
      </c>
      <c r="F12858" s="1" t="s">
        <v>13</v>
      </c>
    </row>
    <row r="12859" spans="1:6" ht="30" customHeight="1" x14ac:dyDescent="0.25">
      <c r="A12859" s="1" t="s">
        <v>25482</v>
      </c>
      <c r="B12859" s="1" t="str">
        <f>"9781909453210"</f>
        <v>9781909453210</v>
      </c>
      <c r="C12859" s="1" t="s">
        <v>25483</v>
      </c>
      <c r="D12859" s="2">
        <v>41669</v>
      </c>
      <c r="E12859" s="1" t="s">
        <v>25484</v>
      </c>
      <c r="F12859" s="1" t="s">
        <v>214</v>
      </c>
    </row>
    <row r="12860" spans="1:6" ht="30" customHeight="1" x14ac:dyDescent="0.25">
      <c r="A12860" s="1" t="s">
        <v>25485</v>
      </c>
      <c r="B12860" s="1" t="str">
        <f>"9781909453272"</f>
        <v>9781909453272</v>
      </c>
      <c r="C12860" s="1" t="s">
        <v>25483</v>
      </c>
      <c r="D12860" s="2">
        <v>41680</v>
      </c>
      <c r="E12860" s="1" t="s">
        <v>25486</v>
      </c>
      <c r="F12860" s="1" t="s">
        <v>137</v>
      </c>
    </row>
    <row r="12861" spans="1:6" ht="30" customHeight="1" x14ac:dyDescent="0.25">
      <c r="A12861" s="1" t="s">
        <v>25487</v>
      </c>
      <c r="B12861" s="1" t="str">
        <f>"9781909453364"</f>
        <v>9781909453364</v>
      </c>
      <c r="C12861" s="1" t="s">
        <v>25483</v>
      </c>
      <c r="D12861" s="2">
        <v>41558</v>
      </c>
      <c r="E12861" s="1" t="s">
        <v>25488</v>
      </c>
      <c r="F12861" s="1" t="s">
        <v>137</v>
      </c>
    </row>
    <row r="12862" spans="1:6" ht="30" customHeight="1" x14ac:dyDescent="0.25">
      <c r="A12862" s="1" t="s">
        <v>25489</v>
      </c>
      <c r="B12862" s="1" t="str">
        <f>"9781909453517"</f>
        <v>9781909453517</v>
      </c>
      <c r="C12862" s="1" t="s">
        <v>25483</v>
      </c>
      <c r="D12862" s="2">
        <v>41733</v>
      </c>
      <c r="E12862" s="1" t="s">
        <v>25490</v>
      </c>
      <c r="F12862" s="1" t="s">
        <v>13</v>
      </c>
    </row>
    <row r="12863" spans="1:6" ht="30" customHeight="1" x14ac:dyDescent="0.25">
      <c r="A12863" s="1" t="s">
        <v>25491</v>
      </c>
      <c r="B12863" s="1" t="str">
        <f>"9781909453661"</f>
        <v>9781909453661</v>
      </c>
      <c r="C12863" s="1" t="s">
        <v>25483</v>
      </c>
      <c r="D12863" s="2">
        <v>41558</v>
      </c>
      <c r="E12863" s="1" t="s">
        <v>25492</v>
      </c>
      <c r="F12863" s="1" t="s">
        <v>137</v>
      </c>
    </row>
    <row r="12864" spans="1:6" ht="30" customHeight="1" x14ac:dyDescent="0.25">
      <c r="A12864" s="1" t="s">
        <v>25493</v>
      </c>
      <c r="B12864" s="1" t="str">
        <f>"9781909453630"</f>
        <v>9781909453630</v>
      </c>
      <c r="C12864" s="1" t="s">
        <v>25483</v>
      </c>
      <c r="D12864" s="2">
        <v>41596</v>
      </c>
      <c r="E12864" s="1" t="s">
        <v>25494</v>
      </c>
      <c r="F12864" s="1" t="s">
        <v>13</v>
      </c>
    </row>
    <row r="12865" spans="1:6" ht="30" customHeight="1" x14ac:dyDescent="0.25">
      <c r="A12865" s="1" t="s">
        <v>25495</v>
      </c>
      <c r="B12865" s="1" t="str">
        <f>"9781909453722"</f>
        <v>9781909453722</v>
      </c>
      <c r="C12865" s="1" t="s">
        <v>25483</v>
      </c>
      <c r="D12865" s="2">
        <v>41558</v>
      </c>
      <c r="E12865" s="1" t="s">
        <v>25496</v>
      </c>
      <c r="F12865" s="1" t="s">
        <v>137</v>
      </c>
    </row>
    <row r="12866" spans="1:6" ht="30" customHeight="1" x14ac:dyDescent="0.25">
      <c r="A12866" s="1" t="s">
        <v>25497</v>
      </c>
      <c r="B12866" s="1" t="str">
        <f>"9781909453753"</f>
        <v>9781909453753</v>
      </c>
      <c r="C12866" s="1" t="s">
        <v>25483</v>
      </c>
      <c r="D12866" s="2">
        <v>41577</v>
      </c>
      <c r="E12866" s="1" t="s">
        <v>25498</v>
      </c>
      <c r="F12866" s="1" t="s">
        <v>137</v>
      </c>
    </row>
    <row r="12867" spans="1:6" ht="30" customHeight="1" x14ac:dyDescent="0.25">
      <c r="A12867" s="1" t="s">
        <v>25499</v>
      </c>
      <c r="B12867" s="1" t="str">
        <f>"9781909453876"</f>
        <v>9781909453876</v>
      </c>
      <c r="C12867" s="1" t="s">
        <v>25483</v>
      </c>
      <c r="D12867" s="2">
        <v>41730</v>
      </c>
      <c r="E12867" s="1" t="s">
        <v>25500</v>
      </c>
      <c r="F12867" s="1" t="s">
        <v>137</v>
      </c>
    </row>
    <row r="12868" spans="1:6" ht="30" customHeight="1" x14ac:dyDescent="0.25">
      <c r="A12868" s="1" t="s">
        <v>25501</v>
      </c>
      <c r="B12868" s="1" t="str">
        <f>"9781910419786"</f>
        <v>9781910419786</v>
      </c>
      <c r="C12868" s="1" t="s">
        <v>25483</v>
      </c>
      <c r="D12868" s="2">
        <v>42278</v>
      </c>
      <c r="E12868" s="1" t="s">
        <v>25502</v>
      </c>
      <c r="F12868" s="1" t="s">
        <v>13</v>
      </c>
    </row>
    <row r="12869" spans="1:6" ht="30" customHeight="1" x14ac:dyDescent="0.25">
      <c r="A12869" s="1" t="s">
        <v>25503</v>
      </c>
      <c r="B12869" s="1" t="str">
        <f>"9781910420058"</f>
        <v>9781910420058</v>
      </c>
      <c r="C12869" s="1" t="s">
        <v>25483</v>
      </c>
      <c r="D12869" s="2">
        <v>42339</v>
      </c>
      <c r="E12869" s="1" t="s">
        <v>25504</v>
      </c>
      <c r="F12869" s="1" t="s">
        <v>176</v>
      </c>
    </row>
    <row r="12870" spans="1:6" ht="30" customHeight="1" x14ac:dyDescent="0.25">
      <c r="A12870" s="1" t="s">
        <v>25505</v>
      </c>
      <c r="B12870" s="1" t="str">
        <f>"9781910420089"</f>
        <v>9781910420089</v>
      </c>
      <c r="C12870" s="1" t="s">
        <v>25483</v>
      </c>
      <c r="D12870" s="2">
        <v>42278</v>
      </c>
      <c r="E12870" s="1" t="s">
        <v>25506</v>
      </c>
      <c r="F12870" s="1" t="s">
        <v>176</v>
      </c>
    </row>
    <row r="12871" spans="1:6" ht="30" customHeight="1" x14ac:dyDescent="0.25">
      <c r="A12871" s="1" t="s">
        <v>25507</v>
      </c>
      <c r="B12871" s="1" t="str">
        <f>"9782742015320"</f>
        <v>9782742015320</v>
      </c>
      <c r="C12871" s="1" t="s">
        <v>17191</v>
      </c>
      <c r="D12871" s="2">
        <v>42705</v>
      </c>
      <c r="E12871" s="1" t="s">
        <v>25508</v>
      </c>
      <c r="F12871" s="1" t="s">
        <v>13</v>
      </c>
    </row>
    <row r="12872" spans="1:6" ht="30" customHeight="1" x14ac:dyDescent="0.25">
      <c r="A12872" s="1" t="s">
        <v>25509</v>
      </c>
      <c r="B12872" s="1" t="str">
        <f>"9782742015368"</f>
        <v>9782742015368</v>
      </c>
      <c r="C12872" s="1" t="s">
        <v>17191</v>
      </c>
      <c r="D12872" s="2">
        <v>42675</v>
      </c>
      <c r="E12872" s="1" t="s">
        <v>25510</v>
      </c>
      <c r="F12872" s="1" t="s">
        <v>13</v>
      </c>
    </row>
    <row r="12873" spans="1:6" ht="30" customHeight="1" x14ac:dyDescent="0.25">
      <c r="A12873" s="1" t="s">
        <v>25511</v>
      </c>
      <c r="B12873" s="1" t="str">
        <f>"9781438065106"</f>
        <v>9781438065106</v>
      </c>
      <c r="C12873" s="1" t="s">
        <v>25512</v>
      </c>
      <c r="D12873" s="2">
        <v>42323</v>
      </c>
      <c r="E12873" s="1" t="s">
        <v>25513</v>
      </c>
      <c r="F12873" s="1" t="s">
        <v>126</v>
      </c>
    </row>
    <row r="12874" spans="1:6" ht="30" customHeight="1" x14ac:dyDescent="0.25">
      <c r="A12874" s="1" t="s">
        <v>25514</v>
      </c>
      <c r="B12874" s="1" t="str">
        <f>"9781438068619"</f>
        <v>9781438068619</v>
      </c>
      <c r="C12874" s="1" t="s">
        <v>25512</v>
      </c>
      <c r="D12874" s="2">
        <v>42156</v>
      </c>
      <c r="E12874" s="1" t="s">
        <v>25515</v>
      </c>
      <c r="F12874" s="1" t="s">
        <v>234</v>
      </c>
    </row>
    <row r="12875" spans="1:6" ht="30" customHeight="1" x14ac:dyDescent="0.25">
      <c r="A12875" s="1" t="s">
        <v>25516</v>
      </c>
      <c r="B12875" s="1" t="str">
        <f>"9788021077348"</f>
        <v>9788021077348</v>
      </c>
      <c r="C12875" s="1" t="s">
        <v>25517</v>
      </c>
      <c r="D12875" s="2">
        <v>42186</v>
      </c>
      <c r="E12875" s="1" t="s">
        <v>25518</v>
      </c>
      <c r="F12875" s="1" t="s">
        <v>356</v>
      </c>
    </row>
    <row r="12876" spans="1:6" ht="30" customHeight="1" x14ac:dyDescent="0.25">
      <c r="A12876" s="1" t="s">
        <v>25519</v>
      </c>
      <c r="B12876" s="1" t="str">
        <f>"9788021083165"</f>
        <v>9788021083165</v>
      </c>
      <c r="C12876" s="1" t="s">
        <v>25517</v>
      </c>
      <c r="D12876" s="2">
        <v>42552</v>
      </c>
      <c r="E12876" s="1" t="s">
        <v>25520</v>
      </c>
      <c r="F12876" s="1" t="s">
        <v>214</v>
      </c>
    </row>
    <row r="12877" spans="1:6" ht="30" customHeight="1" x14ac:dyDescent="0.25">
      <c r="A12877" s="1" t="s">
        <v>25521</v>
      </c>
      <c r="B12877" s="1" t="str">
        <f>"9781604065749"</f>
        <v>9781604065749</v>
      </c>
      <c r="C12877" s="1" t="s">
        <v>1671</v>
      </c>
      <c r="D12877" s="2">
        <v>41659</v>
      </c>
      <c r="E12877" s="1" t="s">
        <v>25522</v>
      </c>
      <c r="F12877" s="1" t="s">
        <v>13</v>
      </c>
    </row>
    <row r="12878" spans="1:6" ht="30" customHeight="1" x14ac:dyDescent="0.25">
      <c r="A12878" s="1" t="s">
        <v>25523</v>
      </c>
      <c r="B12878" s="1" t="str">
        <f>"9783131692818"</f>
        <v>9783131692818</v>
      </c>
      <c r="C12878" s="1" t="s">
        <v>1671</v>
      </c>
      <c r="D12878" s="2">
        <v>41605</v>
      </c>
      <c r="E12878" s="1" t="s">
        <v>25524</v>
      </c>
      <c r="F12878" s="1" t="s">
        <v>13</v>
      </c>
    </row>
    <row r="12879" spans="1:6" ht="30" customHeight="1" x14ac:dyDescent="0.25">
      <c r="A12879" s="1" t="s">
        <v>25525</v>
      </c>
      <c r="B12879" s="1" t="str">
        <f>"9783131662118"</f>
        <v>9783131662118</v>
      </c>
      <c r="C12879" s="1" t="s">
        <v>1671</v>
      </c>
      <c r="D12879" s="2">
        <v>41605</v>
      </c>
      <c r="E12879" s="1" t="s">
        <v>25526</v>
      </c>
      <c r="F12879" s="1" t="s">
        <v>13</v>
      </c>
    </row>
    <row r="12880" spans="1:6" ht="30" customHeight="1" x14ac:dyDescent="0.25">
      <c r="A12880" s="1" t="s">
        <v>25527</v>
      </c>
      <c r="B12880" s="1" t="str">
        <f>"9781604067248"</f>
        <v>9781604067248</v>
      </c>
      <c r="C12880" s="1" t="s">
        <v>1671</v>
      </c>
      <c r="D12880" s="2">
        <v>42109</v>
      </c>
      <c r="E12880" s="1" t="s">
        <v>25528</v>
      </c>
      <c r="F12880" s="1" t="s">
        <v>13</v>
      </c>
    </row>
    <row r="12881" spans="1:6" ht="30" customHeight="1" x14ac:dyDescent="0.25">
      <c r="A12881" s="1" t="s">
        <v>25529</v>
      </c>
      <c r="B12881" s="1" t="str">
        <f>"9781604067439"</f>
        <v>9781604067439</v>
      </c>
      <c r="C12881" s="1" t="s">
        <v>1671</v>
      </c>
      <c r="D12881" s="2">
        <v>42179</v>
      </c>
      <c r="E12881" s="1" t="s">
        <v>25530</v>
      </c>
      <c r="F12881" s="1" t="s">
        <v>13</v>
      </c>
    </row>
    <row r="12882" spans="1:6" ht="30" customHeight="1" x14ac:dyDescent="0.25">
      <c r="A12882" s="1" t="s">
        <v>25531</v>
      </c>
      <c r="B12882" s="1" t="str">
        <f>"9781604063233"</f>
        <v>9781604063233</v>
      </c>
      <c r="C12882" s="1" t="s">
        <v>1671</v>
      </c>
      <c r="D12882" s="2">
        <v>42088</v>
      </c>
      <c r="E12882" s="1" t="s">
        <v>25532</v>
      </c>
      <c r="F12882" s="1" t="s">
        <v>13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export_665292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Amin</dc:creator>
  <cp:lastModifiedBy>Library1</cp:lastModifiedBy>
  <dcterms:created xsi:type="dcterms:W3CDTF">2018-05-29T10:56:53Z</dcterms:created>
  <dcterms:modified xsi:type="dcterms:W3CDTF">2020-12-10T04:53:12Z</dcterms:modified>
</cp:coreProperties>
</file>